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BEZ (le) et CAMBOUNES (81) - BEZIAT Nadine\Dossier à déposer\"/>
    </mc:Choice>
  </mc:AlternateContent>
  <xr:revisionPtr revIDLastSave="0" documentId="13_ncr:1_{0937B080-8C73-44B8-BF1A-61A68145027E}" xr6:coauthVersionLast="36" xr6:coauthVersionMax="36" xr10:uidLastSave="{00000000-0000-0000-0000-000000000000}"/>
  <bookViews>
    <workbookView xWindow="0" yWindow="0" windowWidth="28800" windowHeight="13305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<sst xmlns="http://schemas.openxmlformats.org/spreadsheetml/2006/main" count="1181" uniqueCount="332">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</sst>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1.8759620795430532</c:v>
                </c:pt>
                <c:pt idx="2">
                  <c:v>2.4214015199189372</c:v>
                </c:pt>
                <c:pt idx="3">
                  <c:v>3.1260726244311328</c:v>
                </c:pt>
                <c:pt idx="4">
                  <c:v>4.0366378546992854</c:v>
                </c:pt>
                <c:pt idx="5">
                  <c:v>5.2134827190356612</c:v>
                </c:pt>
                <c:pt idx="6">
                  <c:v>6.7347649299341343</c:v>
                </c:pt>
                <c:pt idx="7">
                  <c:v>8.7016619461021705</c:v>
                </c:pt>
                <c:pt idx="8">
                  <c:v>11.245172557392728</c:v>
                </c:pt>
                <c:pt idx="9">
                  <c:v>14.534933990673203</c:v>
                </c:pt>
                <c:pt idx="10">
                  <c:v>18.790653391120799</c:v>
                </c:pt>
                <c:pt idx="11">
                  <c:v>24.296930896690171</c:v>
                </c:pt>
                <c:pt idx="12">
                  <c:v>31.422483126761865</c:v>
                </c:pt>
                <c:pt idx="13">
                  <c:v>40.645076672213328</c:v>
                </c:pt>
                <c:pt idx="14">
                  <c:v>52.583871796940883</c:v>
                </c:pt>
                <c:pt idx="15">
                  <c:v>68.041383935943529</c:v>
                </c:pt>
                <c:pt idx="16">
                  <c:v>88.057929662097834</c:v>
                </c:pt>
                <c:pt idx="17">
                  <c:v>113.98228003756738</c:v>
                </c:pt>
                <c:pt idx="18">
                  <c:v>147.56335674583423</c:v>
                </c:pt>
                <c:pt idx="19">
                  <c:v>191.06925192712265</c:v>
                </c:pt>
                <c:pt idx="20">
                  <c:v>215.83064896499511</c:v>
                </c:pt>
                <c:pt idx="21">
                  <c:v>240.52665895672337</c:v>
                </c:pt>
                <c:pt idx="22">
                  <c:v>188.30394463686085</c:v>
                </c:pt>
                <c:pt idx="23">
                  <c:v>214.53819358715211</c:v>
                </c:pt>
                <c:pt idx="24">
                  <c:v>240.69854615879464</c:v>
                </c:pt>
                <c:pt idx="25">
                  <c:v>266.79416310068058</c:v>
                </c:pt>
                <c:pt idx="26">
                  <c:v>292.83226442146031</c:v>
                </c:pt>
                <c:pt idx="27">
                  <c:v>318.81868043774966</c:v>
                </c:pt>
                <c:pt idx="28">
                  <c:v>344.75821320428196</c:v>
                </c:pt>
                <c:pt idx="29">
                  <c:v>291.29202614469426</c:v>
                </c:pt>
                <c:pt idx="30">
                  <c:v>319.16028488609555</c:v>
                </c:pt>
                <c:pt idx="31">
                  <c:v>346.97468416597229</c:v>
                </c:pt>
                <c:pt idx="32">
                  <c:v>374.74014456124672</c:v>
                </c:pt>
                <c:pt idx="33">
                  <c:v>402.4607981927727</c:v>
                </c:pt>
                <c:pt idx="34">
                  <c:v>430.14016180087606</c:v>
                </c:pt>
                <c:pt idx="35">
                  <c:v>457.78126290812997</c:v>
                </c:pt>
                <c:pt idx="36">
                  <c:v>381.54676310922576</c:v>
                </c:pt>
                <c:pt idx="37">
                  <c:v>408.74735078815547</c:v>
                </c:pt>
                <c:pt idx="38">
                  <c:v>435.90885554382635</c:v>
                </c:pt>
                <c:pt idx="39">
                  <c:v>463.03405229397862</c:v>
                </c:pt>
                <c:pt idx="40">
                  <c:v>490.1253645922377</c:v>
                </c:pt>
                <c:pt idx="41">
                  <c:v>517.18492647267715</c:v>
                </c:pt>
                <c:pt idx="42">
                  <c:v>544.21463067857655</c:v>
                </c:pt>
                <c:pt idx="43">
                  <c:v>451.849145587978</c:v>
                </c:pt>
                <c:pt idx="44">
                  <c:v>477.9383247296592</c:v>
                </c:pt>
                <c:pt idx="45">
                  <c:v>503.99723200983743</c:v>
                </c:pt>
                <c:pt idx="46">
                  <c:v>530.02765090640912</c:v>
                </c:pt>
                <c:pt idx="47">
                  <c:v>556.03117561453917</c:v>
                </c:pt>
                <c:pt idx="48">
                  <c:v>582.00923922497134</c:v>
                </c:pt>
                <c:pt idx="49">
                  <c:v>607.96313661229703</c:v>
                </c:pt>
                <c:pt idx="50">
                  <c:v>498.41563638607613</c:v>
                </c:pt>
                <c:pt idx="51">
                  <c:v>522.42420855466924</c:v>
                </c:pt>
                <c:pt idx="52">
                  <c:v>546.40953539293105</c:v>
                </c:pt>
                <c:pt idx="53">
                  <c:v>570.37277971039146</c:v>
                </c:pt>
                <c:pt idx="54">
                  <c:v>594.31499874466942</c:v>
                </c:pt>
                <c:pt idx="55">
                  <c:v>618.23715769830108</c:v>
                </c:pt>
                <c:pt idx="56">
                  <c:v>642.1401410729178</c:v>
                </c:pt>
                <c:pt idx="57">
                  <c:v>552.14918288690853</c:v>
                </c:pt>
                <c:pt idx="58">
                  <c:v>574.25214529925574</c:v>
                </c:pt>
                <c:pt idx="59">
                  <c:v>596.33735274192247</c:v>
                </c:pt>
                <c:pt idx="60">
                  <c:v>618.40555461714837</c:v>
                </c:pt>
                <c:pt idx="61">
                  <c:v>640.45744253596911</c:v>
                </c:pt>
                <c:pt idx="62">
                  <c:v>662.49365665115317</c:v>
                </c:pt>
                <c:pt idx="63">
                  <c:v>684.51479110444313</c:v>
                </c:pt>
                <c:pt idx="64">
                  <c:v>587.51658942206677</c:v>
                </c:pt>
                <c:pt idx="65">
                  <c:v>607.17699832129483</c:v>
                </c:pt>
                <c:pt idx="66">
                  <c:v>626.82419491945257</c:v>
                </c:pt>
                <c:pt idx="67">
                  <c:v>646.4586512630425</c:v>
                </c:pt>
                <c:pt idx="68">
                  <c:v>666.08080841340609</c:v>
                </c:pt>
                <c:pt idx="69">
                  <c:v>685.69107935191562</c:v>
                </c:pt>
                <c:pt idx="70">
                  <c:v>704.50611678429107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vérification!$C$6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9-4A71-BA1D-3592B0F3D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9-4A71-BA1D-3592B0F3D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9-4A71-BA1D-3592B0F3D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9-4A71-BA1D-3592B0F3D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9-4A71-BA1D-3592B0F3D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5C9-4A71-BA1D-3592B0F3D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5C9-4A71-BA1D-3592B0F3DB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5C9-4A71-BA1D-3592B0F3DB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5C9-4A71-BA1D-3592B0F3D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vérification!$D$5:$L$5</c:f>
              <c:numCache>
                <c:formatCode>General</c:formatCode>
                <c:ptCount val="9"/>
              </c:numCache>
            </c:numRef>
          </c:cat>
          <c:val>
            <c:numRef>
              <c:f>vérification!$D$6:$L$6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028-42E2-A353-9C643656EF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2.0624912291627764</c:v>
                </c:pt>
                <c:pt idx="2">
                  <c:v>2.9945430481859217</c:v>
                </c:pt>
                <c:pt idx="3">
                  <c:v>4.3496872758658158</c:v>
                </c:pt>
                <c:pt idx="4">
                  <c:v>6.320788555997809</c:v>
                </c:pt>
                <c:pt idx="5">
                  <c:v>9.1889709365564034</c:v>
                </c:pt>
                <c:pt idx="6">
                  <c:v>13.364152517582584</c:v>
                </c:pt>
                <c:pt idx="7">
                  <c:v>19.444257450131246</c:v>
                </c:pt>
                <c:pt idx="8">
                  <c:v>28.301736999378914</c:v>
                </c:pt>
                <c:pt idx="9">
                  <c:v>41.210031255524335</c:v>
                </c:pt>
                <c:pt idx="10">
                  <c:v>60.028460935167708</c:v>
                </c:pt>
                <c:pt idx="11">
                  <c:v>65.856755599682018</c:v>
                </c:pt>
                <c:pt idx="12">
                  <c:v>83.748638090882295</c:v>
                </c:pt>
                <c:pt idx="13">
                  <c:v>101.54363811496934</c:v>
                </c:pt>
                <c:pt idx="14">
                  <c:v>119.26121337444526</c:v>
                </c:pt>
                <c:pt idx="15">
                  <c:v>136.9145198877824</c:v>
                </c:pt>
                <c:pt idx="16">
                  <c:v>119.73912556974642</c:v>
                </c:pt>
                <c:pt idx="17">
                  <c:v>138.34335910198348</c:v>
                </c:pt>
                <c:pt idx="18">
                  <c:v>156.88740899092929</c:v>
                </c:pt>
                <c:pt idx="19">
                  <c:v>175.37939831841334</c:v>
                </c:pt>
                <c:pt idx="20">
                  <c:v>193.82559249840713</c:v>
                </c:pt>
                <c:pt idx="21">
                  <c:v>169.93164565483679</c:v>
                </c:pt>
                <c:pt idx="22">
                  <c:v>186.26311995847519</c:v>
                </c:pt>
                <c:pt idx="23">
                  <c:v>202.56116919355532</c:v>
                </c:pt>
                <c:pt idx="24">
                  <c:v>218.82886210158497</c:v>
                </c:pt>
                <c:pt idx="25">
                  <c:v>235.0687734575271</c:v>
                </c:pt>
                <c:pt idx="26">
                  <c:v>210.8165194357947</c:v>
                </c:pt>
                <c:pt idx="27">
                  <c:v>224.24513753374686</c:v>
                </c:pt>
                <c:pt idx="28">
                  <c:v>237.65532761500836</c:v>
                </c:pt>
                <c:pt idx="29">
                  <c:v>251.0482763599305</c:v>
                </c:pt>
                <c:pt idx="30">
                  <c:v>264.42503341914335</c:v>
                </c:pt>
                <c:pt idx="31">
                  <c:v>242.8265187332286</c:v>
                </c:pt>
                <c:pt idx="32">
                  <c:v>252.92667016047722</c:v>
                </c:pt>
                <c:pt idx="33">
                  <c:v>263.01768756325686</c:v>
                </c:pt>
                <c:pt idx="34">
                  <c:v>273.09997104096175</c:v>
                </c:pt>
                <c:pt idx="35">
                  <c:v>283.17388871622381</c:v>
                </c:pt>
                <c:pt idx="36">
                  <c:v>266.06672343826102</c:v>
                </c:pt>
                <c:pt idx="37">
                  <c:v>273.56870812584953</c:v>
                </c:pt>
                <c:pt idx="38">
                  <c:v>281.06606938968815</c:v>
                </c:pt>
                <c:pt idx="39">
                  <c:v>288.55894809233223</c:v>
                </c:pt>
                <c:pt idx="40">
                  <c:v>296.04747717569848</c:v>
                </c:pt>
                <c:pt idx="41">
                  <c:v>282.70551490450038</c:v>
                </c:pt>
                <c:pt idx="42">
                  <c:v>288.09077194522132</c:v>
                </c:pt>
                <c:pt idx="43">
                  <c:v>293.47377793906503</c:v>
                </c:pt>
                <c:pt idx="44">
                  <c:v>298.85458006272216</c:v>
                </c:pt>
                <c:pt idx="45">
                  <c:v>304.23322365298316</c:v>
                </c:pt>
                <c:pt idx="46">
                  <c:v>294.17574569077777</c:v>
                </c:pt>
                <c:pt idx="47">
                  <c:v>298.15285967061317</c:v>
                </c:pt>
                <c:pt idx="48">
                  <c:v>302.12879127431222</c:v>
                </c:pt>
                <c:pt idx="49">
                  <c:v>306.10355828446768</c:v>
                </c:pt>
                <c:pt idx="50">
                  <c:v>310.07717798339257</c:v>
                </c:pt>
                <c:pt idx="51">
                  <c:v>9.8459716521636505E-13</c:v>
                </c:pt>
                <c:pt idx="52">
                  <c:v>9.8459716521636505E-13</c:v>
                </c:pt>
                <c:pt idx="53">
                  <c:v>9.8459716521636505E-13</c:v>
                </c:pt>
                <c:pt idx="54">
                  <c:v>9.8459716521636505E-13</c:v>
                </c:pt>
                <c:pt idx="55">
                  <c:v>9.8459716521636505E-13</c:v>
                </c:pt>
                <c:pt idx="56">
                  <c:v>9.8459716521636505E-13</c:v>
                </c:pt>
                <c:pt idx="57">
                  <c:v>9.8459716521636505E-13</c:v>
                </c:pt>
                <c:pt idx="58">
                  <c:v>9.8459716521636505E-13</c:v>
                </c:pt>
                <c:pt idx="59">
                  <c:v>9.8459716521636505E-13</c:v>
                </c:pt>
                <c:pt idx="60">
                  <c:v>9.8459716521636505E-13</c:v>
                </c:pt>
                <c:pt idx="61">
                  <c:v>9.8459716521636505E-13</c:v>
                </c:pt>
                <c:pt idx="62">
                  <c:v>9.8459716521636505E-13</c:v>
                </c:pt>
                <c:pt idx="63">
                  <c:v>9.8459716521636505E-13</c:v>
                </c:pt>
                <c:pt idx="64">
                  <c:v>9.8459716521636505E-13</c:v>
                </c:pt>
                <c:pt idx="65">
                  <c:v>9.8459716521636505E-13</c:v>
                </c:pt>
                <c:pt idx="66">
                  <c:v>9.8459716521636505E-13</c:v>
                </c:pt>
                <c:pt idx="67">
                  <c:v>9.8459716521636505E-13</c:v>
                </c:pt>
                <c:pt idx="68">
                  <c:v>9.8459716521636505E-13</c:v>
                </c:pt>
                <c:pt idx="69">
                  <c:v>9.8459716521636505E-13</c:v>
                </c:pt>
                <c:pt idx="70">
                  <c:v>9.8459716521636505E-13</c:v>
                </c:pt>
                <c:pt idx="71">
                  <c:v>9.8459716521636505E-13</c:v>
                </c:pt>
                <c:pt idx="72">
                  <c:v>9.8459716521636505E-13</c:v>
                </c:pt>
                <c:pt idx="73">
                  <c:v>9.8459716521636505E-13</c:v>
                </c:pt>
                <c:pt idx="74">
                  <c:v>9.8459716521636505E-13</c:v>
                </c:pt>
                <c:pt idx="75">
                  <c:v>9.8459716521636505E-13</c:v>
                </c:pt>
                <c:pt idx="76">
                  <c:v>9.8459716521636505E-13</c:v>
                </c:pt>
                <c:pt idx="77">
                  <c:v>9.8459716521636505E-13</c:v>
                </c:pt>
                <c:pt idx="78">
                  <c:v>9.8459716521636505E-13</c:v>
                </c:pt>
                <c:pt idx="79">
                  <c:v>9.8459716521636505E-13</c:v>
                </c:pt>
                <c:pt idx="80">
                  <c:v>9.8459716521636505E-13</c:v>
                </c:pt>
                <c:pt idx="81">
                  <c:v>9.8459716521636505E-13</c:v>
                </c:pt>
                <c:pt idx="82">
                  <c:v>9.8459716521636505E-13</c:v>
                </c:pt>
                <c:pt idx="83">
                  <c:v>9.8459716521636505E-13</c:v>
                </c:pt>
                <c:pt idx="84">
                  <c:v>9.8459716521636505E-13</c:v>
                </c:pt>
                <c:pt idx="85">
                  <c:v>9.8459716521636505E-13</c:v>
                </c:pt>
                <c:pt idx="86">
                  <c:v>9.8459716521636505E-13</c:v>
                </c:pt>
                <c:pt idx="87">
                  <c:v>9.8459716521636505E-13</c:v>
                </c:pt>
                <c:pt idx="88">
                  <c:v>9.8459716521636505E-13</c:v>
                </c:pt>
                <c:pt idx="89">
                  <c:v>9.8459716521636505E-13</c:v>
                </c:pt>
                <c:pt idx="90">
                  <c:v>9.8459716521636505E-13</c:v>
                </c:pt>
                <c:pt idx="91">
                  <c:v>9.8459716521636505E-13</c:v>
                </c:pt>
                <c:pt idx="92">
                  <c:v>9.8459716521636505E-13</c:v>
                </c:pt>
                <c:pt idx="93">
                  <c:v>9.8459716521636505E-13</c:v>
                </c:pt>
                <c:pt idx="94">
                  <c:v>9.8459716521636505E-13</c:v>
                </c:pt>
                <c:pt idx="95">
                  <c:v>9.8459716521636505E-13</c:v>
                </c:pt>
                <c:pt idx="96">
                  <c:v>9.8459716521636505E-13</c:v>
                </c:pt>
                <c:pt idx="97">
                  <c:v>9.8459716521636505E-13</c:v>
                </c:pt>
                <c:pt idx="98">
                  <c:v>9.8459716521636505E-13</c:v>
                </c:pt>
                <c:pt idx="99">
                  <c:v>9.8459716521636505E-13</c:v>
                </c:pt>
                <c:pt idx="100">
                  <c:v>9.8459716521636505E-13</c:v>
                </c:pt>
                <c:pt idx="101">
                  <c:v>9.8459716521636505E-13</c:v>
                </c:pt>
                <c:pt idx="102">
                  <c:v>9.8459716521636505E-13</c:v>
                </c:pt>
                <c:pt idx="103">
                  <c:v>9.8459716521636505E-13</c:v>
                </c:pt>
                <c:pt idx="104">
                  <c:v>9.8459716521636505E-13</c:v>
                </c:pt>
                <c:pt idx="105">
                  <c:v>9.8459716521636505E-13</c:v>
                </c:pt>
                <c:pt idx="106">
                  <c:v>9.8459716521636505E-13</c:v>
                </c:pt>
                <c:pt idx="107">
                  <c:v>9.8459716521636505E-13</c:v>
                </c:pt>
                <c:pt idx="108">
                  <c:v>9.8459716521636505E-13</c:v>
                </c:pt>
                <c:pt idx="109">
                  <c:v>9.8459716521636505E-13</c:v>
                </c:pt>
                <c:pt idx="110">
                  <c:v>9.8459716521636505E-13</c:v>
                </c:pt>
                <c:pt idx="111">
                  <c:v>9.8459716521636505E-13</c:v>
                </c:pt>
                <c:pt idx="112">
                  <c:v>9.8459716521636505E-13</c:v>
                </c:pt>
                <c:pt idx="113">
                  <c:v>9.8459716521636505E-13</c:v>
                </c:pt>
                <c:pt idx="114">
                  <c:v>9.8459716521636505E-13</c:v>
                </c:pt>
                <c:pt idx="115">
                  <c:v>9.8459716521636505E-13</c:v>
                </c:pt>
                <c:pt idx="116">
                  <c:v>9.8459716521636505E-13</c:v>
                </c:pt>
                <c:pt idx="117">
                  <c:v>9.8459716521636505E-13</c:v>
                </c:pt>
                <c:pt idx="118">
                  <c:v>9.8459716521636505E-13</c:v>
                </c:pt>
                <c:pt idx="119">
                  <c:v>9.8459716521636505E-13</c:v>
                </c:pt>
                <c:pt idx="120">
                  <c:v>9.8459716521636505E-13</c:v>
                </c:pt>
                <c:pt idx="121">
                  <c:v>9.8459716521636505E-13</c:v>
                </c:pt>
                <c:pt idx="122">
                  <c:v>9.8459716521636505E-13</c:v>
                </c:pt>
                <c:pt idx="123">
                  <c:v>9.8459716521636505E-13</c:v>
                </c:pt>
                <c:pt idx="124">
                  <c:v>9.8459716521636505E-13</c:v>
                </c:pt>
                <c:pt idx="125">
                  <c:v>9.8459716521636505E-13</c:v>
                </c:pt>
                <c:pt idx="126">
                  <c:v>9.8459716521636505E-13</c:v>
                </c:pt>
                <c:pt idx="127">
                  <c:v>9.8459716521636505E-13</c:v>
                </c:pt>
                <c:pt idx="128">
                  <c:v>9.8459716521636505E-13</c:v>
                </c:pt>
                <c:pt idx="129">
                  <c:v>9.8459716521636505E-13</c:v>
                </c:pt>
                <c:pt idx="130">
                  <c:v>9.8459716521636505E-13</c:v>
                </c:pt>
                <c:pt idx="131">
                  <c:v>9.8459716521636505E-13</c:v>
                </c:pt>
                <c:pt idx="132">
                  <c:v>9.8459716521636505E-13</c:v>
                </c:pt>
                <c:pt idx="133">
                  <c:v>9.8459716521636505E-13</c:v>
                </c:pt>
                <c:pt idx="134">
                  <c:v>9.8459716521636505E-13</c:v>
                </c:pt>
                <c:pt idx="135">
                  <c:v>9.8459716521636505E-13</c:v>
                </c:pt>
                <c:pt idx="136">
                  <c:v>9.8459716521636505E-13</c:v>
                </c:pt>
                <c:pt idx="137">
                  <c:v>9.8459716521636505E-13</c:v>
                </c:pt>
                <c:pt idx="138">
                  <c:v>9.8459716521636505E-13</c:v>
                </c:pt>
                <c:pt idx="139">
                  <c:v>9.8459716521636505E-13</c:v>
                </c:pt>
                <c:pt idx="140">
                  <c:v>9.8459716521636505E-13</c:v>
                </c:pt>
                <c:pt idx="141">
                  <c:v>9.8459716521636505E-13</c:v>
                </c:pt>
                <c:pt idx="142">
                  <c:v>9.8459716521636505E-13</c:v>
                </c:pt>
                <c:pt idx="143">
                  <c:v>9.8459716521636505E-13</c:v>
                </c:pt>
                <c:pt idx="144">
                  <c:v>9.8459716521636505E-13</c:v>
                </c:pt>
                <c:pt idx="145">
                  <c:v>9.8459716521636505E-13</c:v>
                </c:pt>
                <c:pt idx="146">
                  <c:v>9.8459716521636505E-13</c:v>
                </c:pt>
                <c:pt idx="147">
                  <c:v>9.8459716521636505E-13</c:v>
                </c:pt>
                <c:pt idx="148">
                  <c:v>9.8459716521636505E-13</c:v>
                </c:pt>
                <c:pt idx="149">
                  <c:v>9.8459716521636505E-13</c:v>
                </c:pt>
                <c:pt idx="150">
                  <c:v>9.8459716521636505E-13</c:v>
                </c:pt>
                <c:pt idx="151">
                  <c:v>9.8459716521636505E-13</c:v>
                </c:pt>
                <c:pt idx="152">
                  <c:v>9.8459716521636505E-13</c:v>
                </c:pt>
                <c:pt idx="153">
                  <c:v>9.8459716521636505E-13</c:v>
                </c:pt>
                <c:pt idx="154">
                  <c:v>9.8459716521636505E-13</c:v>
                </c:pt>
                <c:pt idx="155">
                  <c:v>9.8459716521636505E-13</c:v>
                </c:pt>
                <c:pt idx="156">
                  <c:v>9.8459716521636505E-13</c:v>
                </c:pt>
                <c:pt idx="157">
                  <c:v>9.8459716521636505E-13</c:v>
                </c:pt>
                <c:pt idx="158">
                  <c:v>9.8459716521636505E-13</c:v>
                </c:pt>
                <c:pt idx="159">
                  <c:v>9.8459716521636505E-13</c:v>
                </c:pt>
                <c:pt idx="160">
                  <c:v>9.8459716521636505E-13</c:v>
                </c:pt>
                <c:pt idx="161">
                  <c:v>9.8459716521636505E-13</c:v>
                </c:pt>
                <c:pt idx="162">
                  <c:v>9.8459716521636505E-13</c:v>
                </c:pt>
                <c:pt idx="163">
                  <c:v>9.8459716521636505E-13</c:v>
                </c:pt>
                <c:pt idx="164">
                  <c:v>9.8459716521636505E-13</c:v>
                </c:pt>
                <c:pt idx="165">
                  <c:v>9.8459716521636505E-13</c:v>
                </c:pt>
                <c:pt idx="166">
                  <c:v>9.8459716521636505E-13</c:v>
                </c:pt>
                <c:pt idx="167">
                  <c:v>9.8459716521636505E-13</c:v>
                </c:pt>
                <c:pt idx="168">
                  <c:v>9.8459716521636505E-13</c:v>
                </c:pt>
                <c:pt idx="169">
                  <c:v>9.8459716521636505E-13</c:v>
                </c:pt>
                <c:pt idx="170">
                  <c:v>9.8459716521636505E-13</c:v>
                </c:pt>
                <c:pt idx="171">
                  <c:v>9.8459716521636505E-13</c:v>
                </c:pt>
                <c:pt idx="172">
                  <c:v>9.8459716521636505E-13</c:v>
                </c:pt>
                <c:pt idx="173">
                  <c:v>9.8459716521636505E-13</c:v>
                </c:pt>
                <c:pt idx="174">
                  <c:v>9.8459716521636505E-13</c:v>
                </c:pt>
                <c:pt idx="175">
                  <c:v>9.8459716521636505E-13</c:v>
                </c:pt>
                <c:pt idx="176">
                  <c:v>9.8459716521636505E-13</c:v>
                </c:pt>
                <c:pt idx="177">
                  <c:v>9.8459716521636505E-13</c:v>
                </c:pt>
                <c:pt idx="178">
                  <c:v>9.8459716521636505E-13</c:v>
                </c:pt>
                <c:pt idx="179">
                  <c:v>9.8459716521636505E-13</c:v>
                </c:pt>
                <c:pt idx="180">
                  <c:v>9.8459716521636505E-13</c:v>
                </c:pt>
                <c:pt idx="181">
                  <c:v>9.8459716521636505E-13</c:v>
                </c:pt>
                <c:pt idx="182">
                  <c:v>9.8459716521636505E-13</c:v>
                </c:pt>
                <c:pt idx="183">
                  <c:v>9.8459716521636505E-13</c:v>
                </c:pt>
                <c:pt idx="184">
                  <c:v>9.8459716521636505E-13</c:v>
                </c:pt>
                <c:pt idx="185">
                  <c:v>9.8459716521636505E-13</c:v>
                </c:pt>
                <c:pt idx="186">
                  <c:v>9.8459716521636505E-13</c:v>
                </c:pt>
                <c:pt idx="187">
                  <c:v>9.8459716521636505E-13</c:v>
                </c:pt>
                <c:pt idx="188">
                  <c:v>9.8459716521636505E-13</c:v>
                </c:pt>
                <c:pt idx="189">
                  <c:v>9.8459716521636505E-13</c:v>
                </c:pt>
                <c:pt idx="190">
                  <c:v>9.8459716521636505E-13</c:v>
                </c:pt>
                <c:pt idx="191">
                  <c:v>9.8459716521636505E-13</c:v>
                </c:pt>
                <c:pt idx="192">
                  <c:v>9.8459716521636505E-13</c:v>
                </c:pt>
                <c:pt idx="193">
                  <c:v>9.8459716521636505E-13</c:v>
                </c:pt>
                <c:pt idx="194">
                  <c:v>9.8459716521636505E-13</c:v>
                </c:pt>
                <c:pt idx="195">
                  <c:v>9.8459716521636505E-13</c:v>
                </c:pt>
                <c:pt idx="196">
                  <c:v>9.8459716521636505E-13</c:v>
                </c:pt>
                <c:pt idx="197">
                  <c:v>9.8459716521636505E-13</c:v>
                </c:pt>
                <c:pt idx="198">
                  <c:v>9.8459716521636505E-13</c:v>
                </c:pt>
                <c:pt idx="199">
                  <c:v>9.8459716521636505E-13</c:v>
                </c:pt>
                <c:pt idx="200">
                  <c:v>9.8459716521636505E-13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252.4503931780001</c:v>
                </c:pt>
                <c:pt idx="57">
                  <c:v>263.33938156610992</c:v>
                </c:pt>
                <c:pt idx="58">
                  <c:v>274.21821395990332</c:v>
                </c:pt>
                <c:pt idx="59">
                  <c:v>285.08735029607652</c:v>
                </c:pt>
                <c:pt idx="60">
                  <c:v>295.94721255485484</c:v>
                </c:pt>
                <c:pt idx="61">
                  <c:v>278.87757709734746</c:v>
                </c:pt>
                <c:pt idx="62">
                  <c:v>288.96691630985202</c:v>
                </c:pt>
                <c:pt idx="63">
                  <c:v>299.04838207618559</c:v>
                </c:pt>
                <c:pt idx="64">
                  <c:v>309.12227741267685</c:v>
                </c:pt>
                <c:pt idx="65">
                  <c:v>319.18888396087652</c:v>
                </c:pt>
                <c:pt idx="66">
                  <c:v>302.14883502279821</c:v>
                </c:pt>
                <c:pt idx="67">
                  <c:v>312.22045858998155</c:v>
                </c:pt>
                <c:pt idx="68">
                  <c:v>322.28487606795352</c:v>
                </c:pt>
                <c:pt idx="69">
                  <c:v>332.34234434510176</c:v>
                </c:pt>
                <c:pt idx="70">
                  <c:v>342.39310348379155</c:v>
                </c:pt>
                <c:pt idx="71">
                  <c:v>324.60643807826466</c:v>
                </c:pt>
                <c:pt idx="72">
                  <c:v>333.8890458744558</c:v>
                </c:pt>
                <c:pt idx="73">
                  <c:v>343.1659674504553</c:v>
                </c:pt>
                <c:pt idx="74">
                  <c:v>352.43737829470501</c:v>
                </c:pt>
                <c:pt idx="75">
                  <c:v>361.70344390352244</c:v>
                </c:pt>
                <c:pt idx="76">
                  <c:v>343.5523850789188</c:v>
                </c:pt>
                <c:pt idx="77">
                  <c:v>352.43737829470501</c:v>
                </c:pt>
                <c:pt idx="78">
                  <c:v>361.31746248867233</c:v>
                </c:pt>
                <c:pt idx="79">
                  <c:v>370.19277539866516</c:v>
                </c:pt>
                <c:pt idx="80">
                  <c:v>379.06344761508876</c:v>
                </c:pt>
                <c:pt idx="81">
                  <c:v>360.54547259299062</c:v>
                </c:pt>
                <c:pt idx="82">
                  <c:v>369.03539178839668</c:v>
                </c:pt>
                <c:pt idx="83">
                  <c:v>377.52104986809292</c:v>
                </c:pt>
                <c:pt idx="84">
                  <c:v>386.0025561783288</c:v>
                </c:pt>
                <c:pt idx="85">
                  <c:v>394.48001486506797</c:v>
                </c:pt>
                <c:pt idx="86">
                  <c:v>375.59285962266807</c:v>
                </c:pt>
                <c:pt idx="87">
                  <c:v>383.68982380189891</c:v>
                </c:pt>
                <c:pt idx="88">
                  <c:v>391.78307456466746</c:v>
                </c:pt>
                <c:pt idx="89">
                  <c:v>399.87269948886433</c:v>
                </c:pt>
                <c:pt idx="90">
                  <c:v>407.95878231757393</c:v>
                </c:pt>
                <c:pt idx="91">
                  <c:v>388.31498751962232</c:v>
                </c:pt>
                <c:pt idx="92">
                  <c:v>395.63572388568292</c:v>
                </c:pt>
                <c:pt idx="93">
                  <c:v>402.95352523018414</c:v>
                </c:pt>
                <c:pt idx="94">
                  <c:v>410.26845241067667</c:v>
                </c:pt>
                <c:pt idx="95">
                  <c:v>417.58056393601919</c:v>
                </c:pt>
                <c:pt idx="96">
                  <c:v>397.56174311317278</c:v>
                </c:pt>
                <c:pt idx="97">
                  <c:v>404.49374675366943</c:v>
                </c:pt>
                <c:pt idx="98">
                  <c:v>411.42318205611974</c:v>
                </c:pt>
                <c:pt idx="99">
                  <c:v>418.35009841196251</c:v>
                </c:pt>
                <c:pt idx="100">
                  <c:v>425.27454344239936</c:v>
                </c:pt>
                <c:pt idx="101">
                  <c:v>406.8038414154866</c:v>
                </c:pt>
                <c:pt idx="102">
                  <c:v>413.34757609407194</c:v>
                </c:pt>
                <c:pt idx="103">
                  <c:v>419.88907590240751</c:v>
                </c:pt>
                <c:pt idx="104">
                  <c:v>426.42838059605697</c:v>
                </c:pt>
                <c:pt idx="105">
                  <c:v>432.96552861089191</c:v>
                </c:pt>
                <c:pt idx="106">
                  <c:v>413.73243167051146</c:v>
                </c:pt>
                <c:pt idx="107">
                  <c:v>419.50434294248174</c:v>
                </c:pt>
                <c:pt idx="108">
                  <c:v>425.27454344239936</c:v>
                </c:pt>
                <c:pt idx="109">
                  <c:v>431.04305967701976</c:v>
                </c:pt>
                <c:pt idx="110">
                  <c:v>436.8099173851611</c:v>
                </c:pt>
                <c:pt idx="111">
                  <c:v>417.19578523729075</c:v>
                </c:pt>
                <c:pt idx="112">
                  <c:v>422.58199440092784</c:v>
                </c:pt>
                <c:pt idx="113">
                  <c:v>427.96672569921549</c:v>
                </c:pt>
                <c:pt idx="114">
                  <c:v>433.35000036713313</c:v>
                </c:pt>
                <c:pt idx="115">
                  <c:v>438.73183906857093</c:v>
                </c:pt>
                <c:pt idx="116">
                  <c:v>418.35009841196273</c:v>
                </c:pt>
                <c:pt idx="117">
                  <c:v>422.96666682108594</c:v>
                </c:pt>
                <c:pt idx="118">
                  <c:v>427.58215058986383</c:v>
                </c:pt>
                <c:pt idx="119">
                  <c:v>432.19656309026982</c:v>
                </c:pt>
                <c:pt idx="120">
                  <c:v>436.80991738516127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12</xdr:row>
      <xdr:rowOff>42862</xdr:rowOff>
    </xdr:from>
    <xdr:to>
      <xdr:col>9</xdr:col>
      <xdr:colOff>0</xdr:colOff>
      <xdr:row>26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A82C06F-E780-42D4-83B8-05B594BCD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3" t="s">
        <v>291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</row>
    <row r="13" spans="2:13" ht="15" customHeight="1" x14ac:dyDescent="0.25"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</row>
    <row r="14" spans="2:13" ht="15" customHeight="1" x14ac:dyDescent="0.25"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</row>
    <row r="15" spans="2:13" ht="18.75" customHeight="1" x14ac:dyDescent="0.25"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</row>
    <row r="16" spans="2:13" ht="18.75" customHeight="1" x14ac:dyDescent="0.25"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</row>
    <row r="18" spans="2:13" ht="12" customHeight="1" x14ac:dyDescent="0.25">
      <c r="B18" s="313" t="s">
        <v>292</v>
      </c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</row>
    <row r="19" spans="2:13" ht="12" customHeight="1" x14ac:dyDescent="0.25"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</row>
    <row r="20" spans="2:13" ht="12" customHeight="1" x14ac:dyDescent="0.25"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</row>
    <row r="21" spans="2:13" ht="12" customHeight="1" x14ac:dyDescent="0.25"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</row>
    <row r="22" spans="2:13" ht="12" customHeight="1" x14ac:dyDescent="0.25"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</row>
    <row r="23" spans="2:13" ht="12" customHeight="1" x14ac:dyDescent="0.25"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</row>
    <row r="24" spans="2:13" ht="12" customHeight="1" x14ac:dyDescent="0.25"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</row>
    <row r="25" spans="2:13" ht="12" customHeight="1" x14ac:dyDescent="0.25"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</row>
    <row r="26" spans="2:13" ht="12" customHeight="1" x14ac:dyDescent="0.25"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</row>
    <row r="27" spans="2:13" ht="12" customHeight="1" x14ac:dyDescent="0.25"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</row>
    <row r="28" spans="2:13" ht="12" customHeight="1" x14ac:dyDescent="0.25"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</row>
    <row r="29" spans="2:13" ht="12" customHeight="1" x14ac:dyDescent="0.25"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</row>
    <row r="30" spans="2:13" ht="12" customHeight="1" x14ac:dyDescent="0.25"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</row>
    <row r="31" spans="2:13" ht="12" customHeight="1" x14ac:dyDescent="0.25"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H30" sqref="H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8" t="s">
        <v>190</v>
      </c>
      <c r="D1" s="318"/>
      <c r="E1" s="3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9" t="s">
        <v>192</v>
      </c>
      <c r="C3" s="320"/>
      <c r="D3" s="320"/>
      <c r="E3" s="320"/>
      <c r="F3" s="32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5" t="s">
        <v>231</v>
      </c>
      <c r="B5" s="325"/>
      <c r="C5" s="26">
        <v>2.25</v>
      </c>
      <c r="D5" s="326" t="s">
        <v>229</v>
      </c>
      <c r="E5" s="32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3" t="s">
        <v>226</v>
      </c>
      <c r="B7" s="32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0.28999999999999998</v>
      </c>
      <c r="D9" s="36">
        <f t="shared" ref="D9:D18" si="0">C9*$C$5</f>
        <v>0.65249999999999997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81</v>
      </c>
      <c r="C10" s="35">
        <v>0.6</v>
      </c>
      <c r="D10" s="36">
        <f t="shared" si="0"/>
        <v>1.3499999999999999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0.11</v>
      </c>
      <c r="D11" s="36">
        <f t="shared" si="0"/>
        <v>0.2475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2.25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2" t="s">
        <v>232</v>
      </c>
      <c r="B22" s="32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4" t="s">
        <v>227</v>
      </c>
      <c r="B30" s="32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154</v>
      </c>
      <c r="C36" s="63">
        <v>1</v>
      </c>
      <c r="D36" s="63">
        <v>0</v>
      </c>
      <c r="E36" s="54"/>
      <c r="F36" s="54"/>
      <c r="G36" s="54">
        <v>1</v>
      </c>
      <c r="H36" s="54"/>
      <c r="I36" s="52">
        <f>IFERROR(B36/A36,"")</f>
        <v>8.1052631578947363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v>195</v>
      </c>
      <c r="C37" s="63">
        <v>2</v>
      </c>
      <c r="D37" s="63">
        <v>65</v>
      </c>
      <c r="E37" s="54"/>
      <c r="F37" s="54"/>
      <c r="G37" s="54">
        <v>1</v>
      </c>
      <c r="H37" s="54"/>
      <c r="I37" s="56">
        <f t="shared" ref="I37:I55" si="1">IF(A37&lt;&gt;0,(B37-(B36-D36))/(A37-A36),"")</f>
        <v>20.5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v>282</v>
      </c>
      <c r="C38" s="63">
        <v>3</v>
      </c>
      <c r="D38" s="63">
        <v>68</v>
      </c>
      <c r="E38" s="54"/>
      <c r="F38" s="54">
        <v>0.2</v>
      </c>
      <c r="G38" s="54">
        <v>0.8</v>
      </c>
      <c r="H38" s="54"/>
      <c r="I38" s="56">
        <f t="shared" si="1"/>
        <v>21.714285714285715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377</v>
      </c>
      <c r="C39" s="63">
        <v>4</v>
      </c>
      <c r="D39" s="63">
        <v>87</v>
      </c>
      <c r="E39" s="54"/>
      <c r="F39" s="54"/>
      <c r="G39" s="54"/>
      <c r="H39" s="54"/>
      <c r="I39" s="52">
        <f t="shared" si="1"/>
        <v>23.285714285714285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42</v>
      </c>
      <c r="B40" s="63">
        <v>450</v>
      </c>
      <c r="C40" s="63">
        <v>5</v>
      </c>
      <c r="D40" s="63">
        <v>100</v>
      </c>
      <c r="E40" s="54"/>
      <c r="F40" s="54"/>
      <c r="G40" s="54"/>
      <c r="H40" s="54"/>
      <c r="I40" s="52">
        <f t="shared" si="1"/>
        <v>22.857142857142858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49</v>
      </c>
      <c r="B41" s="63">
        <v>504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22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533</v>
      </c>
      <c r="C42" s="63">
        <v>7</v>
      </c>
      <c r="D42" s="63">
        <v>95</v>
      </c>
      <c r="E42" s="54"/>
      <c r="F42" s="54"/>
      <c r="G42" s="54"/>
      <c r="H42" s="54"/>
      <c r="I42" s="56">
        <f t="shared" si="1"/>
        <v>20.285714285714285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63</v>
      </c>
      <c r="B43" s="63">
        <v>569</v>
      </c>
      <c r="C43" s="63">
        <v>8</v>
      </c>
      <c r="D43" s="63">
        <v>99</v>
      </c>
      <c r="E43" s="54"/>
      <c r="F43" s="54"/>
      <c r="G43" s="54"/>
      <c r="H43" s="54"/>
      <c r="I43" s="52">
        <f t="shared" si="1"/>
        <v>18.714285714285715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69</v>
      </c>
      <c r="B44" s="63">
        <v>570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16.666666666666668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586</v>
      </c>
      <c r="C45" s="63">
        <v>10</v>
      </c>
      <c r="D45" s="63">
        <v>586</v>
      </c>
      <c r="E45" s="54"/>
      <c r="F45" s="54"/>
      <c r="G45" s="54"/>
      <c r="H45" s="54"/>
      <c r="I45" s="52">
        <f t="shared" si="1"/>
        <v>16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Mélèze hybride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48</v>
      </c>
      <c r="C62" s="63">
        <v>1</v>
      </c>
      <c r="D62" s="63">
        <v>10</v>
      </c>
      <c r="E62" s="54"/>
      <c r="F62" s="54"/>
      <c r="G62" s="54">
        <v>1</v>
      </c>
      <c r="H62" s="54"/>
      <c r="I62" s="56">
        <f>IFERROR(B62/A62,"")</f>
        <v>4.8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112</v>
      </c>
      <c r="C63" s="63">
        <v>2</v>
      </c>
      <c r="D63" s="63">
        <v>30</v>
      </c>
      <c r="E63" s="54"/>
      <c r="F63" s="54"/>
      <c r="G63" s="54">
        <v>1</v>
      </c>
      <c r="H63" s="54"/>
      <c r="I63" s="52">
        <f>IF(A63&lt;&gt;0,(B63-(B62-D62))/(A63-A62),"")</f>
        <v>14.8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160</v>
      </c>
      <c r="C64" s="63">
        <v>3</v>
      </c>
      <c r="D64" s="63">
        <v>34</v>
      </c>
      <c r="E64" s="54"/>
      <c r="F64" s="54">
        <v>0.2</v>
      </c>
      <c r="G64" s="54">
        <v>0.8</v>
      </c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195</v>
      </c>
      <c r="C65" s="63">
        <v>4</v>
      </c>
      <c r="D65" s="63">
        <v>32</v>
      </c>
      <c r="E65" s="54"/>
      <c r="F65" s="54">
        <v>0.2</v>
      </c>
      <c r="G65" s="54">
        <v>0.8</v>
      </c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220</v>
      </c>
      <c r="C66" s="63">
        <v>5</v>
      </c>
      <c r="D66" s="63">
        <v>27</v>
      </c>
      <c r="E66" s="54"/>
      <c r="F66" s="54">
        <v>0.4</v>
      </c>
      <c r="G66" s="54">
        <v>0.6</v>
      </c>
      <c r="H66" s="54"/>
      <c r="I66" s="52">
        <f t="shared" ref="I66:I81" si="2">IF(A66&lt;&gt;0,(B66-(B65-D65))/(A66-A65),"")</f>
        <v>11.4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236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247</v>
      </c>
      <c r="C68" s="63">
        <v>7</v>
      </c>
      <c r="D68" s="63">
        <v>16</v>
      </c>
      <c r="E68" s="54"/>
      <c r="F68" s="54"/>
      <c r="G68" s="54"/>
      <c r="H68" s="54"/>
      <c r="I68" s="52">
        <f t="shared" si="2"/>
        <v>6.4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254</v>
      </c>
      <c r="C69" s="53">
        <v>8</v>
      </c>
      <c r="D69" s="53">
        <v>12</v>
      </c>
      <c r="E69" s="54"/>
      <c r="F69" s="54"/>
      <c r="G69" s="54"/>
      <c r="H69" s="54"/>
      <c r="I69" s="52">
        <f t="shared" si="2"/>
        <v>4.5999999999999996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259</v>
      </c>
      <c r="C70" s="53">
        <v>9</v>
      </c>
      <c r="D70" s="53">
        <v>259</v>
      </c>
      <c r="E70" s="54"/>
      <c r="F70" s="54"/>
      <c r="G70" s="54"/>
      <c r="H70" s="54"/>
      <c r="I70" s="52">
        <f t="shared" si="2"/>
        <v>3.4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1" t="s">
        <v>176</v>
      </c>
      <c r="C1" s="332"/>
      <c r="D1" s="332"/>
      <c r="E1" s="332"/>
      <c r="F1" s="332"/>
      <c r="G1" s="332"/>
      <c r="H1" s="333"/>
      <c r="I1" s="328" t="str">
        <f>IF('Données projet'!$B$9="","",'Données projet'!$B$9)</f>
        <v>Douglas</v>
      </c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30"/>
      <c r="AD1" s="329" t="str">
        <f>IF('Données projet'!$B$10="","",'Données projet'!$B$10)</f>
        <v>Mélèze hybride</v>
      </c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30"/>
      <c r="AY1" s="328" t="str">
        <f>IF('Données projet'!$B$11="","",'Données projet'!$B$11)</f>
        <v>Chêne sessile</v>
      </c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30"/>
      <c r="BT1" s="328" t="str">
        <f>IF('Données projet'!$B$12="","",'Données projet'!$B$12)</f>
        <v/>
      </c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329"/>
      <c r="CL1" s="329"/>
      <c r="CM1" s="329"/>
      <c r="CN1" s="330"/>
      <c r="CO1" s="328" t="str">
        <f>IF('Données projet'!$B$13="","",'Données projet'!$B$13)</f>
        <v/>
      </c>
      <c r="CP1" s="329"/>
      <c r="CQ1" s="329"/>
      <c r="CR1" s="329"/>
      <c r="CS1" s="329"/>
      <c r="CT1" s="329"/>
      <c r="CU1" s="329"/>
      <c r="CV1" s="329"/>
      <c r="CW1" s="329"/>
      <c r="CX1" s="329"/>
      <c r="CY1" s="329"/>
      <c r="CZ1" s="329"/>
      <c r="DA1" s="329"/>
      <c r="DB1" s="329"/>
      <c r="DC1" s="329"/>
      <c r="DD1" s="329"/>
      <c r="DE1" s="329"/>
      <c r="DF1" s="329"/>
      <c r="DG1" s="329"/>
      <c r="DH1" s="329"/>
      <c r="DI1" s="330"/>
      <c r="DJ1" s="328" t="str">
        <f>IF('Données projet'!$B$14="","",'Données projet'!$B$14)</f>
        <v/>
      </c>
      <c r="DK1" s="329"/>
      <c r="DL1" s="329"/>
      <c r="DM1" s="329"/>
      <c r="DN1" s="329"/>
      <c r="DO1" s="329"/>
      <c r="DP1" s="329"/>
      <c r="DQ1" s="329"/>
      <c r="DR1" s="329"/>
      <c r="DS1" s="329"/>
      <c r="DT1" s="329"/>
      <c r="DU1" s="329"/>
      <c r="DV1" s="329"/>
      <c r="DW1" s="329"/>
      <c r="DX1" s="329"/>
      <c r="DY1" s="329"/>
      <c r="DZ1" s="329"/>
      <c r="EA1" s="329"/>
      <c r="EB1" s="329"/>
      <c r="EC1" s="329"/>
      <c r="ED1" s="330"/>
      <c r="EE1" s="328" t="str">
        <f>IF('Données projet'!$B$15="","",'Données projet'!$B$15)</f>
        <v/>
      </c>
      <c r="EF1" s="329"/>
      <c r="EG1" s="329"/>
      <c r="EH1" s="329"/>
      <c r="EI1" s="329"/>
      <c r="EJ1" s="329"/>
      <c r="EK1" s="329"/>
      <c r="EL1" s="329"/>
      <c r="EM1" s="329"/>
      <c r="EN1" s="329"/>
      <c r="EO1" s="329"/>
      <c r="EP1" s="329"/>
      <c r="EQ1" s="329"/>
      <c r="ER1" s="329"/>
      <c r="ES1" s="329"/>
      <c r="ET1" s="329"/>
      <c r="EU1" s="329"/>
      <c r="EV1" s="329"/>
      <c r="EW1" s="329"/>
      <c r="EX1" s="329"/>
      <c r="EY1" s="330"/>
      <c r="EZ1" s="328" t="str">
        <f>IF('Données projet'!$B$16="","",'Données projet'!$B$16)</f>
        <v/>
      </c>
      <c r="FA1" s="329"/>
      <c r="FB1" s="329"/>
      <c r="FC1" s="329"/>
      <c r="FD1" s="329"/>
      <c r="FE1" s="329"/>
      <c r="FF1" s="329"/>
      <c r="FG1" s="329"/>
      <c r="FH1" s="329"/>
      <c r="FI1" s="329"/>
      <c r="FJ1" s="329"/>
      <c r="FK1" s="329"/>
      <c r="FL1" s="329"/>
      <c r="FM1" s="329"/>
      <c r="FN1" s="329"/>
      <c r="FO1" s="329"/>
      <c r="FP1" s="329"/>
      <c r="FQ1" s="329"/>
      <c r="FR1" s="329"/>
      <c r="FS1" s="329"/>
      <c r="FT1" s="330"/>
      <c r="FU1" s="328" t="str">
        <f>IF('Données projet'!$B$17="","",'Données projet'!$B$17)</f>
        <v/>
      </c>
      <c r="FV1" s="329"/>
      <c r="FW1" s="329"/>
      <c r="FX1" s="329"/>
      <c r="FY1" s="329"/>
      <c r="FZ1" s="329"/>
      <c r="GA1" s="329"/>
      <c r="GB1" s="329"/>
      <c r="GC1" s="329"/>
      <c r="GD1" s="329"/>
      <c r="GE1" s="329"/>
      <c r="GF1" s="329"/>
      <c r="GG1" s="329"/>
      <c r="GH1" s="329"/>
      <c r="GI1" s="329"/>
      <c r="GJ1" s="329"/>
      <c r="GK1" s="329"/>
      <c r="GL1" s="329"/>
      <c r="GM1" s="329"/>
      <c r="GN1" s="329"/>
      <c r="GO1" s="330"/>
      <c r="GP1" s="328" t="str">
        <f>IF('Données projet'!$B$18="","",'Données projet'!$B$18)</f>
        <v/>
      </c>
      <c r="GQ1" s="329"/>
      <c r="GR1" s="329"/>
      <c r="GS1" s="329"/>
      <c r="GT1" s="329"/>
      <c r="GU1" s="329"/>
      <c r="GV1" s="329"/>
      <c r="GW1" s="329"/>
      <c r="GX1" s="329"/>
      <c r="GY1" s="329"/>
      <c r="GZ1" s="329"/>
      <c r="HA1" s="329"/>
      <c r="HB1" s="329"/>
      <c r="HC1" s="329"/>
      <c r="HD1" s="329"/>
      <c r="HE1" s="329"/>
      <c r="HF1" s="329"/>
      <c r="HG1" s="329"/>
      <c r="HH1" s="329"/>
      <c r="HI1" s="329"/>
      <c r="HJ1" s="330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320.36162823905426</v>
      </c>
      <c r="T3" s="62">
        <f>IF('Données projet'!E9&gt;30,$R$33-$H$33,LOOKUP('Données projet'!$E$9,$A$3:$A$203,R3:R203)-LOOKUP('Données projet'!$E$9,$A$3:$A$203,$H$3:$H$203))</f>
        <v>284.65760822544792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155.13440282866992</v>
      </c>
      <c r="AO3" s="62">
        <f>IF('Données projet'!E10&gt;30,$AM$33-$H$33,LOOKUP('Données projet'!$E$10,$A$3:$A$203,AM3:AM203)-LOOKUP('Données projet'!$E$10,$A$3:$A$203,$H$3:$H$203))</f>
        <v>229.92235675849565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182.11831308043929</v>
      </c>
      <c r="BJ3" s="62">
        <f>IF('Données projet'!E11&gt;30,$BH$33-$H$33,LOOKUP('Données projet'!$E$11,$A$3:$A$203,BH3:BH203)-LOOKUP('Données projet'!$E$11,$A$3:$A$203,$H$3:$H$203))</f>
        <v>75.532250323368885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8.1052631578947363</v>
      </c>
      <c r="N4" s="14">
        <f>IF('Données projet'!$A$36&gt;35,N3+M4-V3,IF(A4&lt;'Données projet'!$A$36,$K$205^A4,IF(A4='Données projet'!$A$36,'Données projet'!$B$36,N3+M4-V3)))</f>
        <v>1.3035649343705267</v>
      </c>
      <c r="O4" s="14">
        <f>N4*VLOOKUP('Données projet'!$B$9,Paramètres!$A$1:$I$89,3,0)*VLOOKUP('Données projet'!$B$9,Paramètres!$A$1:$I$89,5,0)</f>
        <v>0.72869279831312439</v>
      </c>
      <c r="P4" s="14">
        <f>EXP(-1.0587+0.8836*LN(O4)+0.284)</f>
        <v>0.34841461577858068</v>
      </c>
      <c r="Q4" s="22">
        <f t="shared" ref="Q4:Q34" si="2">(O4+P4)*0.475*44/12</f>
        <v>1.8759620795430532</v>
      </c>
      <c r="R4" s="62">
        <f t="shared" si="0"/>
        <v>295.20929541287637</v>
      </c>
      <c r="S4" s="62">
        <f ca="1">AVERAGE(OFFSET($R$3,0,0,'Données projet'!$E$9+1,1))-AVERAGE(OFFSET($H$3,0,0,'Données projet'!$E$9+1,1))</f>
        <v>320.36162823905426</v>
      </c>
      <c r="T4" s="62">
        <f>$T$3</f>
        <v>284.65760822544792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4.8</v>
      </c>
      <c r="AI4" s="14">
        <f>IF('Données projet'!$A$62&gt;35,AI3+AH4-AQ3,IF(A4&lt;'Données projet'!$A$62,$AF$205^A4,IF(A4='Données projet'!$A$62,'Données projet'!$B$62,AI3+AH4-AQ3)))</f>
        <v>1.4727333575346888</v>
      </c>
      <c r="AJ4" s="14">
        <f>AI4*VLOOKUP('Données projet'!$B$10,Paramètres!$A$1:$I$89,3,0)*VLOOKUP('Données projet'!$B$10,Paramètres!$A$1:$I$89,5,0)</f>
        <v>0.80411241321394011</v>
      </c>
      <c r="AK4" s="14">
        <f>EXP(-1.0587+0.8836*LN(AJ4)+0.284)</f>
        <v>0.38009307721444852</v>
      </c>
      <c r="AL4" s="22">
        <f t="shared" ref="AL4:AL67" si="4">(AJ4+AK4)*0.475*44/12</f>
        <v>2.0624912291627764</v>
      </c>
      <c r="AM4" s="62">
        <f t="shared" ref="AM4:AM67" si="5">AL4+(AD4+AE4)*44/12</f>
        <v>295.3958245624961</v>
      </c>
      <c r="AN4" s="62">
        <f ca="1">AVERAGE(OFFSET($AM$3,0,0,'Données projet'!$E$10+1,1))-AVERAGE(OFFSET($H$3,0,0,'Données projet'!$E$10+1,1))</f>
        <v>155.13440282866992</v>
      </c>
      <c r="AO4" s="62">
        <f>$AO$3</f>
        <v>229.92235675849565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1.0366626273684145</v>
      </c>
      <c r="BF4" s="14">
        <f>EXP(-1.0587+0.8836*LN(BE4)+0.284)</f>
        <v>0.47573960617002853</v>
      </c>
      <c r="BG4" s="22">
        <f t="shared" ref="BG4:BG67" si="7">(BE4+BF4)*0.475*44/12</f>
        <v>2.6341005567461218</v>
      </c>
      <c r="BH4" s="62">
        <f t="shared" ref="BH4:BH67" si="8">BG4+(AY4+AZ4)*44/12</f>
        <v>295.96743389007946</v>
      </c>
      <c r="BI4" s="62">
        <f ca="1">AVERAGE(OFFSET($BH$3,0,0,'Données projet'!$E$11+1,1))-AVERAGE(OFFSET($H$3,0,0,'Données projet'!$E$11+1,1))</f>
        <v>182.11831308043929</v>
      </c>
      <c r="BJ4" s="62">
        <f>$BJ$3</f>
        <v>75.532250323368885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8.1052631578947363</v>
      </c>
      <c r="N5" s="14">
        <f>IF('Données projet'!$A$36&gt;35,N4+M5-V4,IF(A5&lt;'Données projet'!$A$36,$K$205^A5,IF(A5='Données projet'!$A$36,'Données projet'!$B$36,N4+M5-V4)))</f>
        <v>1.6992815381204356</v>
      </c>
      <c r="O5" s="14">
        <f>N5*VLOOKUP('Données projet'!$B$9,Paramètres!$A$1:$I$89,3,0)*VLOOKUP('Données projet'!$B$9,Paramètres!$A$1:$I$89,5,0)</f>
        <v>0.94989837980932357</v>
      </c>
      <c r="P5" s="14">
        <f t="shared" ref="P5:P68" si="33">EXP(-1.0587+0.8836*LN(O5)+0.284)</f>
        <v>0.44038000483312834</v>
      </c>
      <c r="Q5" s="22">
        <f t="shared" si="2"/>
        <v>2.4214015199189372</v>
      </c>
      <c r="R5" s="62">
        <f t="shared" si="0"/>
        <v>295.75473485325227</v>
      </c>
      <c r="S5" s="62">
        <f ca="1">AVERAGE(OFFSET($R$3,0,0,'Données projet'!$E$9+1,1))-AVERAGE(OFFSET($H$3,0,0,'Données projet'!$E$9+1,1))</f>
        <v>320.36162823905426</v>
      </c>
      <c r="T5" s="62">
        <f t="shared" ref="T5:T68" si="34">$T$3</f>
        <v>284.65760822544792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4.8</v>
      </c>
      <c r="AI5" s="14">
        <f>IF('Données projet'!$A$62&gt;35,AI4+AH5-AQ4,IF(A5&lt;'Données projet'!$A$62,$AF$205^A5,IF(A5='Données projet'!$A$62,'Données projet'!$B$62,AI4+AH5-AQ4)))</f>
        <v>2.1689435423953976</v>
      </c>
      <c r="AJ5" s="14">
        <f>AI5*VLOOKUP('Données projet'!$B$10,Paramètres!$A$1:$I$89,3,0)*VLOOKUP('Données projet'!$B$10,Paramètres!$A$1:$I$89,5,0)</f>
        <v>1.1842431741478872</v>
      </c>
      <c r="AK5" s="14">
        <f t="shared" ref="AK5:AK68" si="35">EXP(-1.0587+0.8836*LN(AJ5)+0.284)</f>
        <v>0.53511168605455617</v>
      </c>
      <c r="AL5" s="22">
        <f t="shared" si="4"/>
        <v>2.9945430481859217</v>
      </c>
      <c r="AM5" s="62">
        <f t="shared" si="5"/>
        <v>296.32787638151922</v>
      </c>
      <c r="AN5" s="62">
        <f ca="1">AVERAGE(OFFSET($AM$3,0,0,'Données projet'!$E$10+1,1))-AVERAGE(OFFSET($H$3,0,0,'Données projet'!$E$10+1,1))</f>
        <v>155.13440282866992</v>
      </c>
      <c r="AO5" s="62">
        <f t="shared" ref="AO5:AO68" si="36">$AO$3</f>
        <v>229.92235675849565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1.187742487823148</v>
      </c>
      <c r="BF5" s="14">
        <f t="shared" ref="BF5:BF68" si="37">EXP(-1.0587+0.8836*LN(BE5)+0.284)</f>
        <v>0.53650859312100496</v>
      </c>
      <c r="BG5" s="22">
        <f t="shared" si="7"/>
        <v>3.0030706326443997</v>
      </c>
      <c r="BH5" s="62">
        <f t="shared" si="8"/>
        <v>296.33640396597769</v>
      </c>
      <c r="BI5" s="62">
        <f ca="1">AVERAGE(OFFSET($BH$3,0,0,'Données projet'!$E$11+1,1))-AVERAGE(OFFSET($H$3,0,0,'Données projet'!$E$11+1,1))</f>
        <v>182.11831308043929</v>
      </c>
      <c r="BJ5" s="62">
        <f t="shared" ref="BJ5:BJ68" si="38">$BJ$3</f>
        <v>75.532250323368885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8.1052631578947363</v>
      </c>
      <c r="N6" s="14">
        <f>IF('Données projet'!$A$36&gt;35,N5+M6-V5,IF(A6&lt;'Données projet'!$A$36,$K$205^A6,IF(A6='Données projet'!$A$36,'Données projet'!$B$36,N5+M6-V5)))</f>
        <v>2.2151238267170132</v>
      </c>
      <c r="O6" s="14">
        <f>N6*VLOOKUP('Données projet'!$B$9,Paramètres!$A$1:$I$89,3,0)*VLOOKUP('Données projet'!$B$9,Paramètres!$A$1:$I$89,5,0)</f>
        <v>1.2382542191348105</v>
      </c>
      <c r="P6" s="14">
        <f t="shared" si="33"/>
        <v>0.55662001498832792</v>
      </c>
      <c r="Q6" s="22">
        <f t="shared" si="2"/>
        <v>3.1260726244311328</v>
      </c>
      <c r="R6" s="62">
        <f t="shared" si="0"/>
        <v>296.45940595776443</v>
      </c>
      <c r="S6" s="62">
        <f ca="1">AVERAGE(OFFSET($R$3,0,0,'Données projet'!$E$9+1,1))-AVERAGE(OFFSET($H$3,0,0,'Données projet'!$E$9+1,1))</f>
        <v>320.36162823905426</v>
      </c>
      <c r="T6" s="62">
        <f t="shared" si="34"/>
        <v>284.65760822544792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4.8</v>
      </c>
      <c r="AI6" s="14">
        <f>IF('Données projet'!$A$62&gt;35,AI5+AH6-AQ5,IF(A6&lt;'Données projet'!$A$62,$AF$205^A6,IF(A6='Données projet'!$A$62,'Données projet'!$B$62,AI5+AH6-AQ5)))</f>
        <v>3.1942755054951557</v>
      </c>
      <c r="AJ6" s="14">
        <f>AI6*VLOOKUP('Données projet'!$B$10,Paramètres!$A$1:$I$89,3,0)*VLOOKUP('Données projet'!$B$10,Paramètres!$A$1:$I$89,5,0)</f>
        <v>1.7440744260003551</v>
      </c>
      <c r="AK6" s="14">
        <f t="shared" si="35"/>
        <v>0.75335367497523342</v>
      </c>
      <c r="AL6" s="22">
        <f t="shared" si="4"/>
        <v>4.3496872758658158</v>
      </c>
      <c r="AM6" s="62">
        <f t="shared" si="5"/>
        <v>297.6830206091991</v>
      </c>
      <c r="AN6" s="62">
        <f ca="1">AVERAGE(OFFSET($AM$3,0,0,'Données projet'!$E$10+1,1))-AVERAGE(OFFSET($H$3,0,0,'Données projet'!$E$10+1,1))</f>
        <v>155.13440282866992</v>
      </c>
      <c r="AO6" s="62">
        <f t="shared" si="36"/>
        <v>229.92235675849565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1.3608402387973495</v>
      </c>
      <c r="BF6" s="14">
        <f t="shared" si="37"/>
        <v>0.60503995622724338</v>
      </c>
      <c r="BG6" s="22">
        <f t="shared" si="7"/>
        <v>3.4239080063344987</v>
      </c>
      <c r="BH6" s="62">
        <f t="shared" si="8"/>
        <v>296.75724133966781</v>
      </c>
      <c r="BI6" s="62">
        <f ca="1">AVERAGE(OFFSET($BH$3,0,0,'Données projet'!$E$11+1,1))-AVERAGE(OFFSET($H$3,0,0,'Données projet'!$E$11+1,1))</f>
        <v>182.11831308043929</v>
      </c>
      <c r="BJ6" s="62">
        <f t="shared" si="38"/>
        <v>75.532250323368885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8.1052631578947363</v>
      </c>
      <c r="N7" s="14">
        <f>IF('Données projet'!$A$36&gt;35,N6+M7-V6,IF(A7&lt;'Données projet'!$A$36,$K$205^A7,IF(A7='Données projet'!$A$36,'Données projet'!$B$36,N6+M7-V6)))</f>
        <v>2.8875577457969532</v>
      </c>
      <c r="O7" s="14">
        <f>N7*VLOOKUP('Données projet'!$B$9,Paramètres!$A$1:$I$89,3,0)*VLOOKUP('Données projet'!$B$9,Paramètres!$A$1:$I$89,5,0)</f>
        <v>1.6141447799004971</v>
      </c>
      <c r="P7" s="14">
        <f t="shared" si="33"/>
        <v>0.70354202662540888</v>
      </c>
      <c r="Q7" s="22">
        <f t="shared" si="2"/>
        <v>4.0366378546992854</v>
      </c>
      <c r="R7" s="62">
        <f t="shared" si="0"/>
        <v>297.36997118803259</v>
      </c>
      <c r="S7" s="62">
        <f ca="1">AVERAGE(OFFSET($R$3,0,0,'Données projet'!$E$9+1,1))-AVERAGE(OFFSET($H$3,0,0,'Données projet'!$E$9+1,1))</f>
        <v>320.36162823905426</v>
      </c>
      <c r="T7" s="62">
        <f t="shared" si="34"/>
        <v>284.65760822544792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4.8</v>
      </c>
      <c r="AI7" s="14">
        <f>IF('Données projet'!$A$62&gt;35,AI6+AH7-AQ6,IF(A7&lt;'Données projet'!$A$62,$AF$205^A7,IF(A7='Données projet'!$A$62,'Données projet'!$B$62,AI6+AH7-AQ6)))</f>
        <v>4.704316090098696</v>
      </c>
      <c r="AJ7" s="14">
        <f>AI7*VLOOKUP('Données projet'!$B$10,Paramètres!$A$1:$I$89,3,0)*VLOOKUP('Données projet'!$B$10,Paramètres!$A$1:$I$89,5,0)</f>
        <v>2.5685565851938881</v>
      </c>
      <c r="AK7" s="14">
        <f t="shared" si="35"/>
        <v>1.0606043082019834</v>
      </c>
      <c r="AL7" s="22">
        <f t="shared" si="4"/>
        <v>6.320788555997809</v>
      </c>
      <c r="AM7" s="62">
        <f t="shared" si="5"/>
        <v>299.65412188933112</v>
      </c>
      <c r="AN7" s="62">
        <f ca="1">AVERAGE(OFFSET($AM$3,0,0,'Données projet'!$E$10+1,1))-AVERAGE(OFFSET($H$3,0,0,'Données projet'!$E$10+1,1))</f>
        <v>155.13440282866992</v>
      </c>
      <c r="AO7" s="62">
        <f t="shared" si="36"/>
        <v>229.92235675849565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1.5591646964857659</v>
      </c>
      <c r="BF7" s="14">
        <f t="shared" si="37"/>
        <v>0.68232522894353675</v>
      </c>
      <c r="BG7" s="22">
        <f t="shared" si="7"/>
        <v>3.9039282867893692</v>
      </c>
      <c r="BH7" s="62">
        <f t="shared" si="8"/>
        <v>297.23726162012269</v>
      </c>
      <c r="BI7" s="62">
        <f ca="1">AVERAGE(OFFSET($BH$3,0,0,'Données projet'!$E$11+1,1))-AVERAGE(OFFSET($H$3,0,0,'Données projet'!$E$11+1,1))</f>
        <v>182.11831308043929</v>
      </c>
      <c r="BJ7" s="62">
        <f t="shared" si="38"/>
        <v>75.532250323368885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8.1052631578947363</v>
      </c>
      <c r="N8" s="14">
        <f>IF('Données projet'!$A$36&gt;35,N7+M8-V7,IF(A8&lt;'Données projet'!$A$36,$K$205^A8,IF(A8='Données projet'!$A$36,'Données projet'!$B$36,N7+M8-V7)))</f>
        <v>3.7641190233909114</v>
      </c>
      <c r="O8" s="14">
        <f>N8*VLOOKUP('Données projet'!$B$9,Paramètres!$A$1:$I$89,3,0)*VLOOKUP('Données projet'!$B$9,Paramètres!$A$1:$I$89,5,0)</f>
        <v>2.1041425340755198</v>
      </c>
      <c r="P8" s="14">
        <f t="shared" si="33"/>
        <v>0.88924467302629573</v>
      </c>
      <c r="Q8" s="22">
        <f t="shared" si="2"/>
        <v>5.2134827190356612</v>
      </c>
      <c r="R8" s="62">
        <f t="shared" si="0"/>
        <v>298.54681605236897</v>
      </c>
      <c r="S8" s="62">
        <f ca="1">AVERAGE(OFFSET($R$3,0,0,'Données projet'!$E$9+1,1))-AVERAGE(OFFSET($H$3,0,0,'Données projet'!$E$9+1,1))</f>
        <v>320.36162823905426</v>
      </c>
      <c r="T8" s="62">
        <f t="shared" si="34"/>
        <v>284.65760822544792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4.8</v>
      </c>
      <c r="AI8" s="14">
        <f>IF('Données projet'!$A$62&gt;35,AI7+AH8-AQ7,IF(A8&lt;'Données projet'!$A$62,$AF$205^A8,IF(A8='Données projet'!$A$62,'Données projet'!$B$62,AI7+AH8-AQ7)))</f>
        <v>6.9282032302755123</v>
      </c>
      <c r="AJ8" s="14">
        <f>AI8*VLOOKUP('Données projet'!$B$10,Paramètres!$A$1:$I$89,3,0)*VLOOKUP('Données projet'!$B$10,Paramètres!$A$1:$I$89,5,0)</f>
        <v>3.7827989637304298</v>
      </c>
      <c r="AK8" s="14">
        <f t="shared" si="35"/>
        <v>1.4931652103689395</v>
      </c>
      <c r="AL8" s="22">
        <f t="shared" si="4"/>
        <v>9.1889709365564034</v>
      </c>
      <c r="AM8" s="62">
        <f t="shared" si="5"/>
        <v>302.52230426988973</v>
      </c>
      <c r="AN8" s="62">
        <f ca="1">AVERAGE(OFFSET($AM$3,0,0,'Données projet'!$E$10+1,1))-AVERAGE(OFFSET($H$3,0,0,'Données projet'!$E$10+1,1))</f>
        <v>155.13440282866992</v>
      </c>
      <c r="AO8" s="62">
        <f t="shared" si="36"/>
        <v>229.92235675849565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1.7863923195833453</v>
      </c>
      <c r="BF8" s="14">
        <f t="shared" si="37"/>
        <v>0.76948259905993732</v>
      </c>
      <c r="BG8" s="22">
        <f t="shared" si="7"/>
        <v>4.4514821499703841</v>
      </c>
      <c r="BH8" s="62">
        <f t="shared" si="8"/>
        <v>297.7848154833037</v>
      </c>
      <c r="BI8" s="62">
        <f ca="1">AVERAGE(OFFSET($BH$3,0,0,'Données projet'!$E$11+1,1))-AVERAGE(OFFSET($H$3,0,0,'Données projet'!$E$11+1,1))</f>
        <v>182.11831308043929</v>
      </c>
      <c r="BJ8" s="62">
        <f t="shared" si="38"/>
        <v>75.532250323368885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8.1052631578947363</v>
      </c>
      <c r="N9" s="14">
        <f>IF('Données projet'!$A$36&gt;35,N8+M9-V8,IF(A9&lt;'Données projet'!$A$36,$K$205^A9,IF(A9='Données projet'!$A$36,'Données projet'!$B$36,N8+M9-V8)))</f>
        <v>4.9067735676894246</v>
      </c>
      <c r="O9" s="14">
        <f>N9*VLOOKUP('Données projet'!$B$9,Paramètres!$A$1:$I$89,3,0)*VLOOKUP('Données projet'!$B$9,Paramètres!$A$1:$I$89,5,0)</f>
        <v>2.7428864243383888</v>
      </c>
      <c r="P9" s="14">
        <f t="shared" si="33"/>
        <v>1.1239642531357557</v>
      </c>
      <c r="Q9" s="22">
        <f t="shared" si="2"/>
        <v>6.7347649299341343</v>
      </c>
      <c r="R9" s="62">
        <f t="shared" si="0"/>
        <v>300.06809826326747</v>
      </c>
      <c r="S9" s="62">
        <f ca="1">AVERAGE(OFFSET($R$3,0,0,'Données projet'!$E$9+1,1))-AVERAGE(OFFSET($H$3,0,0,'Données projet'!$E$9+1,1))</f>
        <v>320.36162823905426</v>
      </c>
      <c r="T9" s="62">
        <f t="shared" si="34"/>
        <v>284.65760822544792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4.8</v>
      </c>
      <c r="AI9" s="14">
        <f>IF('Données projet'!$A$62&gt;35,AI8+AH9-AQ8,IF(A9&lt;'Données projet'!$A$62,$AF$205^A9,IF(A9='Données projet'!$A$62,'Données projet'!$B$62,AI8+AH9-AQ8)))</f>
        <v>10.203396005006331</v>
      </c>
      <c r="AJ9" s="14">
        <f>AI9*VLOOKUP('Données projet'!$B$10,Paramètres!$A$1:$I$89,3,0)*VLOOKUP('Données projet'!$B$10,Paramètres!$A$1:$I$89,5,0)</f>
        <v>5.5710542187334564</v>
      </c>
      <c r="AK9" s="14">
        <f t="shared" si="35"/>
        <v>2.1021433990173093</v>
      </c>
      <c r="AL9" s="22">
        <f t="shared" si="4"/>
        <v>13.364152517582584</v>
      </c>
      <c r="AM9" s="62">
        <f t="shared" si="5"/>
        <v>306.69748585091588</v>
      </c>
      <c r="AN9" s="62">
        <f ca="1">AVERAGE(OFFSET($AM$3,0,0,'Données projet'!$E$10+1,1))-AVERAGE(OFFSET($H$3,0,0,'Données projet'!$E$10+1,1))</f>
        <v>155.13440282866992</v>
      </c>
      <c r="AO9" s="62">
        <f t="shared" si="36"/>
        <v>229.92235675849565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2.0467353619916304</v>
      </c>
      <c r="BF9" s="14">
        <f t="shared" si="37"/>
        <v>0.86777308699666067</v>
      </c>
      <c r="BG9" s="22">
        <f t="shared" si="7"/>
        <v>5.0761022153212734</v>
      </c>
      <c r="BH9" s="62">
        <f t="shared" si="8"/>
        <v>298.40943554865459</v>
      </c>
      <c r="BI9" s="62">
        <f ca="1">AVERAGE(OFFSET($BH$3,0,0,'Données projet'!$E$11+1,1))-AVERAGE(OFFSET($H$3,0,0,'Données projet'!$E$11+1,1))</f>
        <v>182.11831308043929</v>
      </c>
      <c r="BJ9" s="62">
        <f t="shared" si="38"/>
        <v>75.532250323368885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8.1052631578947363</v>
      </c>
      <c r="N10" s="14">
        <f>IF('Données projet'!$A$36&gt;35,N9+M10-V9,IF(A10&lt;'Données projet'!$A$36,$K$205^A10,IF(A10='Données projet'!$A$36,'Données projet'!$B$36,N9+M10-V9)))</f>
        <v>6.3962979637360995</v>
      </c>
      <c r="O10" s="14">
        <f>N10*VLOOKUP('Données projet'!$B$9,Paramètres!$A$1:$I$89,3,0)*VLOOKUP('Données projet'!$B$9,Paramètres!$A$1:$I$89,5,0)</f>
        <v>3.5755305617284794</v>
      </c>
      <c r="P10" s="14">
        <f t="shared" si="33"/>
        <v>1.4206389767033889</v>
      </c>
      <c r="Q10" s="22">
        <f t="shared" si="2"/>
        <v>8.7016619461021705</v>
      </c>
      <c r="R10" s="62">
        <f t="shared" si="0"/>
        <v>302.03499527943546</v>
      </c>
      <c r="S10" s="62">
        <f ca="1">AVERAGE(OFFSET($R$3,0,0,'Données projet'!$E$9+1,1))-AVERAGE(OFFSET($H$3,0,0,'Données projet'!$E$9+1,1))</f>
        <v>320.36162823905426</v>
      </c>
      <c r="T10" s="62">
        <f t="shared" si="34"/>
        <v>284.65760822544792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4.8</v>
      </c>
      <c r="AI10" s="14">
        <f>IF('Données projet'!$A$62&gt;35,AI9+AH10-AQ9,IF(A10&lt;'Données projet'!$A$62,$AF$205^A10,IF(A10='Données projet'!$A$62,'Données projet'!$B$62,AI9+AH10-AQ9)))</f>
        <v>15.026881656709007</v>
      </c>
      <c r="AJ10" s="14">
        <f>AI10*VLOOKUP('Données projet'!$B$10,Paramètres!$A$1:$I$89,3,0)*VLOOKUP('Données projet'!$B$10,Paramètres!$A$1:$I$89,5,0)</f>
        <v>8.2046773845631176</v>
      </c>
      <c r="AK10" s="14">
        <f t="shared" si="35"/>
        <v>2.959489572450039</v>
      </c>
      <c r="AL10" s="22">
        <f t="shared" si="4"/>
        <v>19.444257450131246</v>
      </c>
      <c r="AM10" s="62">
        <f t="shared" si="5"/>
        <v>312.77759078346457</v>
      </c>
      <c r="AN10" s="62">
        <f ca="1">AVERAGE(OFFSET($AM$3,0,0,'Données projet'!$E$10+1,1))-AVERAGE(OFFSET($H$3,0,0,'Données projet'!$E$10+1,1))</f>
        <v>155.13440282866992</v>
      </c>
      <c r="AO10" s="62">
        <f t="shared" si="36"/>
        <v>229.92235675849565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2.3450199578802908</v>
      </c>
      <c r="BF10" s="14">
        <f t="shared" si="37"/>
        <v>0.97861879064669866</v>
      </c>
      <c r="BG10" s="22">
        <f t="shared" si="7"/>
        <v>5.7886708203511725</v>
      </c>
      <c r="BH10" s="62">
        <f t="shared" si="8"/>
        <v>299.12200415368449</v>
      </c>
      <c r="BI10" s="62">
        <f ca="1">AVERAGE(OFFSET($BH$3,0,0,'Données projet'!$E$11+1,1))-AVERAGE(OFFSET($H$3,0,0,'Données projet'!$E$11+1,1))</f>
        <v>182.11831308043929</v>
      </c>
      <c r="BJ10" s="62">
        <f t="shared" si="38"/>
        <v>75.532250323368885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8.1052631578947363</v>
      </c>
      <c r="N11" s="14">
        <f>IF('Données projet'!$A$36&gt;35,N10+M11-V10,IF(A11&lt;'Données projet'!$A$36,$K$205^A11,IF(A11='Données projet'!$A$36,'Données projet'!$B$36,N10+M11-V10)))</f>
        <v>8.3379897353119823</v>
      </c>
      <c r="O11" s="14">
        <f>N11*VLOOKUP('Données projet'!$B$9,Paramètres!$A$1:$I$89,3,0)*VLOOKUP('Données projet'!$B$9,Paramètres!$A$1:$I$89,5,0)</f>
        <v>4.6609362620393986</v>
      </c>
      <c r="P11" s="14">
        <f t="shared" si="33"/>
        <v>1.7956221441191047</v>
      </c>
      <c r="Q11" s="22">
        <f t="shared" si="2"/>
        <v>11.245172557392728</v>
      </c>
      <c r="R11" s="62">
        <f t="shared" si="0"/>
        <v>304.57850589072603</v>
      </c>
      <c r="S11" s="62">
        <f ca="1">AVERAGE(OFFSET($R$3,0,0,'Données projet'!$E$9+1,1))-AVERAGE(OFFSET($H$3,0,0,'Données projet'!$E$9+1,1))</f>
        <v>320.36162823905426</v>
      </c>
      <c r="T11" s="62">
        <f t="shared" si="34"/>
        <v>284.65760822544792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4.8</v>
      </c>
      <c r="AI11" s="14">
        <f>IF('Données projet'!$A$62&gt;35,AI10+AH11-AQ10,IF(A11&lt;'Données projet'!$A$62,$AF$205^A11,IF(A11='Données projet'!$A$62,'Données projet'!$B$62,AI10+AH11-AQ10)))</f>
        <v>22.130589875561483</v>
      </c>
      <c r="AJ11" s="14">
        <f>AI11*VLOOKUP('Données projet'!$B$10,Paramètres!$A$1:$I$89,3,0)*VLOOKUP('Données projet'!$B$10,Paramètres!$A$1:$I$89,5,0)</f>
        <v>12.08330207205657</v>
      </c>
      <c r="AK11" s="14">
        <f t="shared" si="35"/>
        <v>4.166499075912184</v>
      </c>
      <c r="AL11" s="22">
        <f t="shared" si="4"/>
        <v>28.301736999378914</v>
      </c>
      <c r="AM11" s="62">
        <f t="shared" si="5"/>
        <v>321.63507033271225</v>
      </c>
      <c r="AN11" s="62">
        <f ca="1">AVERAGE(OFFSET($AM$3,0,0,'Données projet'!$E$10+1,1))-AVERAGE(OFFSET($H$3,0,0,'Données projet'!$E$10+1,1))</f>
        <v>155.13440282866992</v>
      </c>
      <c r="AO11" s="62">
        <f t="shared" si="36"/>
        <v>229.92235675849565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2.6867755866131198</v>
      </c>
      <c r="BF11" s="14">
        <f t="shared" si="37"/>
        <v>1.1036234607382931</v>
      </c>
      <c r="BG11" s="22">
        <f t="shared" si="7"/>
        <v>6.6016116741370441</v>
      </c>
      <c r="BH11" s="62">
        <f t="shared" si="8"/>
        <v>299.93494500747033</v>
      </c>
      <c r="BI11" s="62">
        <f ca="1">AVERAGE(OFFSET($BH$3,0,0,'Données projet'!$E$11+1,1))-AVERAGE(OFFSET($H$3,0,0,'Données projet'!$E$11+1,1))</f>
        <v>182.11831308043929</v>
      </c>
      <c r="BJ11" s="62">
        <f t="shared" si="38"/>
        <v>75.532250323368885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8.1052631578947363</v>
      </c>
      <c r="N12" s="14">
        <f>IF('Données projet'!$A$36&gt;35,N11+M12-V11,IF(A12&lt;'Données projet'!$A$36,$K$205^A12,IF(A12='Données projet'!$A$36,'Données projet'!$B$36,N11+M12-V11)))</f>
        <v>10.869111042094088</v>
      </c>
      <c r="O12" s="14">
        <f>N12*VLOOKUP('Données projet'!$B$9,Paramètres!$A$1:$I$89,3,0)*VLOOKUP('Données projet'!$B$9,Paramètres!$A$1:$I$89,5,0)</f>
        <v>6.0758330725305951</v>
      </c>
      <c r="P12" s="14">
        <f t="shared" si="33"/>
        <v>2.2695835728320102</v>
      </c>
      <c r="Q12" s="22">
        <f t="shared" si="2"/>
        <v>14.534933990673203</v>
      </c>
      <c r="R12" s="62">
        <f t="shared" si="0"/>
        <v>307.86826732400652</v>
      </c>
      <c r="S12" s="62">
        <f ca="1">AVERAGE(OFFSET($R$3,0,0,'Données projet'!$E$9+1,1))-AVERAGE(OFFSET($H$3,0,0,'Données projet'!$E$9+1,1))</f>
        <v>320.36162823905426</v>
      </c>
      <c r="T12" s="62">
        <f t="shared" si="34"/>
        <v>284.65760822544792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4.8</v>
      </c>
      <c r="AI12" s="14">
        <f>IF('Données projet'!$A$62&gt;35,AI11+AH12-AQ11,IF(A12&lt;'Données projet'!$A$62,$AF$205^A12,IF(A12='Données projet'!$A$62,'Données projet'!$B$62,AI11+AH12-AQ11)))</f>
        <v>32.592457931658856</v>
      </c>
      <c r="AJ12" s="14">
        <f>AI12*VLOOKUP('Données projet'!$B$10,Paramètres!$A$1:$I$89,3,0)*VLOOKUP('Données projet'!$B$10,Paramètres!$A$1:$I$89,5,0)</f>
        <v>17.795482030685736</v>
      </c>
      <c r="AK12" s="14">
        <f t="shared" si="35"/>
        <v>5.8657799342086214</v>
      </c>
      <c r="AL12" s="22">
        <f t="shared" si="4"/>
        <v>41.210031255524335</v>
      </c>
      <c r="AM12" s="62">
        <f t="shared" si="5"/>
        <v>334.54336458885763</v>
      </c>
      <c r="AN12" s="62">
        <f ca="1">AVERAGE(OFFSET($AM$3,0,0,'Données projet'!$E$10+1,1))-AVERAGE(OFFSET($H$3,0,0,'Données projet'!$E$10+1,1))</f>
        <v>155.13440282866992</v>
      </c>
      <c r="AO12" s="62">
        <f t="shared" si="36"/>
        <v>229.92235675849565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3.0783375760031726</v>
      </c>
      <c r="BF12" s="14">
        <f t="shared" si="37"/>
        <v>1.2445957044081368</v>
      </c>
      <c r="BG12" s="22">
        <f t="shared" si="7"/>
        <v>7.5291087967163621</v>
      </c>
      <c r="BH12" s="62">
        <f t="shared" si="8"/>
        <v>300.86244213004966</v>
      </c>
      <c r="BI12" s="62">
        <f ca="1">AVERAGE(OFFSET($BH$3,0,0,'Données projet'!$E$11+1,1))-AVERAGE(OFFSET($H$3,0,0,'Données projet'!$E$11+1,1))</f>
        <v>182.11831308043929</v>
      </c>
      <c r="BJ12" s="62">
        <f t="shared" si="38"/>
        <v>75.532250323368885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8.1052631578947363</v>
      </c>
      <c r="N13" s="14">
        <f>IF('Données projet'!$A$36&gt;35,N12+M13-V12,IF(A13&lt;'Données projet'!$A$36,$K$205^A13,IF(A13='Données projet'!$A$36,'Données projet'!$B$36,N12+M13-V12)))</f>
        <v>14.16859202225335</v>
      </c>
      <c r="O13" s="14">
        <f>N13*VLOOKUP('Données projet'!$B$9,Paramètres!$A$1:$I$89,3,0)*VLOOKUP('Données projet'!$B$9,Paramètres!$A$1:$I$89,5,0)</f>
        <v>7.9202429404396222</v>
      </c>
      <c r="P13" s="14">
        <f t="shared" si="33"/>
        <v>2.8686489587684911</v>
      </c>
      <c r="Q13" s="22">
        <f t="shared" si="2"/>
        <v>18.790653391120799</v>
      </c>
      <c r="R13" s="62">
        <f t="shared" si="0"/>
        <v>312.12398672445408</v>
      </c>
      <c r="S13" s="62">
        <f ca="1">AVERAGE(OFFSET($R$3,0,0,'Données projet'!$E$9+1,1))-AVERAGE(OFFSET($H$3,0,0,'Données projet'!$E$9+1,1))</f>
        <v>320.36162823905426</v>
      </c>
      <c r="T13" s="62">
        <f t="shared" si="34"/>
        <v>284.65760822544792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48</v>
      </c>
      <c r="AG13" s="13">
        <f>VLOOKUP(A13,'Données projet'!$A$61:$I$81,9,0)</f>
        <v>4.8</v>
      </c>
      <c r="AH13" s="13">
        <f t="array" ref="AH13">INDEX(AG:AG,MIN(IF(ISNUMBER(AG13:AG209),ROW(AG13:AG209),"")))</f>
        <v>4.8</v>
      </c>
      <c r="AI13" s="14">
        <f>IF('Données projet'!$A$62&gt;35,AI12+AH13-AQ12,IF(A13&lt;'Données projet'!$A$62,$AF$205^A13,IF(A13='Données projet'!$A$62,'Données projet'!$B$62,AI12+AH13-AQ12)))</f>
        <v>48</v>
      </c>
      <c r="AJ13" s="14">
        <f>AI13*VLOOKUP('Données projet'!$B$10,Paramètres!$A$1:$I$89,3,0)*VLOOKUP('Données projet'!$B$10,Paramètres!$A$1:$I$89,5,0)</f>
        <v>26.208000000000002</v>
      </c>
      <c r="AK13" s="14">
        <f t="shared" si="35"/>
        <v>8.2581019723450986</v>
      </c>
      <c r="AL13" s="22">
        <f t="shared" si="4"/>
        <v>60.028460935167708</v>
      </c>
      <c r="AM13" s="62">
        <f t="shared" si="5"/>
        <v>353.361794268501</v>
      </c>
      <c r="AN13" s="62">
        <f ca="1">AVERAGE(OFFSET($AM$3,0,0,'Données projet'!$E$10+1,1))-AVERAGE(OFFSET($H$3,0,0,'Données projet'!$E$10+1,1))</f>
        <v>155.13440282866992</v>
      </c>
      <c r="AO13" s="62">
        <f t="shared" si="36"/>
        <v>229.92235675849565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10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6.1819883444945036</v>
      </c>
      <c r="AX13" s="23">
        <f t="shared" si="6"/>
        <v>6.1819883444945036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3.5269645440609696</v>
      </c>
      <c r="BF13" s="14">
        <f t="shared" si="37"/>
        <v>1.403575152701934</v>
      </c>
      <c r="BG13" s="22">
        <f t="shared" si="7"/>
        <v>8.587356638528723</v>
      </c>
      <c r="BH13" s="62">
        <f t="shared" si="8"/>
        <v>301.92068997186203</v>
      </c>
      <c r="BI13" s="62">
        <f ca="1">AVERAGE(OFFSET($BH$3,0,0,'Données projet'!$E$11+1,1))-AVERAGE(OFFSET($H$3,0,0,'Données projet'!$E$11+1,1))</f>
        <v>182.11831308043929</v>
      </c>
      <c r="BJ13" s="62">
        <f t="shared" si="38"/>
        <v>75.532250323368885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8.1052631578947363</v>
      </c>
      <c r="N14" s="14">
        <f>IF('Données projet'!$A$36&gt;35,N13+M14-V13,IF(A14&lt;'Données projet'!$A$36,$K$205^A14,IF(A14='Données projet'!$A$36,'Données projet'!$B$36,N13+M14-V13)))</f>
        <v>18.469679729611453</v>
      </c>
      <c r="O14" s="14">
        <f>N14*VLOOKUP('Données projet'!$B$9,Paramètres!$A$1:$I$89,3,0)*VLOOKUP('Données projet'!$B$9,Paramètres!$A$1:$I$89,5,0)</f>
        <v>10.324550968852803</v>
      </c>
      <c r="P14" s="14">
        <f t="shared" si="33"/>
        <v>3.6258399766152398</v>
      </c>
      <c r="Q14" s="22">
        <f t="shared" si="2"/>
        <v>24.296930896690171</v>
      </c>
      <c r="R14" s="62">
        <f t="shared" si="0"/>
        <v>317.6302642300235</v>
      </c>
      <c r="S14" s="62">
        <f ca="1">AVERAGE(OFFSET($R$3,0,0,'Données projet'!$E$9+1,1))-AVERAGE(OFFSET($H$3,0,0,'Données projet'!$E$9+1,1))</f>
        <v>320.36162823905426</v>
      </c>
      <c r="T14" s="62">
        <f t="shared" si="34"/>
        <v>284.65760822544792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14.8</v>
      </c>
      <c r="AI14" s="14">
        <f>IF('Données projet'!$A$62&gt;35,AI13+AH14-AQ13,IF(A14&lt;'Données projet'!$A$62,$AF$205^A14,IF(A14='Données projet'!$A$62,'Données projet'!$B$62,AI13+AH14-AQ13)))</f>
        <v>52.8</v>
      </c>
      <c r="AJ14" s="14">
        <f>AI14*VLOOKUP('Données projet'!$B$10,Paramètres!$A$1:$I$89,3,0)*VLOOKUP('Données projet'!$B$10,Paramètres!$A$1:$I$89,5,0)</f>
        <v>28.828799999999998</v>
      </c>
      <c r="AK14" s="14">
        <f t="shared" si="35"/>
        <v>8.983691253405949</v>
      </c>
      <c r="AL14" s="22">
        <f t="shared" si="4"/>
        <v>65.856755599682018</v>
      </c>
      <c r="AM14" s="62">
        <f t="shared" si="5"/>
        <v>359.19008893301532</v>
      </c>
      <c r="AN14" s="62">
        <f ca="1">AVERAGE(OFFSET($AM$3,0,0,'Données projet'!$E$10+1,1))-AVERAGE(OFFSET($H$3,0,0,'Données projet'!$E$10+1,1))</f>
        <v>155.13440282866992</v>
      </c>
      <c r="AO14" s="62">
        <f t="shared" si="36"/>
        <v>229.92235675849565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4.3713258796082624</v>
      </c>
      <c r="AX14" s="23">
        <f t="shared" si="6"/>
        <v>4.3713258796082624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4.0409729563234826</v>
      </c>
      <c r="BF14" s="14">
        <f t="shared" si="37"/>
        <v>1.5828619706020071</v>
      </c>
      <c r="BG14" s="22">
        <f t="shared" si="7"/>
        <v>9.7948458310618953</v>
      </c>
      <c r="BH14" s="62">
        <f t="shared" si="8"/>
        <v>303.12817916439519</v>
      </c>
      <c r="BI14" s="62">
        <f ca="1">AVERAGE(OFFSET($BH$3,0,0,'Données projet'!$E$11+1,1))-AVERAGE(OFFSET($H$3,0,0,'Données projet'!$E$11+1,1))</f>
        <v>182.11831308043929</v>
      </c>
      <c r="BJ14" s="62">
        <f t="shared" si="38"/>
        <v>75.532250323368885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8.1052631578947363</v>
      </c>
      <c r="N15" s="14">
        <f>IF('Données projet'!$A$36&gt;35,N14+M15-V14,IF(A15&lt;'Données projet'!$A$36,$K$205^A15,IF(A15='Données projet'!$A$36,'Données projet'!$B$36,N14+M15-V14)))</f>
        <v>24.076426844575604</v>
      </c>
      <c r="O15" s="14">
        <f>N15*VLOOKUP('Données projet'!$B$9,Paramètres!$A$1:$I$89,3,0)*VLOOKUP('Données projet'!$B$9,Paramètres!$A$1:$I$89,5,0)</f>
        <v>13.458722606117764</v>
      </c>
      <c r="P15" s="14">
        <f t="shared" si="33"/>
        <v>4.5828945001569927</v>
      </c>
      <c r="Q15" s="22">
        <f t="shared" si="2"/>
        <v>31.422483126761865</v>
      </c>
      <c r="R15" s="62">
        <f t="shared" si="0"/>
        <v>324.75581646009516</v>
      </c>
      <c r="S15" s="62">
        <f ca="1">AVERAGE(OFFSET($R$3,0,0,'Données projet'!$E$9+1,1))-AVERAGE(OFFSET($H$3,0,0,'Données projet'!$E$9+1,1))</f>
        <v>320.36162823905426</v>
      </c>
      <c r="T15" s="62">
        <f t="shared" si="34"/>
        <v>284.65760822544792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14.8</v>
      </c>
      <c r="AI15" s="14">
        <f>IF('Données projet'!$A$62&gt;35,AI14+AH15-AQ14,IF(A15&lt;'Données projet'!$A$62,$AF$205^A15,IF(A15='Données projet'!$A$62,'Données projet'!$B$62,AI14+AH15-AQ14)))</f>
        <v>67.599999999999994</v>
      </c>
      <c r="AJ15" s="14">
        <f>AI15*VLOOKUP('Données projet'!$B$10,Paramètres!$A$1:$I$89,3,0)*VLOOKUP('Données projet'!$B$10,Paramètres!$A$1:$I$89,5,0)</f>
        <v>36.909599999999998</v>
      </c>
      <c r="AK15" s="14">
        <f t="shared" si="35"/>
        <v>11.175742444525723</v>
      </c>
      <c r="AL15" s="22">
        <f t="shared" si="4"/>
        <v>83.748638090882295</v>
      </c>
      <c r="AM15" s="62">
        <f t="shared" si="5"/>
        <v>377.08197142421562</v>
      </c>
      <c r="AN15" s="62">
        <f ca="1">AVERAGE(OFFSET($AM$3,0,0,'Données projet'!$E$10+1,1))-AVERAGE(OFFSET($H$3,0,0,'Données projet'!$E$10+1,1))</f>
        <v>155.13440282866992</v>
      </c>
      <c r="AO15" s="62">
        <f t="shared" si="36"/>
        <v>229.92235675849565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3.0909941722472523</v>
      </c>
      <c r="AX15" s="23">
        <f t="shared" si="6"/>
        <v>3.0909941722472523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4.6298912931333014</v>
      </c>
      <c r="BF15" s="14">
        <f t="shared" si="37"/>
        <v>1.7850501365423737</v>
      </c>
      <c r="BG15" s="22">
        <f t="shared" si="7"/>
        <v>11.172689656685135</v>
      </c>
      <c r="BH15" s="62">
        <f t="shared" si="8"/>
        <v>304.50602299001844</v>
      </c>
      <c r="BI15" s="62">
        <f ca="1">AVERAGE(OFFSET($BH$3,0,0,'Données projet'!$E$11+1,1))-AVERAGE(OFFSET($H$3,0,0,'Données projet'!$E$11+1,1))</f>
        <v>182.11831308043929</v>
      </c>
      <c r="BJ15" s="62">
        <f t="shared" si="38"/>
        <v>75.532250323368885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8.1052631578947363</v>
      </c>
      <c r="N16" s="14">
        <f>IF('Données projet'!$A$36&gt;35,N15+M16-V15,IF(A16&lt;'Données projet'!$A$36,$K$205^A16,IF(A16='Données projet'!$A$36,'Données projet'!$B$36,N15+M16-V15)))</f>
        <v>31.385185779525983</v>
      </c>
      <c r="O16" s="14">
        <f>N16*VLOOKUP('Données projet'!$B$9,Paramètres!$A$1:$I$89,3,0)*VLOOKUP('Données projet'!$B$9,Paramètres!$A$1:$I$89,5,0)</f>
        <v>17.544318850755026</v>
      </c>
      <c r="P16" s="14">
        <f t="shared" si="33"/>
        <v>5.7925672768315755</v>
      </c>
      <c r="Q16" s="22">
        <f t="shared" si="2"/>
        <v>40.645076672213328</v>
      </c>
      <c r="R16" s="62">
        <f t="shared" si="0"/>
        <v>333.97841000554666</v>
      </c>
      <c r="S16" s="62">
        <f ca="1">AVERAGE(OFFSET($R$3,0,0,'Données projet'!$E$9+1,1))-AVERAGE(OFFSET($H$3,0,0,'Données projet'!$E$9+1,1))</f>
        <v>320.36162823905426</v>
      </c>
      <c r="T16" s="62">
        <f t="shared" si="34"/>
        <v>284.65760822544792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14.8</v>
      </c>
      <c r="AI16" s="14">
        <f>IF('Données projet'!$A$62&gt;35,AI15+AH16-AQ15,IF(A16&lt;'Données projet'!$A$62,$AF$205^A16,IF(A16='Données projet'!$A$62,'Données projet'!$B$62,AI15+AH16-AQ15)))</f>
        <v>82.399999999999991</v>
      </c>
      <c r="AJ16" s="14">
        <f>AI16*VLOOKUP('Données projet'!$B$10,Paramètres!$A$1:$I$89,3,0)*VLOOKUP('Données projet'!$B$10,Paramètres!$A$1:$I$89,5,0)</f>
        <v>44.990400000000001</v>
      </c>
      <c r="AK16" s="14">
        <f t="shared" si="35"/>
        <v>13.312167338738384</v>
      </c>
      <c r="AL16" s="22">
        <f t="shared" si="4"/>
        <v>101.54363811496934</v>
      </c>
      <c r="AM16" s="62">
        <f t="shared" si="5"/>
        <v>394.87697144830264</v>
      </c>
      <c r="AN16" s="62">
        <f ca="1">AVERAGE(OFFSET($AM$3,0,0,'Données projet'!$E$10+1,1))-AVERAGE(OFFSET($H$3,0,0,'Données projet'!$E$10+1,1))</f>
        <v>155.13440282866992</v>
      </c>
      <c r="AO16" s="62">
        <f t="shared" si="36"/>
        <v>229.92235675849565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2.1856629398041316</v>
      </c>
      <c r="AX16" s="23">
        <f t="shared" si="6"/>
        <v>2.1856629398041316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5.3046366847587469</v>
      </c>
      <c r="BF16" s="14">
        <f t="shared" si="37"/>
        <v>2.0130649729098407</v>
      </c>
      <c r="BG16" s="22">
        <f t="shared" si="7"/>
        <v>12.74499705377279</v>
      </c>
      <c r="BH16" s="62">
        <f t="shared" si="8"/>
        <v>306.07833038710612</v>
      </c>
      <c r="BI16" s="62">
        <f ca="1">AVERAGE(OFFSET($BH$3,0,0,'Données projet'!$E$11+1,1))-AVERAGE(OFFSET($H$3,0,0,'Données projet'!$E$11+1,1))</f>
        <v>182.11831308043929</v>
      </c>
      <c r="BJ16" s="62">
        <f t="shared" si="38"/>
        <v>75.532250323368885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8.1052631578947363</v>
      </c>
      <c r="N17" s="14">
        <f>IF('Données projet'!$A$36&gt;35,N16+M17-V16,IF(A17&lt;'Données projet'!$A$36,$K$205^A17,IF(A17='Données projet'!$A$36,'Données projet'!$B$36,N16+M17-V16)))</f>
        <v>40.912627640894577</v>
      </c>
      <c r="O17" s="14">
        <f>N17*VLOOKUP('Données projet'!$B$9,Paramètres!$A$1:$I$89,3,0)*VLOOKUP('Données projet'!$B$9,Paramètres!$A$1:$I$89,5,0)</f>
        <v>22.870158851260069</v>
      </c>
      <c r="P17" s="14">
        <f t="shared" si="33"/>
        <v>7.3215378742562285</v>
      </c>
      <c r="Q17" s="22">
        <f t="shared" si="2"/>
        <v>52.583871796940883</v>
      </c>
      <c r="R17" s="62">
        <f t="shared" si="0"/>
        <v>345.91720513027417</v>
      </c>
      <c r="S17" s="62">
        <f ca="1">AVERAGE(OFFSET($R$3,0,0,'Données projet'!$E$9+1,1))-AVERAGE(OFFSET($H$3,0,0,'Données projet'!$E$9+1,1))</f>
        <v>320.36162823905426</v>
      </c>
      <c r="T17" s="62">
        <f t="shared" si="34"/>
        <v>284.65760822544792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14.8</v>
      </c>
      <c r="AI17" s="14">
        <f>IF('Données projet'!$A$62&gt;35,AI16+AH17-AQ16,IF(A17&lt;'Données projet'!$A$62,$AF$205^A17,IF(A17='Données projet'!$A$62,'Données projet'!$B$62,AI16+AH17-AQ16)))</f>
        <v>97.199999999999989</v>
      </c>
      <c r="AJ17" s="14">
        <f>AI17*VLOOKUP('Données projet'!$B$10,Paramètres!$A$1:$I$89,3,0)*VLOOKUP('Données projet'!$B$10,Paramètres!$A$1:$I$89,5,0)</f>
        <v>53.07119999999999</v>
      </c>
      <c r="AK17" s="14">
        <f t="shared" si="35"/>
        <v>15.404137822648009</v>
      </c>
      <c r="AL17" s="22">
        <f t="shared" si="4"/>
        <v>119.26121337444526</v>
      </c>
      <c r="AM17" s="62">
        <f t="shared" si="5"/>
        <v>412.59454670777859</v>
      </c>
      <c r="AN17" s="62">
        <f ca="1">AVERAGE(OFFSET($AM$3,0,0,'Données projet'!$E$10+1,1))-AVERAGE(OFFSET($H$3,0,0,'Données projet'!$E$10+1,1))</f>
        <v>155.13440282866992</v>
      </c>
      <c r="AO17" s="62">
        <f t="shared" si="36"/>
        <v>229.92235675849565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1.5454970861236264</v>
      </c>
      <c r="AX17" s="23">
        <f t="shared" si="6"/>
        <v>1.5454970861236264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6.077717288745446</v>
      </c>
      <c r="BF17" s="14">
        <f t="shared" si="37"/>
        <v>2.2702054705343011</v>
      </c>
      <c r="BG17" s="22">
        <f t="shared" si="7"/>
        <v>14.53929880574556</v>
      </c>
      <c r="BH17" s="62">
        <f t="shared" si="8"/>
        <v>307.87263213907886</v>
      </c>
      <c r="BI17" s="62">
        <f ca="1">AVERAGE(OFFSET($BH$3,0,0,'Données projet'!$E$11+1,1))-AVERAGE(OFFSET($H$3,0,0,'Données projet'!$E$11+1,1))</f>
        <v>182.11831308043929</v>
      </c>
      <c r="BJ17" s="62">
        <f t="shared" si="38"/>
        <v>75.532250323368885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8.1052631578947363</v>
      </c>
      <c r="N18" s="14">
        <f>IF('Données projet'!$A$36&gt;35,N17+M18-V17,IF(A18&lt;'Données projet'!$A$36,$K$205^A18,IF(A18='Données projet'!$A$36,'Données projet'!$B$36,N17+M18-V17)))</f>
        <v>53.332266765628532</v>
      </c>
      <c r="O18" s="14">
        <f>N18*VLOOKUP('Données projet'!$B$9,Paramètres!$A$1:$I$89,3,0)*VLOOKUP('Données projet'!$B$9,Paramètres!$A$1:$I$89,5,0)</f>
        <v>29.812737121986348</v>
      </c>
      <c r="P18" s="14">
        <f t="shared" si="33"/>
        <v>9.2540861905171141</v>
      </c>
      <c r="Q18" s="22">
        <f t="shared" si="2"/>
        <v>68.041383935943529</v>
      </c>
      <c r="R18" s="62">
        <f t="shared" si="0"/>
        <v>361.37471726927686</v>
      </c>
      <c r="S18" s="62">
        <f ca="1">AVERAGE(OFFSET($R$3,0,0,'Données projet'!$E$9+1,1))-AVERAGE(OFFSET($H$3,0,0,'Données projet'!$E$9+1,1))</f>
        <v>320.36162823905426</v>
      </c>
      <c r="T18" s="62">
        <f t="shared" si="34"/>
        <v>284.65760822544792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112</v>
      </c>
      <c r="AG18" s="13">
        <f>VLOOKUP(A18,'Données projet'!$A$61:$I$81,9,0)</f>
        <v>14.8</v>
      </c>
      <c r="AH18" s="13">
        <f t="array" ref="AH18">INDEX(AG:AG,MIN(IF(ISNUMBER(AG18:AG214),ROW(AG18:AG214),"")))</f>
        <v>14.8</v>
      </c>
      <c r="AI18" s="14">
        <f>IF('Données projet'!$A$62&gt;35,AI17+AH18-AQ17,IF(A18&lt;'Données projet'!$A$62,$AF$205^A18,IF(A18='Données projet'!$A$62,'Données projet'!$B$62,AI17+AH18-AQ17)))</f>
        <v>111.99999999999999</v>
      </c>
      <c r="AJ18" s="14">
        <f>AI18*VLOOKUP('Données projet'!$B$10,Paramètres!$A$1:$I$89,3,0)*VLOOKUP('Données projet'!$B$10,Paramètres!$A$1:$I$89,5,0)</f>
        <v>61.151999999999994</v>
      </c>
      <c r="AK18" s="14">
        <f t="shared" si="35"/>
        <v>17.459207591071255</v>
      </c>
      <c r="AL18" s="22">
        <f t="shared" si="4"/>
        <v>136.9145198877824</v>
      </c>
      <c r="AM18" s="62">
        <f t="shared" si="5"/>
        <v>430.24785322111575</v>
      </c>
      <c r="AN18" s="62">
        <f ca="1">AVERAGE(OFFSET($AM$3,0,0,'Données projet'!$E$10+1,1))-AVERAGE(OFFSET($H$3,0,0,'Données projet'!$E$10+1,1))</f>
        <v>155.13440282866992</v>
      </c>
      <c r="AO18" s="62">
        <f t="shared" si="36"/>
        <v>229.92235675849565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30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19.638796503385574</v>
      </c>
      <c r="AX18" s="23">
        <f t="shared" si="6"/>
        <v>19.638796503385574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6.9634641610889609</v>
      </c>
      <c r="BF18" s="14">
        <f t="shared" si="37"/>
        <v>2.5601920195323435</v>
      </c>
      <c r="BG18" s="22">
        <f t="shared" si="7"/>
        <v>16.587034514582104</v>
      </c>
      <c r="BH18" s="62">
        <f t="shared" si="8"/>
        <v>309.92036784791543</v>
      </c>
      <c r="BI18" s="62">
        <f ca="1">AVERAGE(OFFSET($BH$3,0,0,'Données projet'!$E$11+1,1))-AVERAGE(OFFSET($H$3,0,0,'Données projet'!$E$11+1,1))</f>
        <v>182.11831308043929</v>
      </c>
      <c r="BJ18" s="62">
        <f t="shared" si="38"/>
        <v>75.532250323368885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8.1052631578947363</v>
      </c>
      <c r="N19" s="14">
        <f>IF('Données projet'!$A$36&gt;35,N18+M19-V18,IF(A19&lt;'Données projet'!$A$36,$K$205^A19,IF(A19='Données projet'!$A$36,'Données projet'!$B$36,N18+M19-V18)))</f>
        <v>69.522072826167985</v>
      </c>
      <c r="O19" s="14">
        <f>N19*VLOOKUP('Données projet'!$B$9,Paramètres!$A$1:$I$89,3,0)*VLOOKUP('Données projet'!$B$9,Paramètres!$A$1:$I$89,5,0)</f>
        <v>38.862838709827905</v>
      </c>
      <c r="P19" s="14">
        <f t="shared" si="33"/>
        <v>11.69673812965411</v>
      </c>
      <c r="Q19" s="22">
        <f t="shared" si="2"/>
        <v>88.057929662097834</v>
      </c>
      <c r="R19" s="62">
        <f t="shared" si="0"/>
        <v>381.39126299543113</v>
      </c>
      <c r="S19" s="62">
        <f ca="1">AVERAGE(OFFSET($R$3,0,0,'Données projet'!$E$9+1,1))-AVERAGE(OFFSET($H$3,0,0,'Données projet'!$E$9+1,1))</f>
        <v>320.36162823905426</v>
      </c>
      <c r="T19" s="62">
        <f t="shared" si="34"/>
        <v>284.65760822544792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15.6</v>
      </c>
      <c r="AI19" s="14">
        <f>IF('Données projet'!$A$62&gt;35,AI18+AH19-AQ18,IF(A19&lt;'Données projet'!$A$62,$AF$205^A19,IF(A19='Données projet'!$A$62,'Données projet'!$B$62,AI18+AH19-AQ18)))</f>
        <v>97.59999999999998</v>
      </c>
      <c r="AJ19" s="14">
        <f>AI19*VLOOKUP('Données projet'!$B$10,Paramètres!$A$1:$I$89,3,0)*VLOOKUP('Données projet'!$B$10,Paramètres!$A$1:$I$89,5,0)</f>
        <v>53.289599999999986</v>
      </c>
      <c r="AK19" s="14">
        <f t="shared" si="35"/>
        <v>15.460137169232418</v>
      </c>
      <c r="AL19" s="22">
        <f t="shared" si="4"/>
        <v>119.73912556974642</v>
      </c>
      <c r="AM19" s="62">
        <f t="shared" si="5"/>
        <v>413.07245890307973</v>
      </c>
      <c r="AN19" s="62">
        <f ca="1">AVERAGE(OFFSET($AM$3,0,0,'Données projet'!$E$10+1,1))-AVERAGE(OFFSET($H$3,0,0,'Données projet'!$E$10+1,1))</f>
        <v>155.13440282866992</v>
      </c>
      <c r="AO19" s="62">
        <f t="shared" si="36"/>
        <v>229.92235675849565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13.886726181886599</v>
      </c>
      <c r="AX19" s="23">
        <f t="shared" si="6"/>
        <v>13.886726181886599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7.9782969195626388</v>
      </c>
      <c r="BF19" s="14">
        <f t="shared" si="37"/>
        <v>2.887220237089136</v>
      </c>
      <c r="BG19" s="22">
        <f t="shared" si="7"/>
        <v>18.924109047835174</v>
      </c>
      <c r="BH19" s="62">
        <f t="shared" si="8"/>
        <v>312.25744238116852</v>
      </c>
      <c r="BI19" s="62">
        <f ca="1">AVERAGE(OFFSET($BH$3,0,0,'Données projet'!$E$11+1,1))-AVERAGE(OFFSET($H$3,0,0,'Données projet'!$E$11+1,1))</f>
        <v>182.11831308043929</v>
      </c>
      <c r="BJ19" s="62">
        <f t="shared" si="38"/>
        <v>75.532250323368885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8.1052631578947363</v>
      </c>
      <c r="N20" s="14">
        <f>IF('Données projet'!$A$36&gt;35,N19+M20-V19,IF(A20&lt;'Données projet'!$A$36,$K$205^A20,IF(A20='Données projet'!$A$36,'Données projet'!$B$36,N19+M20-V19)))</f>
        <v>90.62653630094664</v>
      </c>
      <c r="O20" s="14">
        <f>N20*VLOOKUP('Données projet'!$B$9,Paramètres!$A$1:$I$89,3,0)*VLOOKUP('Données projet'!$B$9,Paramètres!$A$1:$I$89,5,0)</f>
        <v>50.660233792229178</v>
      </c>
      <c r="P20" s="14">
        <f t="shared" si="33"/>
        <v>14.784137521206649</v>
      </c>
      <c r="Q20" s="22">
        <f t="shared" si="2"/>
        <v>113.98228003756738</v>
      </c>
      <c r="R20" s="62">
        <f t="shared" si="0"/>
        <v>407.31561337090068</v>
      </c>
      <c r="S20" s="62">
        <f ca="1">AVERAGE(OFFSET($R$3,0,0,'Données projet'!$E$9+1,1))-AVERAGE(OFFSET($H$3,0,0,'Données projet'!$E$9+1,1))</f>
        <v>320.36162823905426</v>
      </c>
      <c r="T20" s="62">
        <f t="shared" si="34"/>
        <v>284.65760822544792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15.6</v>
      </c>
      <c r="AI20" s="14">
        <f>IF('Données projet'!$A$62&gt;35,AI19+AH20-AQ19,IF(A20&lt;'Données projet'!$A$62,$AF$205^A20,IF(A20='Données projet'!$A$62,'Données projet'!$B$62,AI19+AH20-AQ19)))</f>
        <v>113.19999999999997</v>
      </c>
      <c r="AJ20" s="14">
        <f>AI20*VLOOKUP('Données projet'!$B$10,Paramètres!$A$1:$I$89,3,0)*VLOOKUP('Données projet'!$B$10,Paramètres!$A$1:$I$89,5,0)</f>
        <v>61.807199999999987</v>
      </c>
      <c r="AK20" s="14">
        <f t="shared" si="35"/>
        <v>17.624393742765658</v>
      </c>
      <c r="AL20" s="22">
        <f t="shared" si="4"/>
        <v>138.34335910198348</v>
      </c>
      <c r="AM20" s="62">
        <f t="shared" si="5"/>
        <v>431.6766924353168</v>
      </c>
      <c r="AN20" s="62">
        <f ca="1">AVERAGE(OFFSET($AM$3,0,0,'Données projet'!$E$10+1,1))-AVERAGE(OFFSET($H$3,0,0,'Données projet'!$E$10+1,1))</f>
        <v>155.13440282866992</v>
      </c>
      <c r="AO20" s="62">
        <f t="shared" si="36"/>
        <v>229.92235675849565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9.8193982516927889</v>
      </c>
      <c r="AX20" s="23">
        <f t="shared" si="6"/>
        <v>9.8193982516927889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9.1410281239601368</v>
      </c>
      <c r="BF20" s="14">
        <f t="shared" si="37"/>
        <v>3.2560216709759704</v>
      </c>
      <c r="BG20" s="22">
        <f t="shared" si="7"/>
        <v>21.591528392847053</v>
      </c>
      <c r="BH20" s="62">
        <f t="shared" si="8"/>
        <v>314.92486172618038</v>
      </c>
      <c r="BI20" s="62">
        <f ca="1">AVERAGE(OFFSET($BH$3,0,0,'Données projet'!$E$11+1,1))-AVERAGE(OFFSET($H$3,0,0,'Données projet'!$E$11+1,1))</f>
        <v>182.11831308043929</v>
      </c>
      <c r="BJ20" s="62">
        <f t="shared" si="38"/>
        <v>75.532250323368885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8.1052631578947363</v>
      </c>
      <c r="N21" s="14">
        <f>IF('Données projet'!$A$36&gt;35,N20+M21-V20,IF(A21&lt;'Données projet'!$A$36,$K$205^A21,IF(A21='Données projet'!$A$36,'Données projet'!$B$36,N20+M21-V20)))</f>
        <v>118.13757484537167</v>
      </c>
      <c r="O21" s="14">
        <f>N21*VLOOKUP('Données projet'!$B$9,Paramètres!$A$1:$I$89,3,0)*VLOOKUP('Données projet'!$B$9,Paramètres!$A$1:$I$89,5,0)</f>
        <v>66.038904338562773</v>
      </c>
      <c r="P21" s="14">
        <f t="shared" si="33"/>
        <v>18.686467955696113</v>
      </c>
      <c r="Q21" s="22">
        <f t="shared" si="2"/>
        <v>147.56335674583423</v>
      </c>
      <c r="R21" s="62">
        <f t="shared" si="0"/>
        <v>440.89669007916757</v>
      </c>
      <c r="S21" s="62">
        <f ca="1">AVERAGE(OFFSET($R$3,0,0,'Données projet'!$E$9+1,1))-AVERAGE(OFFSET($H$3,0,0,'Données projet'!$E$9+1,1))</f>
        <v>320.36162823905426</v>
      </c>
      <c r="T21" s="62">
        <f t="shared" si="34"/>
        <v>284.65760822544792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15.6</v>
      </c>
      <c r="AI21" s="14">
        <f>IF('Données projet'!$A$62&gt;35,AI20+AH21-AQ20,IF(A21&lt;'Données projet'!$A$62,$AF$205^A21,IF(A21='Données projet'!$A$62,'Données projet'!$B$62,AI20+AH21-AQ20)))</f>
        <v>128.79999999999998</v>
      </c>
      <c r="AJ21" s="14">
        <f>AI21*VLOOKUP('Données projet'!$B$10,Paramètres!$A$1:$I$89,3,0)*VLOOKUP('Données projet'!$B$10,Paramètres!$A$1:$I$89,5,0)</f>
        <v>70.324799999999982</v>
      </c>
      <c r="AK21" s="14">
        <f t="shared" si="35"/>
        <v>19.754095114409182</v>
      </c>
      <c r="AL21" s="22">
        <f t="shared" si="4"/>
        <v>156.88740899092929</v>
      </c>
      <c r="AM21" s="62">
        <f t="shared" si="5"/>
        <v>450.22074232426257</v>
      </c>
      <c r="AN21" s="62">
        <f ca="1">AVERAGE(OFFSET($AM$3,0,0,'Données projet'!$E$10+1,1))-AVERAGE(OFFSET($H$3,0,0,'Données projet'!$E$10+1,1))</f>
        <v>155.13440282866992</v>
      </c>
      <c r="AO21" s="62">
        <f t="shared" si="36"/>
        <v>229.92235675849565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6.9433630909433006</v>
      </c>
      <c r="AX21" s="23">
        <f t="shared" si="6"/>
        <v>6.9433630909433006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10.473212015730644</v>
      </c>
      <c r="BF21" s="14">
        <f t="shared" si="37"/>
        <v>3.6719322570811741</v>
      </c>
      <c r="BG21" s="22">
        <f t="shared" si="7"/>
        <v>24.636126275147248</v>
      </c>
      <c r="BH21" s="62">
        <f t="shared" si="8"/>
        <v>317.96945960848058</v>
      </c>
      <c r="BI21" s="62">
        <f ca="1">AVERAGE(OFFSET($BH$3,0,0,'Données projet'!$E$11+1,1))-AVERAGE(OFFSET($H$3,0,0,'Données projet'!$E$11+1,1))</f>
        <v>182.11831308043929</v>
      </c>
      <c r="BJ21" s="62">
        <f t="shared" si="38"/>
        <v>75.532250323368885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154</v>
      </c>
      <c r="L22" s="13">
        <f>VLOOKUP(A22,'Données projet'!$A$35:$I$55,9,0)</f>
        <v>8.1052631578947363</v>
      </c>
      <c r="M22" s="13">
        <f t="array" ref="M22">INDEX(L:L,MIN(IF(ISNUMBER(L22:L218),ROW(L22:L218),"")))</f>
        <v>8.1052631578947363</v>
      </c>
      <c r="N22" s="14">
        <f>IF('Données projet'!$A$36&gt;35,N21+M22-V21,IF(A22&lt;'Données projet'!$A$36,$K$205^A22,IF(A22='Données projet'!$A$36,'Données projet'!$B$36,N21+M22-V21)))</f>
        <v>154</v>
      </c>
      <c r="O22" s="14">
        <f>N22*VLOOKUP('Données projet'!$B$9,Paramètres!$A$1:$I$89,3,0)*VLOOKUP('Données projet'!$B$9,Paramètres!$A$1:$I$89,5,0)</f>
        <v>86.085999999999999</v>
      </c>
      <c r="P22" s="14">
        <f t="shared" si="33"/>
        <v>23.618833642367079</v>
      </c>
      <c r="Q22" s="22">
        <f t="shared" si="2"/>
        <v>191.06925192712265</v>
      </c>
      <c r="R22" s="62">
        <f t="shared" si="0"/>
        <v>484.40258526045596</v>
      </c>
      <c r="S22" s="62">
        <f ca="1">AVERAGE(OFFSET($R$3,0,0,'Données projet'!$E$9+1,1))-AVERAGE(OFFSET($H$3,0,0,'Données projet'!$E$9+1,1))</f>
        <v>320.36162823905426</v>
      </c>
      <c r="T22" s="62">
        <f t="shared" si="34"/>
        <v>284.65760822544792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1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15.6</v>
      </c>
      <c r="AI22" s="14">
        <f>IF('Données projet'!$A$62&gt;35,AI21+AH22-AQ21,IF(A22&lt;'Données projet'!$A$62,$AF$205^A22,IF(A22='Données projet'!$A$62,'Données projet'!$B$62,AI21+AH22-AQ21)))</f>
        <v>144.39999999999998</v>
      </c>
      <c r="AJ22" s="14">
        <f>AI22*VLOOKUP('Données projet'!$B$10,Paramètres!$A$1:$I$89,3,0)*VLOOKUP('Données projet'!$B$10,Paramètres!$A$1:$I$89,5,0)</f>
        <v>78.842399999999984</v>
      </c>
      <c r="AK22" s="14">
        <f t="shared" si="35"/>
        <v>21.853905254591407</v>
      </c>
      <c r="AL22" s="22">
        <f t="shared" si="4"/>
        <v>175.37939831841334</v>
      </c>
      <c r="AM22" s="62">
        <f t="shared" si="5"/>
        <v>468.71273165174665</v>
      </c>
      <c r="AN22" s="62">
        <f ca="1">AVERAGE(OFFSET($AM$3,0,0,'Données projet'!$E$10+1,1))-AVERAGE(OFFSET($H$3,0,0,'Données projet'!$E$10+1,1))</f>
        <v>155.13440282866992</v>
      </c>
      <c r="AO22" s="62">
        <f t="shared" si="36"/>
        <v>229.92235675849565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4.9096991258463953</v>
      </c>
      <c r="AX22" s="23">
        <f t="shared" si="6"/>
        <v>4.9096991258463953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11.999544081801259</v>
      </c>
      <c r="BF22" s="14">
        <f t="shared" si="37"/>
        <v>4.1409695214196116</v>
      </c>
      <c r="BG22" s="22">
        <f t="shared" si="7"/>
        <v>28.111394525609683</v>
      </c>
      <c r="BH22" s="62">
        <f t="shared" si="8"/>
        <v>321.444727858943</v>
      </c>
      <c r="BI22" s="62">
        <f ca="1">AVERAGE(OFFSET($BH$3,0,0,'Données projet'!$E$11+1,1))-AVERAGE(OFFSET($H$3,0,0,'Données projet'!$E$11+1,1))</f>
        <v>182.11831308043929</v>
      </c>
      <c r="BJ22" s="62">
        <f t="shared" si="38"/>
        <v>75.532250323368885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174.5</v>
      </c>
      <c r="O23" s="14">
        <f>N23*VLOOKUP('Données projet'!$B$9,Paramètres!$A$1:$I$89,3,0)*VLOOKUP('Données projet'!$B$9,Paramètres!$A$1:$I$89,5,0)</f>
        <v>97.545500000000004</v>
      </c>
      <c r="P23" s="14">
        <f t="shared" si="33"/>
        <v>26.376403711958911</v>
      </c>
      <c r="Q23" s="22">
        <f t="shared" si="2"/>
        <v>215.83064896499511</v>
      </c>
      <c r="R23" s="62">
        <f t="shared" si="0"/>
        <v>509.16398229832839</v>
      </c>
      <c r="S23" s="62">
        <f ca="1">AVERAGE(OFFSET($R$3,0,0,'Données projet'!$E$9+1,1))-AVERAGE(OFFSET($H$3,0,0,'Données projet'!$E$9+1,1))</f>
        <v>320.36162823905426</v>
      </c>
      <c r="T23" s="62">
        <f t="shared" si="34"/>
        <v>284.65760822544792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160</v>
      </c>
      <c r="AG23" s="13">
        <f>VLOOKUP(A23,'Données projet'!$A$61:$I$81,9,0)</f>
        <v>15.6</v>
      </c>
      <c r="AH23" s="13">
        <f t="array" ref="AH23">INDEX(AG:AG,MIN(IF(ISNUMBER(AG23:AG219),ROW(AG23:AG219),"")))</f>
        <v>15.6</v>
      </c>
      <c r="AI23" s="14">
        <f>IF('Données projet'!$A$62&gt;35,AI22+AH23-AQ22,IF(A23&lt;'Données projet'!$A$62,$AF$205^A23,IF(A23='Données projet'!$A$62,'Données projet'!$B$62,AI22+AH23-AQ22)))</f>
        <v>159.99999999999997</v>
      </c>
      <c r="AJ23" s="14">
        <f>AI23*VLOOKUP('Données projet'!$B$10,Paramètres!$A$1:$I$89,3,0)*VLOOKUP('Données projet'!$B$10,Paramètres!$A$1:$I$89,5,0)</f>
        <v>87.359999999999985</v>
      </c>
      <c r="AK23" s="14">
        <f t="shared" si="35"/>
        <v>23.927421530185931</v>
      </c>
      <c r="AL23" s="22">
        <f t="shared" si="4"/>
        <v>193.82559249840713</v>
      </c>
      <c r="AM23" s="62">
        <f t="shared" si="5"/>
        <v>487.15892583174048</v>
      </c>
      <c r="AN23" s="62">
        <f ca="1">AVERAGE(OFFSET($AM$3,0,0,'Données projet'!$E$10+1,1))-AVERAGE(OFFSET($H$3,0,0,'Données projet'!$E$10+1,1))</f>
        <v>155.13440282866992</v>
      </c>
      <c r="AO23" s="62">
        <f t="shared" si="36"/>
        <v>229.92235675849565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34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0.12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2.9435255108142062</v>
      </c>
      <c r="AW23" s="23">
        <f>EXP(-LN(2)/2)*AW22+(1-EXP(-LN(2)/2))/(LN(2)/2)*AQ23*AT23*VLOOKUP('Données projet'!$B$10,Paramètres!$A$1:$I$89,3,0)*0.475*44/12</f>
        <v>20.286689842496699</v>
      </c>
      <c r="AX23" s="23">
        <f t="shared" si="6"/>
        <v>23.230215353310903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13.748318849539347</v>
      </c>
      <c r="BF23" s="14">
        <f t="shared" si="37"/>
        <v>4.6699196436038939</v>
      </c>
      <c r="BG23" s="22">
        <f t="shared" si="7"/>
        <v>32.078432042224485</v>
      </c>
      <c r="BH23" s="62">
        <f t="shared" si="8"/>
        <v>325.41176537555782</v>
      </c>
      <c r="BI23" s="62">
        <f ca="1">AVERAGE(OFFSET($BH$3,0,0,'Données projet'!$E$11+1,1))-AVERAGE(OFFSET($H$3,0,0,'Données projet'!$E$11+1,1))</f>
        <v>182.11831308043929</v>
      </c>
      <c r="BJ23" s="62">
        <f t="shared" si="38"/>
        <v>75.532250323368885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195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195</v>
      </c>
      <c r="O24" s="14">
        <f>N24*VLOOKUP('Données projet'!$B$9,Paramètres!$A$1:$I$89,3,0)*VLOOKUP('Données projet'!$B$9,Paramètres!$A$1:$I$89,5,0)</f>
        <v>109.005</v>
      </c>
      <c r="P24" s="14">
        <f t="shared" si="33"/>
        <v>29.09643097993688</v>
      </c>
      <c r="Q24" s="22">
        <f t="shared" si="2"/>
        <v>240.52665895672337</v>
      </c>
      <c r="R24" s="62">
        <f t="shared" si="0"/>
        <v>533.85999229005665</v>
      </c>
      <c r="S24" s="62">
        <f ca="1">AVERAGE(OFFSET($R$3,0,0,'Données projet'!$E$9+1,1))-AVERAGE(OFFSET($H$3,0,0,'Données projet'!$E$9+1,1))</f>
        <v>320.36162823905426</v>
      </c>
      <c r="T24" s="62">
        <f t="shared" si="34"/>
        <v>284.65760822544792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65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41.139660530624134</v>
      </c>
      <c r="AC24" s="24">
        <f t="shared" si="3"/>
        <v>41.139660530624134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13.8</v>
      </c>
      <c r="AI24" s="14">
        <f>IF('Données projet'!$A$62&gt;35,AI23+AH24-AQ23,IF(A24&lt;'Données projet'!$A$62,$AF$205^A24,IF(A24='Données projet'!$A$62,'Données projet'!$B$62,AI23+AH24-AQ23)))</f>
        <v>139.79999999999998</v>
      </c>
      <c r="AJ24" s="14">
        <f>AI24*VLOOKUP('Données projet'!$B$10,Paramètres!$A$1:$I$89,3,0)*VLOOKUP('Données projet'!$B$10,Paramètres!$A$1:$I$89,5,0)</f>
        <v>76.330799999999996</v>
      </c>
      <c r="AK24" s="14">
        <f t="shared" si="35"/>
        <v>21.237608988423052</v>
      </c>
      <c r="AL24" s="22">
        <f t="shared" si="4"/>
        <v>169.93164565483679</v>
      </c>
      <c r="AM24" s="62">
        <f t="shared" si="5"/>
        <v>463.26497898817013</v>
      </c>
      <c r="AN24" s="62">
        <f ca="1">AVERAGE(OFFSET($AM$3,0,0,'Données projet'!$E$10+1,1))-AVERAGE(OFFSET($H$3,0,0,'Données projet'!$E$10+1,1))</f>
        <v>155.13440282866992</v>
      </c>
      <c r="AO24" s="62">
        <f t="shared" si="36"/>
        <v>229.92235675849565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2.8630346509277125</v>
      </c>
      <c r="AW24" s="23">
        <f>EXP(-LN(2)/2)*AW23+(1-EXP(-LN(2)/2))/(LN(2)/2)*AQ24*AT24*VLOOKUP('Données projet'!$B$10,Paramètres!$A$1:$I$89,3,0)*0.475*44/12</f>
        <v>14.344855955457671</v>
      </c>
      <c r="AX24" s="23">
        <f t="shared" si="6"/>
        <v>17.207890606385384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15.751954399272945</v>
      </c>
      <c r="BF24" s="14">
        <f t="shared" si="37"/>
        <v>5.2664356414391653</v>
      </c>
      <c r="BG24" s="22">
        <f t="shared" si="7"/>
        <v>36.607029320906918</v>
      </c>
      <c r="BH24" s="62">
        <f t="shared" si="8"/>
        <v>329.94036265424023</v>
      </c>
      <c r="BI24" s="62">
        <f ca="1">AVERAGE(OFFSET($BH$3,0,0,'Données projet'!$E$11+1,1))-AVERAGE(OFFSET($H$3,0,0,'Données projet'!$E$11+1,1))</f>
        <v>182.11831308043929</v>
      </c>
      <c r="BJ24" s="62">
        <f t="shared" si="38"/>
        <v>75.532250323368885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21.714285714285715</v>
      </c>
      <c r="N25" s="14">
        <f>IF('Données projet'!$A$36&gt;35,N24+M25-V24,IF(A25&lt;'Données projet'!$A$36,$K$205^A25,IF(A25='Données projet'!$A$36,'Données projet'!$B$36,N24+M25-V24)))</f>
        <v>151.71428571428572</v>
      </c>
      <c r="O25" s="14">
        <f>N25*VLOOKUP('Données projet'!$B$9,Paramètres!$A$1:$I$89,3,0)*VLOOKUP('Données projet'!$B$9,Paramètres!$A$1:$I$89,5,0)</f>
        <v>84.808285714285716</v>
      </c>
      <c r="P25" s="14">
        <f t="shared" si="33"/>
        <v>23.308811684868857</v>
      </c>
      <c r="Q25" s="22">
        <f t="shared" si="2"/>
        <v>188.30394463686085</v>
      </c>
      <c r="R25" s="62">
        <f t="shared" si="0"/>
        <v>481.63727797019419</v>
      </c>
      <c r="S25" s="62">
        <f ca="1">AVERAGE(OFFSET($R$3,0,0,'Données projet'!$E$9+1,1))-AVERAGE(OFFSET($H$3,0,0,'Données projet'!$E$9+1,1))</f>
        <v>320.36162823905426</v>
      </c>
      <c r="T25" s="62">
        <f t="shared" si="34"/>
        <v>284.65760822544792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29.090132936916888</v>
      </c>
      <c r="AC25" s="24">
        <f t="shared" si="3"/>
        <v>29.090132936916888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13.8</v>
      </c>
      <c r="AI25" s="14">
        <f>IF('Données projet'!$A$62&gt;35,AI24+AH25-AQ24,IF(A25&lt;'Données projet'!$A$62,$AF$205^A25,IF(A25='Données projet'!$A$62,'Données projet'!$B$62,AI24+AH25-AQ24)))</f>
        <v>153.6</v>
      </c>
      <c r="AJ25" s="14">
        <f>AI25*VLOOKUP('Données projet'!$B$10,Paramètres!$A$1:$I$89,3,0)*VLOOKUP('Données projet'!$B$10,Paramètres!$A$1:$I$89,5,0)</f>
        <v>83.865600000000001</v>
      </c>
      <c r="AK25" s="14">
        <f t="shared" si="35"/>
        <v>23.079732033574274</v>
      </c>
      <c r="AL25" s="22">
        <f t="shared" si="4"/>
        <v>186.26311995847519</v>
      </c>
      <c r="AM25" s="62">
        <f t="shared" si="5"/>
        <v>479.59645329180853</v>
      </c>
      <c r="AN25" s="62">
        <f ca="1">AVERAGE(OFFSET($AM$3,0,0,'Données projet'!$E$10+1,1))-AVERAGE(OFFSET($H$3,0,0,'Données projet'!$E$10+1,1))</f>
        <v>155.13440282866992</v>
      </c>
      <c r="AO25" s="62">
        <f t="shared" si="36"/>
        <v>229.92235675849565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2.7847448178376455</v>
      </c>
      <c r="AW25" s="23">
        <f>EXP(-LN(2)/2)*AW24+(1-EXP(-LN(2)/2))/(LN(2)/2)*AQ25*AT25*VLOOKUP('Données projet'!$B$10,Paramètres!$A$1:$I$89,3,0)*0.475*44/12</f>
        <v>10.143344921248351</v>
      </c>
      <c r="AX25" s="23">
        <f t="shared" si="6"/>
        <v>12.928089739085998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18.047593317570453</v>
      </c>
      <c r="BF25" s="14">
        <f t="shared" si="37"/>
        <v>5.9391480972072355</v>
      </c>
      <c r="BG25" s="22">
        <f t="shared" si="7"/>
        <v>41.776907964071142</v>
      </c>
      <c r="BH25" s="62">
        <f t="shared" si="8"/>
        <v>335.11024129740446</v>
      </c>
      <c r="BI25" s="62">
        <f ca="1">AVERAGE(OFFSET($BH$3,0,0,'Données projet'!$E$11+1,1))-AVERAGE(OFFSET($H$3,0,0,'Données projet'!$E$11+1,1))</f>
        <v>182.11831308043929</v>
      </c>
      <c r="BJ25" s="62">
        <f t="shared" si="38"/>
        <v>75.532250323368885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21.714285714285715</v>
      </c>
      <c r="N26" s="14">
        <f>IF('Données projet'!$A$36&gt;35,N25+M26-V25,IF(A26&lt;'Données projet'!$A$36,$K$205^A26,IF(A26='Données projet'!$A$36,'Données projet'!$B$36,N25+M26-V25)))</f>
        <v>173.42857142857144</v>
      </c>
      <c r="O26" s="14">
        <f>N26*VLOOKUP('Données projet'!$B$9,Paramètres!$A$1:$I$89,3,0)*VLOOKUP('Données projet'!$B$9,Paramètres!$A$1:$I$89,5,0)</f>
        <v>96.946571428571445</v>
      </c>
      <c r="P26" s="14">
        <f t="shared" si="33"/>
        <v>26.233252640606789</v>
      </c>
      <c r="Q26" s="22">
        <f t="shared" si="2"/>
        <v>214.53819358715211</v>
      </c>
      <c r="R26" s="62">
        <f t="shared" si="0"/>
        <v>507.87152692048539</v>
      </c>
      <c r="S26" s="62">
        <f ca="1">AVERAGE(OFFSET($R$3,0,0,'Données projet'!$E$9+1,1))-AVERAGE(OFFSET($H$3,0,0,'Données projet'!$E$9+1,1))</f>
        <v>320.36162823905426</v>
      </c>
      <c r="T26" s="62">
        <f t="shared" si="34"/>
        <v>284.65760822544792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20.569830265312071</v>
      </c>
      <c r="AC26" s="24">
        <f t="shared" si="3"/>
        <v>20.569830265312071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</v>
      </c>
      <c r="AI26" s="14">
        <f>IF('Données projet'!$A$62&gt;35,AI25+AH26-AQ25,IF(A26&lt;'Données projet'!$A$62,$AF$205^A26,IF(A26='Données projet'!$A$62,'Données projet'!$B$62,AI25+AH26-AQ25)))</f>
        <v>167.4</v>
      </c>
      <c r="AJ26" s="14">
        <f>AI26*VLOOKUP('Données projet'!$B$10,Paramètres!$A$1:$I$89,3,0)*VLOOKUP('Données projet'!$B$10,Paramètres!$A$1:$I$89,5,0)</f>
        <v>91.400399999999991</v>
      </c>
      <c r="AK26" s="14">
        <f t="shared" si="35"/>
        <v>24.902663651802118</v>
      </c>
      <c r="AL26" s="22">
        <f t="shared" si="4"/>
        <v>202.56116919355532</v>
      </c>
      <c r="AM26" s="62">
        <f t="shared" si="5"/>
        <v>495.89450252688863</v>
      </c>
      <c r="AN26" s="62">
        <f ca="1">AVERAGE(OFFSET($AM$3,0,0,'Données projet'!$E$10+1,1))-AVERAGE(OFFSET($H$3,0,0,'Données projet'!$E$10+1,1))</f>
        <v>155.13440282866992</v>
      </c>
      <c r="AO26" s="62">
        <f t="shared" si="36"/>
        <v>229.92235675849565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2.7085958243505099</v>
      </c>
      <c r="AW26" s="23">
        <f>EXP(-LN(2)/2)*AW25+(1-EXP(-LN(2)/2))/(LN(2)/2)*AQ26*AT26*VLOOKUP('Données projet'!$B$10,Paramètres!$A$1:$I$89,3,0)*0.475*44/12</f>
        <v>7.1724279777288364</v>
      </c>
      <c r="AX26" s="23">
        <f t="shared" si="6"/>
        <v>9.8810238020793459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20.677791231508873</v>
      </c>
      <c r="BF26" s="14">
        <f t="shared" si="37"/>
        <v>6.6977900276630162</v>
      </c>
      <c r="BG26" s="22">
        <f t="shared" si="7"/>
        <v>47.679137359724372</v>
      </c>
      <c r="BH26" s="62">
        <f t="shared" si="8"/>
        <v>341.01247069305771</v>
      </c>
      <c r="BI26" s="62">
        <f ca="1">AVERAGE(OFFSET($BH$3,0,0,'Données projet'!$E$11+1,1))-AVERAGE(OFFSET($H$3,0,0,'Données projet'!$E$11+1,1))</f>
        <v>182.11831308043929</v>
      </c>
      <c r="BJ26" s="62">
        <f t="shared" si="38"/>
        <v>75.532250323368885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21.714285714285715</v>
      </c>
      <c r="N27" s="14">
        <f>IF('Données projet'!$A$36&gt;35,N26+M27-V26,IF(A27&lt;'Données projet'!$A$36,$K$205^A27,IF(A27='Données projet'!$A$36,'Données projet'!$B$36,N26+M27-V26)))</f>
        <v>195.14285714285717</v>
      </c>
      <c r="O27" s="14">
        <f>N27*VLOOKUP('Données projet'!$B$9,Paramètres!$A$1:$I$89,3,0)*VLOOKUP('Données projet'!$B$9,Paramètres!$A$1:$I$89,5,0)</f>
        <v>109.08485714285716</v>
      </c>
      <c r="P27" s="14">
        <f t="shared" si="33"/>
        <v>29.115265053579947</v>
      </c>
      <c r="Q27" s="22">
        <f t="shared" si="2"/>
        <v>240.69854615879464</v>
      </c>
      <c r="R27" s="62">
        <f t="shared" si="0"/>
        <v>534.03187949212793</v>
      </c>
      <c r="S27" s="62">
        <f ca="1">AVERAGE(OFFSET($R$3,0,0,'Données projet'!$E$9+1,1))-AVERAGE(OFFSET($H$3,0,0,'Données projet'!$E$9+1,1))</f>
        <v>320.36162823905426</v>
      </c>
      <c r="T27" s="62">
        <f t="shared" si="34"/>
        <v>284.65760822544792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14.545066468458446</v>
      </c>
      <c r="AC27" s="24">
        <f t="shared" si="3"/>
        <v>14.545066468458446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13.8</v>
      </c>
      <c r="AI27" s="14">
        <f>IF('Données projet'!$A$62&gt;35,AI26+AH27-AQ26,IF(A27&lt;'Données projet'!$A$62,$AF$205^A27,IF(A27='Données projet'!$A$62,'Données projet'!$B$62,AI26+AH27-AQ26)))</f>
        <v>181.20000000000002</v>
      </c>
      <c r="AJ27" s="14">
        <f>AI27*VLOOKUP('Données projet'!$B$10,Paramètres!$A$1:$I$89,3,0)*VLOOKUP('Données projet'!$B$10,Paramètres!$A$1:$I$89,5,0)</f>
        <v>98.935200000000009</v>
      </c>
      <c r="AK27" s="14">
        <f t="shared" si="35"/>
        <v>26.708165799953093</v>
      </c>
      <c r="AL27" s="22">
        <f t="shared" si="4"/>
        <v>218.82886210158497</v>
      </c>
      <c r="AM27" s="62">
        <f t="shared" si="5"/>
        <v>512.16219543491832</v>
      </c>
      <c r="AN27" s="62">
        <f ca="1">AVERAGE(OFFSET($AM$3,0,0,'Données projet'!$E$10+1,1))-AVERAGE(OFFSET($H$3,0,0,'Données projet'!$E$10+1,1))</f>
        <v>155.13440282866992</v>
      </c>
      <c r="AO27" s="62">
        <f t="shared" si="36"/>
        <v>229.92235675849565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2.6345291290947812</v>
      </c>
      <c r="AW27" s="23">
        <f>EXP(-LN(2)/2)*AW26+(1-EXP(-LN(2)/2))/(LN(2)/2)*AQ27*AT27*VLOOKUP('Données projet'!$B$10,Paramètres!$A$1:$I$89,3,0)*0.475*44/12</f>
        <v>5.0716724606241765</v>
      </c>
      <c r="AX27" s="23">
        <f t="shared" si="6"/>
        <v>7.7062015897189582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23.691305687700655</v>
      </c>
      <c r="BF27" s="14">
        <f t="shared" si="37"/>
        <v>7.5533377044018843</v>
      </c>
      <c r="BG27" s="22">
        <f t="shared" si="7"/>
        <v>54.417753907911923</v>
      </c>
      <c r="BH27" s="62">
        <f t="shared" si="8"/>
        <v>347.75108724124522</v>
      </c>
      <c r="BI27" s="62">
        <f ca="1">AVERAGE(OFFSET($BH$3,0,0,'Données projet'!$E$11+1,1))-AVERAGE(OFFSET($H$3,0,0,'Données projet'!$E$11+1,1))</f>
        <v>182.11831308043929</v>
      </c>
      <c r="BJ27" s="62">
        <f t="shared" si="38"/>
        <v>75.532250323368885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21.714285714285715</v>
      </c>
      <c r="N28" s="14">
        <f>IF('Données projet'!$A$36&gt;35,N27+M28-V27,IF(A28&lt;'Données projet'!$A$36,$K$205^A28,IF(A28='Données projet'!$A$36,'Données projet'!$B$36,N27+M28-V27)))</f>
        <v>216.85714285714289</v>
      </c>
      <c r="O28" s="14">
        <f>N28*VLOOKUP('Données projet'!$B$9,Paramètres!$A$1:$I$89,3,0)*VLOOKUP('Données projet'!$B$9,Paramètres!$A$1:$I$89,5,0)</f>
        <v>121.22314285714288</v>
      </c>
      <c r="P28" s="14">
        <f t="shared" si="33"/>
        <v>31.960108683917774</v>
      </c>
      <c r="Q28" s="22">
        <f t="shared" si="2"/>
        <v>266.79416310068058</v>
      </c>
      <c r="R28" s="62">
        <f t="shared" si="0"/>
        <v>560.12749643401389</v>
      </c>
      <c r="S28" s="62">
        <f ca="1">AVERAGE(OFFSET($R$3,0,0,'Données projet'!$E$9+1,1))-AVERAGE(OFFSET($H$3,0,0,'Données projet'!$E$9+1,1))</f>
        <v>320.36162823905426</v>
      </c>
      <c r="T28" s="62">
        <f t="shared" si="34"/>
        <v>284.65760822544792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10.284915132656037</v>
      </c>
      <c r="AC28" s="24">
        <f t="shared" si="3"/>
        <v>10.284915132656037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195</v>
      </c>
      <c r="AG28" s="13">
        <f>VLOOKUP(A28,'Données projet'!$A$61:$I$81,9,0)</f>
        <v>13.8</v>
      </c>
      <c r="AH28" s="13">
        <f t="array" ref="AH28">INDEX(AG:AG,MIN(IF(ISNUMBER(AG28:AG224),ROW(AG28:AG224),"")))</f>
        <v>13.8</v>
      </c>
      <c r="AI28" s="14">
        <f>IF('Données projet'!$A$62&gt;35,AI27+AH28-AQ27,IF(A28&lt;'Données projet'!$A$62,$AF$205^A28,IF(A28='Données projet'!$A$62,'Données projet'!$B$62,AI27+AH28-AQ27)))</f>
        <v>195.00000000000003</v>
      </c>
      <c r="AJ28" s="14">
        <f>AI28*VLOOKUP('Données projet'!$B$10,Paramètres!$A$1:$I$89,3,0)*VLOOKUP('Données projet'!$B$10,Paramètres!$A$1:$I$89,5,0)</f>
        <v>106.47000000000001</v>
      </c>
      <c r="AK28" s="14">
        <f t="shared" si="35"/>
        <v>28.49771681771891</v>
      </c>
      <c r="AL28" s="22">
        <f t="shared" si="4"/>
        <v>235.0687734575271</v>
      </c>
      <c r="AM28" s="62">
        <f t="shared" si="5"/>
        <v>528.40210679086044</v>
      </c>
      <c r="AN28" s="62">
        <f ca="1">AVERAGE(OFFSET($AM$3,0,0,'Données projet'!$E$10+1,1))-AVERAGE(OFFSET($H$3,0,0,'Données projet'!$E$10+1,1))</f>
        <v>155.13440282866992</v>
      </c>
      <c r="AO28" s="62">
        <f t="shared" si="36"/>
        <v>229.92235675849565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32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0.12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5.332864742870365</v>
      </c>
      <c r="AW28" s="23">
        <f>EXP(-LN(2)/2)*AW27+(1-EXP(-LN(2)/2))/(LN(2)/2)*AQ28*AT28*VLOOKUP('Données projet'!$B$10,Paramètres!$A$1:$I$89,3,0)*0.475*44/12</f>
        <v>19.41210415077035</v>
      </c>
      <c r="AX28" s="23">
        <f t="shared" si="6"/>
        <v>24.744968893640717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27.143999999999998</v>
      </c>
      <c r="BF28" s="14">
        <f t="shared" si="37"/>
        <v>8.5181694620316346</v>
      </c>
      <c r="BG28" s="22">
        <f t="shared" si="7"/>
        <v>62.111611813038422</v>
      </c>
      <c r="BH28" s="62">
        <f t="shared" si="8"/>
        <v>355.44494514637177</v>
      </c>
      <c r="BI28" s="62">
        <f ca="1">AVERAGE(OFFSET($BH$3,0,0,'Données projet'!$E$11+1,1))-AVERAGE(OFFSET($H$3,0,0,'Données projet'!$E$11+1,1))</f>
        <v>182.11831308043929</v>
      </c>
      <c r="BJ28" s="62">
        <f t="shared" si="38"/>
        <v>75.532250323368885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21.714285714285715</v>
      </c>
      <c r="N29" s="14">
        <f>IF('Données projet'!$A$36&gt;35,N28+M29-V28,IF(A29&lt;'Données projet'!$A$36,$K$205^A29,IF(A29='Données projet'!$A$36,'Données projet'!$B$36,N28+M29-V28)))</f>
        <v>238.57142857142861</v>
      </c>
      <c r="O29" s="14">
        <f>N29*VLOOKUP('Données projet'!$B$9,Paramètres!$A$1:$I$89,3,0)*VLOOKUP('Données projet'!$B$9,Paramètres!$A$1:$I$89,5,0)</f>
        <v>133.3614285714286</v>
      </c>
      <c r="P29" s="14">
        <f t="shared" si="33"/>
        <v>34.771928991132334</v>
      </c>
      <c r="Q29" s="22">
        <f t="shared" si="2"/>
        <v>292.83226442146031</v>
      </c>
      <c r="R29" s="62">
        <f t="shared" si="0"/>
        <v>586.16559775479368</v>
      </c>
      <c r="S29" s="62">
        <f ca="1">AVERAGE(OFFSET($R$3,0,0,'Données projet'!$E$9+1,1))-AVERAGE(OFFSET($H$3,0,0,'Données projet'!$E$9+1,1))</f>
        <v>320.36162823905426</v>
      </c>
      <c r="T29" s="62">
        <f t="shared" si="34"/>
        <v>284.65760822544792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7.2725332342292246</v>
      </c>
      <c r="AC29" s="24">
        <f t="shared" si="3"/>
        <v>7.2725332342292246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174.40000000000003</v>
      </c>
      <c r="AJ29" s="14">
        <f>AI29*VLOOKUP('Données projet'!$B$10,Paramètres!$A$1:$I$89,3,0)*VLOOKUP('Données projet'!$B$10,Paramètres!$A$1:$I$89,5,0)</f>
        <v>95.222400000000007</v>
      </c>
      <c r="AK29" s="14">
        <f t="shared" si="35"/>
        <v>25.82057766648499</v>
      </c>
      <c r="AL29" s="22">
        <f t="shared" si="4"/>
        <v>210.8165194357947</v>
      </c>
      <c r="AM29" s="62">
        <f t="shared" si="5"/>
        <v>504.14985276912802</v>
      </c>
      <c r="AN29" s="62">
        <f ca="1">AVERAGE(OFFSET($AM$3,0,0,'Données projet'!$E$10+1,1))-AVERAGE(OFFSET($H$3,0,0,'Données projet'!$E$10+1,1))</f>
        <v>155.13440282866992</v>
      </c>
      <c r="AO29" s="62">
        <f t="shared" si="36"/>
        <v>229.92235675849565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5.1870372760334069</v>
      </c>
      <c r="AW29" s="23">
        <f>EXP(-LN(2)/2)*AW28+(1-EXP(-LN(2)/2))/(LN(2)/2)*AQ29*AT29*VLOOKUP('Données projet'!$B$10,Paramètres!$A$1:$I$89,3,0)*0.475*44/12</f>
        <v>13.726430482109242</v>
      </c>
      <c r="AX29" s="23">
        <f t="shared" si="6"/>
        <v>18.913467758142648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31.487039999999997</v>
      </c>
      <c r="BF29" s="14">
        <f t="shared" si="37"/>
        <v>9.7118363356135369</v>
      </c>
      <c r="BG29" s="22">
        <f t="shared" si="7"/>
        <v>71.754709617860229</v>
      </c>
      <c r="BH29" s="62">
        <f t="shared" si="8"/>
        <v>365.08804295119353</v>
      </c>
      <c r="BI29" s="62">
        <f ca="1">AVERAGE(OFFSET($BH$3,0,0,'Données projet'!$E$11+1,1))-AVERAGE(OFFSET($H$3,0,0,'Données projet'!$E$11+1,1))</f>
        <v>182.11831308043929</v>
      </c>
      <c r="BJ29" s="62">
        <f t="shared" si="38"/>
        <v>75.532250323368885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21.714285714285715</v>
      </c>
      <c r="N30" s="14">
        <f>IF('Données projet'!$A$36&gt;35,N29+M30-V29,IF(A30&lt;'Données projet'!$A$36,$K$205^A30,IF(A30='Données projet'!$A$36,'Données projet'!$B$36,N29+M30-V29)))</f>
        <v>260.28571428571433</v>
      </c>
      <c r="O30" s="14">
        <f>N30*VLOOKUP('Données projet'!$B$9,Paramètres!$A$1:$I$89,3,0)*VLOOKUP('Données projet'!$B$9,Paramètres!$A$1:$I$89,5,0)</f>
        <v>145.49971428571433</v>
      </c>
      <c r="P30" s="14">
        <f t="shared" si="33"/>
        <v>37.554073525433814</v>
      </c>
      <c r="Q30" s="22">
        <f t="shared" si="2"/>
        <v>318.81868043774966</v>
      </c>
      <c r="R30" s="62">
        <f t="shared" si="0"/>
        <v>612.15201377108292</v>
      </c>
      <c r="S30" s="62">
        <f ca="1">AVERAGE(OFFSET($R$3,0,0,'Données projet'!$E$9+1,1))-AVERAGE(OFFSET($H$3,0,0,'Données projet'!$E$9+1,1))</f>
        <v>320.36162823905426</v>
      </c>
      <c r="T30" s="62">
        <f t="shared" si="34"/>
        <v>284.65760822544792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5.1424575663280194</v>
      </c>
      <c r="AC30" s="24">
        <f t="shared" si="3"/>
        <v>5.1424575663280194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185.80000000000004</v>
      </c>
      <c r="AJ30" s="14">
        <f>AI30*VLOOKUP('Données projet'!$B$10,Paramètres!$A$1:$I$89,3,0)*VLOOKUP('Données projet'!$B$10,Paramètres!$A$1:$I$89,5,0)</f>
        <v>101.44680000000002</v>
      </c>
      <c r="AK30" s="14">
        <f t="shared" si="35"/>
        <v>27.306389014591463</v>
      </c>
      <c r="AL30" s="22">
        <f t="shared" si="4"/>
        <v>224.24513753374686</v>
      </c>
      <c r="AM30" s="62">
        <f t="shared" si="5"/>
        <v>517.57847086708011</v>
      </c>
      <c r="AN30" s="62">
        <f ca="1">AVERAGE(OFFSET($AM$3,0,0,'Données projet'!$E$10+1,1))-AVERAGE(OFFSET($H$3,0,0,'Données projet'!$E$10+1,1))</f>
        <v>155.13440282866992</v>
      </c>
      <c r="AO30" s="62">
        <f t="shared" si="36"/>
        <v>229.92235675849565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5.0451974689458385</v>
      </c>
      <c r="AW30" s="23">
        <f>EXP(-LN(2)/2)*AW29+(1-EXP(-LN(2)/2))/(LN(2)/2)*AQ30*AT30*VLOOKUP('Données projet'!$B$10,Paramètres!$A$1:$I$89,3,0)*0.475*44/12</f>
        <v>9.7060520753851769</v>
      </c>
      <c r="AX30" s="23">
        <f t="shared" si="6"/>
        <v>14.751249544331015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35.830079999999995</v>
      </c>
      <c r="BF30" s="14">
        <f t="shared" si="37"/>
        <v>10.886427918882697</v>
      </c>
      <c r="BG30" s="22">
        <f t="shared" si="7"/>
        <v>81.364584625387351</v>
      </c>
      <c r="BH30" s="62">
        <f t="shared" si="8"/>
        <v>374.69791795872067</v>
      </c>
      <c r="BI30" s="62">
        <f ca="1">AVERAGE(OFFSET($BH$3,0,0,'Données projet'!$E$11+1,1))-AVERAGE(OFFSET($H$3,0,0,'Données projet'!$E$11+1,1))</f>
        <v>182.11831308043929</v>
      </c>
      <c r="BJ30" s="62">
        <f t="shared" si="38"/>
        <v>75.532250323368885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282</v>
      </c>
      <c r="L31" s="13">
        <f>VLOOKUP(A31,'Données projet'!$A$35:$I$55,9,0)</f>
        <v>21.714285714285715</v>
      </c>
      <c r="M31" s="13">
        <f t="array" ref="M31">INDEX(L:L,MIN(IF(ISNUMBER(L31:L227),ROW(L31:L227),"")))</f>
        <v>21.714285714285715</v>
      </c>
      <c r="N31" s="14">
        <f>IF('Données projet'!$A$36&gt;35,N30+M31-V30,IF(A31&lt;'Données projet'!$A$36,$K$205^A31,IF(A31='Données projet'!$A$36,'Données projet'!$B$36,N30+M31-V30)))</f>
        <v>282.00000000000006</v>
      </c>
      <c r="O31" s="14">
        <f>N31*VLOOKUP('Données projet'!$B$9,Paramètres!$A$1:$I$89,3,0)*VLOOKUP('Données projet'!$B$9,Paramètres!$A$1:$I$89,5,0)</f>
        <v>157.63800000000003</v>
      </c>
      <c r="P31" s="14">
        <f t="shared" si="33"/>
        <v>40.30929944743464</v>
      </c>
      <c r="Q31" s="22">
        <f t="shared" si="2"/>
        <v>344.75821320428196</v>
      </c>
      <c r="R31" s="62">
        <f t="shared" si="0"/>
        <v>638.09154653761527</v>
      </c>
      <c r="S31" s="62">
        <f ca="1">AVERAGE(OFFSET($R$3,0,0,'Données projet'!$E$9+1,1))-AVERAGE(OFFSET($H$3,0,0,'Données projet'!$E$9+1,1))</f>
        <v>320.36162823905426</v>
      </c>
      <c r="T31" s="62">
        <f t="shared" si="34"/>
        <v>284.65760822544792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68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0.8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5.5249506611711103</v>
      </c>
      <c r="AB31" s="23">
        <f>EXP(-LN(2)/2)*AB30+(1-EXP(-LN(2)/2))/(LN(2)/2)*V31*Y31*VLOOKUP('Données projet'!$B$9,Paramètres!$A$1:$I$89,3,0)*0.475*44/12</f>
        <v>38.06699789197544</v>
      </c>
      <c r="AC31" s="24">
        <f t="shared" si="3"/>
        <v>43.591948553146551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197.20000000000005</v>
      </c>
      <c r="AJ31" s="14">
        <f>AI31*VLOOKUP('Données projet'!$B$10,Paramètres!$A$1:$I$89,3,0)*VLOOKUP('Données projet'!$B$10,Paramètres!$A$1:$I$89,5,0)</f>
        <v>107.67120000000001</v>
      </c>
      <c r="AK31" s="14">
        <f t="shared" si="35"/>
        <v>28.781619683258381</v>
      </c>
      <c r="AL31" s="22">
        <f t="shared" si="4"/>
        <v>237.65532761500836</v>
      </c>
      <c r="AM31" s="62">
        <f t="shared" si="5"/>
        <v>530.9886609483417</v>
      </c>
      <c r="AN31" s="62">
        <f ca="1">AVERAGE(OFFSET($AM$3,0,0,'Données projet'!$E$10+1,1))-AVERAGE(OFFSET($H$3,0,0,'Données projet'!$E$10+1,1))</f>
        <v>155.13440282866992</v>
      </c>
      <c r="AO31" s="62">
        <f t="shared" si="36"/>
        <v>229.92235675849565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4.9072362788421104</v>
      </c>
      <c r="AW31" s="23">
        <f>EXP(-LN(2)/2)*AW30+(1-EXP(-LN(2)/2))/(LN(2)/2)*AQ31*AT31*VLOOKUP('Données projet'!$B$10,Paramètres!$A$1:$I$89,3,0)*0.475*44/12</f>
        <v>6.8632152410546219</v>
      </c>
      <c r="AX31" s="23">
        <f t="shared" si="6"/>
        <v>11.770451519896731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40.17311999999999</v>
      </c>
      <c r="BF31" s="14">
        <f t="shared" si="37"/>
        <v>12.044520842267836</v>
      </c>
      <c r="BG31" s="22">
        <f t="shared" si="7"/>
        <v>90.945724466949798</v>
      </c>
      <c r="BH31" s="62">
        <f t="shared" si="8"/>
        <v>384.27905780028311</v>
      </c>
      <c r="BI31" s="62">
        <f ca="1">AVERAGE(OFFSET($BH$3,0,0,'Données projet'!$E$11+1,1))-AVERAGE(OFFSET($H$3,0,0,'Données projet'!$E$11+1,1))</f>
        <v>182.11831308043929</v>
      </c>
      <c r="BJ31" s="62">
        <f t="shared" si="38"/>
        <v>75.532250323368885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23.285714285714285</v>
      </c>
      <c r="N32" s="14">
        <f>IF('Données projet'!$A$36&gt;35,N31+M32-V31,IF(A32&lt;'Données projet'!$A$36,$K$205^A32,IF(A32='Données projet'!$A$36,'Données projet'!$B$36,N31+M32-V31)))</f>
        <v>237.28571428571433</v>
      </c>
      <c r="O32" s="14">
        <f>N32*VLOOKUP('Données projet'!$B$9,Paramètres!$A$1:$I$89,3,0)*VLOOKUP('Données projet'!$B$9,Paramètres!$A$1:$I$89,5,0)</f>
        <v>132.64271428571433</v>
      </c>
      <c r="P32" s="14">
        <f t="shared" si="33"/>
        <v>34.606295940904367</v>
      </c>
      <c r="Q32" s="22">
        <f t="shared" si="2"/>
        <v>291.29202614469426</v>
      </c>
      <c r="R32" s="62">
        <f t="shared" si="0"/>
        <v>584.62535947802758</v>
      </c>
      <c r="S32" s="62">
        <f ca="1">AVERAGE(OFFSET($R$3,0,0,'Données projet'!$E$9+1,1))-AVERAGE(OFFSET($H$3,0,0,'Données projet'!$E$9+1,1))</f>
        <v>320.36162823905426</v>
      </c>
      <c r="T32" s="62">
        <f t="shared" si="34"/>
        <v>284.65760822544792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5.3738705947968581</v>
      </c>
      <c r="AB32" s="23">
        <f>EXP(-LN(2)/2)*AB31+(1-EXP(-LN(2)/2))/(LN(2)/2)*V32*Y32*VLOOKUP('Données projet'!$B$9,Paramètres!$A$1:$I$89,3,0)*0.475*44/12</f>
        <v>26.917432348829845</v>
      </c>
      <c r="AC32" s="24">
        <f t="shared" si="3"/>
        <v>32.291302943626704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208.60000000000005</v>
      </c>
      <c r="AJ32" s="14">
        <f>AI32*VLOOKUP('Données projet'!$B$10,Paramètres!$A$1:$I$89,3,0)*VLOOKUP('Données projet'!$B$10,Paramètres!$A$1:$I$89,5,0)</f>
        <v>113.89560000000003</v>
      </c>
      <c r="AK32" s="14">
        <f t="shared" si="35"/>
        <v>30.246951020055789</v>
      </c>
      <c r="AL32" s="22">
        <f t="shared" si="4"/>
        <v>251.0482763599305</v>
      </c>
      <c r="AM32" s="62">
        <f t="shared" si="5"/>
        <v>544.38160969326384</v>
      </c>
      <c r="AN32" s="62">
        <f ca="1">AVERAGE(OFFSET($AM$3,0,0,'Données projet'!$E$10+1,1))-AVERAGE(OFFSET($H$3,0,0,'Données projet'!$E$10+1,1))</f>
        <v>155.13440282866992</v>
      </c>
      <c r="AO32" s="62">
        <f t="shared" si="36"/>
        <v>229.92235675849565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4.7730476447368329</v>
      </c>
      <c r="AW32" s="23">
        <f>EXP(-LN(2)/2)*AW31+(1-EXP(-LN(2)/2))/(LN(2)/2)*AQ32*AT32*VLOOKUP('Données projet'!$B$10,Paramètres!$A$1:$I$89,3,0)*0.475*44/12</f>
        <v>4.8530260376925884</v>
      </c>
      <c r="AX32" s="23">
        <f t="shared" si="6"/>
        <v>9.6260736824294213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44.516159999999985</v>
      </c>
      <c r="BF32" s="14">
        <f t="shared" si="37"/>
        <v>13.188102074986608</v>
      </c>
      <c r="BG32" s="22">
        <f t="shared" si="7"/>
        <v>100.50158978060165</v>
      </c>
      <c r="BH32" s="62">
        <f t="shared" si="8"/>
        <v>393.83492311393496</v>
      </c>
      <c r="BI32" s="62">
        <f ca="1">AVERAGE(OFFSET($BH$3,0,0,'Données projet'!$E$11+1,1))-AVERAGE(OFFSET($H$3,0,0,'Données projet'!$E$11+1,1))</f>
        <v>182.11831308043929</v>
      </c>
      <c r="BJ32" s="62">
        <f t="shared" si="38"/>
        <v>75.532250323368885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23.285714285714285</v>
      </c>
      <c r="N33" s="14">
        <f>IF('Données projet'!$A$36&gt;35,N32+M33-V32,IF(A33&lt;'Données projet'!$A$36,$K$205^A33,IF(A33='Données projet'!$A$36,'Données projet'!$B$36,N32+M33-V32)))</f>
        <v>260.57142857142861</v>
      </c>
      <c r="O33" s="14">
        <f>N33*VLOOKUP('Données projet'!$B$9,Paramètres!$A$1:$I$89,3,0)*VLOOKUP('Données projet'!$B$9,Paramètres!$A$1:$I$89,5,0)</f>
        <v>145.65942857142858</v>
      </c>
      <c r="P33" s="14">
        <f t="shared" si="33"/>
        <v>37.59049576508562</v>
      </c>
      <c r="Q33" s="22">
        <f t="shared" si="2"/>
        <v>319.16028488609555</v>
      </c>
      <c r="R33" s="62">
        <f t="shared" si="0"/>
        <v>612.49361821942887</v>
      </c>
      <c r="S33" s="62">
        <f ca="1">AVERAGE(OFFSET($R$3,0,0,'Données projet'!$E$9+1,1))-AVERAGE(OFFSET($H$3,0,0,'Données projet'!$E$9+1,1))</f>
        <v>320.36162823905426</v>
      </c>
      <c r="T33" s="62">
        <f t="shared" si="34"/>
        <v>284.65760822544792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5.2269218207825654</v>
      </c>
      <c r="AB33" s="23">
        <f>EXP(-LN(2)/2)*AB32+(1-EXP(-LN(2)/2))/(LN(2)/2)*V33*Y33*VLOOKUP('Données projet'!$B$9,Paramètres!$A$1:$I$89,3,0)*0.475*44/12</f>
        <v>19.033498945987724</v>
      </c>
      <c r="AC33" s="24">
        <f t="shared" si="3"/>
        <v>24.260420766770288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220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220.00000000000006</v>
      </c>
      <c r="AJ33" s="14">
        <f>AI33*VLOOKUP('Données projet'!$B$10,Paramètres!$A$1:$I$89,3,0)*VLOOKUP('Données projet'!$B$10,Paramètres!$A$1:$I$89,5,0)</f>
        <v>120.12000000000003</v>
      </c>
      <c r="AK33" s="14">
        <f t="shared" si="35"/>
        <v>31.702985695201871</v>
      </c>
      <c r="AL33" s="22">
        <f t="shared" si="4"/>
        <v>264.42503341914335</v>
      </c>
      <c r="AM33" s="62">
        <f t="shared" si="5"/>
        <v>557.7583667524766</v>
      </c>
      <c r="AN33" s="62">
        <f ca="1">AVERAGE(OFFSET($AM$3,0,0,'Données projet'!$E$10+1,1))-AVERAGE(OFFSET($H$3,0,0,'Données projet'!$E$10+1,1))</f>
        <v>155.13440282866992</v>
      </c>
      <c r="AO33" s="62">
        <f t="shared" si="36"/>
        <v>229.92235675849565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0.24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9.3175395112986337</v>
      </c>
      <c r="AW33" s="23">
        <f>EXP(-LN(2)/2)*AW32+(1-EXP(-LN(2)/2))/(LN(2)/2)*AQ33*AT33*VLOOKUP('Données projet'!$B$10,Paramètres!$A$1:$I$89,3,0)*0.475*44/12</f>
        <v>13.446428738608407</v>
      </c>
      <c r="AX33" s="23">
        <f t="shared" si="6"/>
        <v>22.763968249907041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48.859199999999987</v>
      </c>
      <c r="BF33" s="14">
        <f t="shared" si="37"/>
        <v>14.318748507569309</v>
      </c>
      <c r="BG33" s="22">
        <f t="shared" si="7"/>
        <v>110.03492698401652</v>
      </c>
      <c r="BH33" s="62">
        <f t="shared" si="8"/>
        <v>403.36826031734984</v>
      </c>
      <c r="BI33" s="62">
        <f ca="1">AVERAGE(OFFSET($BH$3,0,0,'Données projet'!$E$11+1,1))-AVERAGE(OFFSET($H$3,0,0,'Données projet'!$E$11+1,1))</f>
        <v>182.11831308043929</v>
      </c>
      <c r="BJ33" s="62">
        <f t="shared" si="38"/>
        <v>75.532250323368885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23.285714285714285</v>
      </c>
      <c r="N34" s="14">
        <f>IF('Données projet'!$A$36&gt;35,N33+M34-V33,IF(A34&lt;'Données projet'!$A$36,$K$205^A34,IF(A34='Données projet'!$A$36,'Données projet'!$B$36,N33+M34-V33)))</f>
        <v>283.85714285714289</v>
      </c>
      <c r="O34" s="14">
        <f>N34*VLOOKUP('Données projet'!$B$9,Paramètres!$A$1:$I$89,3,0)*VLOOKUP('Données projet'!$B$9,Paramètres!$A$1:$I$89,5,0)</f>
        <v>158.67614285714288</v>
      </c>
      <c r="P34" s="14">
        <f t="shared" si="33"/>
        <v>40.543771496525409</v>
      </c>
      <c r="Q34" s="22">
        <f t="shared" si="2"/>
        <v>346.97468416597229</v>
      </c>
      <c r="R34" s="62">
        <f t="shared" si="0"/>
        <v>640.30801749930561</v>
      </c>
      <c r="S34" s="62">
        <f ca="1">AVERAGE(OFFSET($R$3,0,0,'Données projet'!$E$9+1,1))-AVERAGE(OFFSET($H$3,0,0,'Données projet'!$E$9+1,1))</f>
        <v>320.36162823905426</v>
      </c>
      <c r="T34" s="62">
        <f t="shared" si="34"/>
        <v>284.65760822544792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5.083991368721394</v>
      </c>
      <c r="AB34" s="23">
        <f>EXP(-LN(2)/2)*AB33+(1-EXP(-LN(2)/2))/(LN(2)/2)*V34*Y34*VLOOKUP('Données projet'!$B$9,Paramètres!$A$1:$I$89,3,0)*0.475*44/12</f>
        <v>13.458716174414924</v>
      </c>
      <c r="AC34" s="24">
        <f t="shared" si="3"/>
        <v>18.542707543136316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201.60000000000005</v>
      </c>
      <c r="AJ34" s="14">
        <f>AI34*VLOOKUP('Données projet'!$B$10,Paramètres!$A$1:$I$89,3,0)*VLOOKUP('Données projet'!$B$10,Paramètres!$A$1:$I$89,5,0)</f>
        <v>110.07360000000001</v>
      </c>
      <c r="AK34" s="14">
        <f t="shared" si="35"/>
        <v>29.348324631518828</v>
      </c>
      <c r="AL34" s="22">
        <f t="shared" si="4"/>
        <v>242.8265187332286</v>
      </c>
      <c r="AM34" s="62">
        <f t="shared" si="5"/>
        <v>536.15985206656194</v>
      </c>
      <c r="AN34" s="62">
        <f ca="1">AVERAGE(OFFSET($AM$3,0,0,'Données projet'!$E$10+1,1))-AVERAGE(OFFSET($H$3,0,0,'Données projet'!$E$10+1,1))</f>
        <v>155.13440282866992</v>
      </c>
      <c r="AO34" s="62">
        <f t="shared" si="36"/>
        <v>229.92235675849565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9.0627509033740647</v>
      </c>
      <c r="AW34" s="23">
        <f>EXP(-LN(2)/2)*AW33+(1-EXP(-LN(2)/2))/(LN(2)/2)*AQ34*AT34*VLOOKUP('Données projet'!$B$10,Paramètres!$A$1:$I$89,3,0)*0.475*44/12</f>
        <v>9.5080609438116799</v>
      </c>
      <c r="AX34" s="23">
        <f t="shared" si="6"/>
        <v>18.570811847185745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53.383199999999988</v>
      </c>
      <c r="BF34" s="14">
        <f t="shared" si="37"/>
        <v>15.484128706113934</v>
      </c>
      <c r="BG34" s="22">
        <f t="shared" si="7"/>
        <v>119.94393082981507</v>
      </c>
      <c r="BH34" s="62">
        <f t="shared" si="8"/>
        <v>413.2772641631484</v>
      </c>
      <c r="BI34" s="62">
        <f ca="1">AVERAGE(OFFSET($BH$3,0,0,'Données projet'!$E$11+1,1))-AVERAGE(OFFSET($H$3,0,0,'Données projet'!$E$11+1,1))</f>
        <v>182.11831308043929</v>
      </c>
      <c r="BJ34" s="62">
        <f t="shared" si="38"/>
        <v>75.532250323368885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23.285714285714285</v>
      </c>
      <c r="N35" s="14">
        <f>IF('Données projet'!$A$36&gt;35,N34+M35-V34,IF(A35&lt;'Données projet'!$A$36,$K$205^A35,IF(A35='Données projet'!$A$36,'Données projet'!$B$36,N34+M35-V34)))</f>
        <v>307.14285714285717</v>
      </c>
      <c r="O35" s="14">
        <f>N35*VLOOKUP('Données projet'!$B$9,Paramètres!$A$1:$I$89,3,0)*VLOOKUP('Données projet'!$B$9,Paramètres!$A$1:$I$89,5,0)</f>
        <v>171.69285714285718</v>
      </c>
      <c r="P35" s="14">
        <f t="shared" si="33"/>
        <v>43.468948346853857</v>
      </c>
      <c r="Q35" s="22">
        <f t="shared" ref="Q35:Q66" si="53">(O35+P35)*0.475*44/12</f>
        <v>374.74014456124672</v>
      </c>
      <c r="R35" s="62">
        <f t="shared" si="0"/>
        <v>668.07347789458004</v>
      </c>
      <c r="S35" s="62">
        <f ca="1">AVERAGE(OFFSET($R$3,0,0,'Données projet'!$E$9+1,1))-AVERAGE(OFFSET($H$3,0,0,'Données projet'!$E$9+1,1))</f>
        <v>320.36162823905426</v>
      </c>
      <c r="T35" s="62">
        <f t="shared" si="34"/>
        <v>284.65760822544792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4.9449693573882207</v>
      </c>
      <c r="AB35" s="23">
        <f>EXP(-LN(2)/2)*AB34+(1-EXP(-LN(2)/2))/(LN(2)/2)*V35*Y35*VLOOKUP('Données projet'!$B$9,Paramètres!$A$1:$I$89,3,0)*0.475*44/12</f>
        <v>9.5167494729938618</v>
      </c>
      <c r="AC35" s="24">
        <f t="shared" si="3"/>
        <v>14.461718830382083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210.20000000000005</v>
      </c>
      <c r="AJ35" s="14">
        <f>AI35*VLOOKUP('Données projet'!$B$10,Paramètres!$A$1:$I$89,3,0)*VLOOKUP('Données projet'!$B$10,Paramètres!$A$1:$I$89,5,0)</f>
        <v>114.76920000000003</v>
      </c>
      <c r="AK35" s="14">
        <f t="shared" si="35"/>
        <v>30.451854637594572</v>
      </c>
      <c r="AL35" s="22">
        <f t="shared" si="4"/>
        <v>252.92667016047722</v>
      </c>
      <c r="AM35" s="62">
        <f t="shared" si="5"/>
        <v>546.26000349381047</v>
      </c>
      <c r="AN35" s="62">
        <f ca="1">AVERAGE(OFFSET($AM$3,0,0,'Données projet'!$E$10+1,1))-AVERAGE(OFFSET($H$3,0,0,'Données projet'!$E$10+1,1))</f>
        <v>155.13440282866992</v>
      </c>
      <c r="AO35" s="62">
        <f t="shared" si="36"/>
        <v>229.92235675849565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8.8149295033319444</v>
      </c>
      <c r="AW35" s="23">
        <f>EXP(-LN(2)/2)*AW34+(1-EXP(-LN(2)/2))/(LN(2)/2)*AQ35*AT35*VLOOKUP('Données projet'!$B$10,Paramètres!$A$1:$I$89,3,0)*0.475*44/12</f>
        <v>6.7232143693042046</v>
      </c>
      <c r="AX35" s="23">
        <f t="shared" si="6"/>
        <v>15.538143872636148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57.907199999999989</v>
      </c>
      <c r="BF35" s="14">
        <f t="shared" si="37"/>
        <v>16.638055172385986</v>
      </c>
      <c r="BG35" s="22">
        <f t="shared" si="7"/>
        <v>129.83298609190555</v>
      </c>
      <c r="BH35" s="62">
        <f t="shared" si="8"/>
        <v>423.16631942523884</v>
      </c>
      <c r="BI35" s="62">
        <f ca="1">AVERAGE(OFFSET($BH$3,0,0,'Données projet'!$E$11+1,1))-AVERAGE(OFFSET($H$3,0,0,'Données projet'!$E$11+1,1))</f>
        <v>182.11831308043929</v>
      </c>
      <c r="BJ35" s="62">
        <f t="shared" si="38"/>
        <v>75.532250323368885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23.285714285714285</v>
      </c>
      <c r="N36" s="14">
        <f>IF('Données projet'!$A$36&gt;35,N35+M36-V35,IF(A36&lt;'Données projet'!$A$36,$K$205^A36,IF(A36='Données projet'!$A$36,'Données projet'!$B$36,N35+M36-V35)))</f>
        <v>330.42857142857144</v>
      </c>
      <c r="O36" s="14">
        <f>N36*VLOOKUP('Données projet'!$B$9,Paramètres!$A$1:$I$89,3,0)*VLOOKUP('Données projet'!$B$9,Paramètres!$A$1:$I$89,5,0)</f>
        <v>184.70957142857145</v>
      </c>
      <c r="P36" s="14">
        <f t="shared" si="33"/>
        <v>46.368398825652129</v>
      </c>
      <c r="Q36" s="22">
        <f t="shared" si="53"/>
        <v>402.4607981927727</v>
      </c>
      <c r="R36" s="62">
        <f t="shared" si="0"/>
        <v>695.79413152610596</v>
      </c>
      <c r="S36" s="62">
        <f ca="1">AVERAGE(OFFSET($R$3,0,0,'Données projet'!$E$9+1,1))-AVERAGE(OFFSET($H$3,0,0,'Données projet'!$E$9+1,1))</f>
        <v>320.36162823905426</v>
      </c>
      <c r="T36" s="62">
        <f t="shared" si="34"/>
        <v>284.65760822544792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4.8097489102658031</v>
      </c>
      <c r="AB36" s="23">
        <f>EXP(-LN(2)/2)*AB35+(1-EXP(-LN(2)/2))/(LN(2)/2)*V36*Y36*VLOOKUP('Données projet'!$B$9,Paramètres!$A$1:$I$89,3,0)*0.475*44/12</f>
        <v>6.7293580872074621</v>
      </c>
      <c r="AC36" s="24">
        <f t="shared" si="3"/>
        <v>11.539106997473265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218.80000000000004</v>
      </c>
      <c r="AJ36" s="14">
        <f>AI36*VLOOKUP('Données projet'!$B$10,Paramètres!$A$1:$I$89,3,0)*VLOOKUP('Données projet'!$B$10,Paramètres!$A$1:$I$89,5,0)</f>
        <v>119.46480000000003</v>
      </c>
      <c r="AK36" s="14">
        <f t="shared" si="35"/>
        <v>31.550140227707256</v>
      </c>
      <c r="AL36" s="22">
        <f t="shared" si="4"/>
        <v>263.01768756325686</v>
      </c>
      <c r="AM36" s="62">
        <f t="shared" si="5"/>
        <v>556.35102089659017</v>
      </c>
      <c r="AN36" s="62">
        <f ca="1">AVERAGE(OFFSET($AM$3,0,0,'Données projet'!$E$10+1,1))-AVERAGE(OFFSET($H$3,0,0,'Données projet'!$E$10+1,1))</f>
        <v>155.13440282866992</v>
      </c>
      <c r="AO36" s="62">
        <f t="shared" si="36"/>
        <v>229.92235675849565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8.5738847925063357</v>
      </c>
      <c r="AW36" s="23">
        <f>EXP(-LN(2)/2)*AW35+(1-EXP(-LN(2)/2))/(LN(2)/2)*AQ36*AT36*VLOOKUP('Données projet'!$B$10,Paramètres!$A$1:$I$89,3,0)*0.475*44/12</f>
        <v>4.7540304719058408</v>
      </c>
      <c r="AX36" s="23">
        <f t="shared" si="6"/>
        <v>13.327915264412177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62.431199999999983</v>
      </c>
      <c r="BF36" s="14">
        <f t="shared" si="37"/>
        <v>17.781524466058684</v>
      </c>
      <c r="BG36" s="22">
        <f t="shared" si="7"/>
        <v>139.70382844505215</v>
      </c>
      <c r="BH36" s="62">
        <f t="shared" si="8"/>
        <v>433.03716177838544</v>
      </c>
      <c r="BI36" s="62">
        <f ca="1">AVERAGE(OFFSET($BH$3,0,0,'Données projet'!$E$11+1,1))-AVERAGE(OFFSET($H$3,0,0,'Données projet'!$E$11+1,1))</f>
        <v>182.11831308043929</v>
      </c>
      <c r="BJ36" s="62">
        <f t="shared" si="38"/>
        <v>75.532250323368885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23.285714285714285</v>
      </c>
      <c r="N37" s="14">
        <f>IF('Données projet'!$A$36&gt;35,N36+M37-V36,IF(A37&lt;'Données projet'!$A$36,$K$205^A37,IF(A37='Données projet'!$A$36,'Données projet'!$B$36,N36+M37-V36)))</f>
        <v>353.71428571428572</v>
      </c>
      <c r="O37" s="14">
        <f>N37*VLOOKUP('Données projet'!$B$9,Paramètres!$A$1:$I$89,3,0)*VLOOKUP('Données projet'!$B$9,Paramètres!$A$1:$I$89,5,0)</f>
        <v>197.72628571428575</v>
      </c>
      <c r="P37" s="14">
        <f t="shared" si="33"/>
        <v>49.244142113968465</v>
      </c>
      <c r="Q37" s="22">
        <f t="shared" si="53"/>
        <v>430.14016180087606</v>
      </c>
      <c r="R37" s="62">
        <f t="shared" si="0"/>
        <v>723.47349513420932</v>
      </c>
      <c r="S37" s="62">
        <f ca="1">AVERAGE(OFFSET($R$3,0,0,'Données projet'!$E$9+1,1))-AVERAGE(OFFSET($H$3,0,0,'Données projet'!$E$9+1,1))</f>
        <v>320.36162823905426</v>
      </c>
      <c r="T37" s="62">
        <f t="shared" si="34"/>
        <v>284.65760822544792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4.6782260733808823</v>
      </c>
      <c r="AB37" s="23">
        <f>EXP(-LN(2)/2)*AB36+(1-EXP(-LN(2)/2))/(LN(2)/2)*V37*Y37*VLOOKUP('Données projet'!$B$9,Paramètres!$A$1:$I$89,3,0)*0.475*44/12</f>
        <v>4.7583747364969309</v>
      </c>
      <c r="AC37" s="24">
        <f t="shared" si="3"/>
        <v>9.4366008098778131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227.40000000000003</v>
      </c>
      <c r="AJ37" s="14">
        <f>AI37*VLOOKUP('Données projet'!$B$10,Paramètres!$A$1:$I$89,3,0)*VLOOKUP('Données projet'!$B$10,Paramètres!$A$1:$I$89,5,0)</f>
        <v>124.16040000000001</v>
      </c>
      <c r="AK37" s="14">
        <f t="shared" si="35"/>
        <v>32.643411123997197</v>
      </c>
      <c r="AL37" s="22">
        <f t="shared" si="4"/>
        <v>273.09997104096175</v>
      </c>
      <c r="AM37" s="62">
        <f t="shared" si="5"/>
        <v>566.43330437429506</v>
      </c>
      <c r="AN37" s="62">
        <f ca="1">AVERAGE(OFFSET($AM$3,0,0,'Données projet'!$E$10+1,1))-AVERAGE(OFFSET($H$3,0,0,'Données projet'!$E$10+1,1))</f>
        <v>155.13440282866992</v>
      </c>
      <c r="AO37" s="62">
        <f t="shared" si="36"/>
        <v>229.92235675849565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8.3394314619742449</v>
      </c>
      <c r="AW37" s="23">
        <f>EXP(-LN(2)/2)*AW36+(1-EXP(-LN(2)/2))/(LN(2)/2)*AQ37*AT37*VLOOKUP('Données projet'!$B$10,Paramètres!$A$1:$I$89,3,0)*0.475*44/12</f>
        <v>3.3616071846521027</v>
      </c>
      <c r="AX37" s="23">
        <f t="shared" si="6"/>
        <v>11.701038646626348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66.955199999999977</v>
      </c>
      <c r="BF37" s="14">
        <f t="shared" si="37"/>
        <v>18.915380530436487</v>
      </c>
      <c r="BG37" s="22">
        <f t="shared" si="7"/>
        <v>149.55792775717683</v>
      </c>
      <c r="BH37" s="62">
        <f t="shared" si="8"/>
        <v>442.89126109051017</v>
      </c>
      <c r="BI37" s="62">
        <f ca="1">AVERAGE(OFFSET($BH$3,0,0,'Données projet'!$E$11+1,1))-AVERAGE(OFFSET($H$3,0,0,'Données projet'!$E$11+1,1))</f>
        <v>182.11831308043929</v>
      </c>
      <c r="BJ37" s="62">
        <f t="shared" si="38"/>
        <v>75.532250323368885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</v>
      </c>
      <c r="L38" s="13">
        <f>VLOOKUP(A38,'Données projet'!$A$35:$I$55,9,0)</f>
        <v>23.285714285714285</v>
      </c>
      <c r="M38" s="13">
        <f t="array" ref="M38">INDEX(L:L,MIN(IF(ISNUMBER(L38:L234),ROW(L38:L234),"")))</f>
        <v>23.285714285714285</v>
      </c>
      <c r="N38" s="14">
        <f>IF('Données projet'!$A$36&gt;35,N37+M38-V37,IF(A38&lt;'Données projet'!$A$36,$K$205^A38,IF(A38='Données projet'!$A$36,'Données projet'!$B$36,N37+M38-V37)))</f>
        <v>377</v>
      </c>
      <c r="O38" s="14">
        <f>N38*VLOOKUP('Données projet'!$B$9,Paramètres!$A$1:$I$89,3,0)*VLOOKUP('Données projet'!$B$9,Paramètres!$A$1:$I$89,5,0)</f>
        <v>210.74299999999999</v>
      </c>
      <c r="P38" s="14">
        <f t="shared" si="33"/>
        <v>52.097916502275609</v>
      </c>
      <c r="Q38" s="22">
        <f t="shared" si="53"/>
        <v>457.78126290812997</v>
      </c>
      <c r="R38" s="62">
        <f t="shared" si="0"/>
        <v>751.11459624146323</v>
      </c>
      <c r="S38" s="62">
        <f ca="1">AVERAGE(OFFSET($R$3,0,0,'Données projet'!$E$9+1,1))-AVERAGE(OFFSET($H$3,0,0,'Données projet'!$E$9+1,1))</f>
        <v>320.36162823905426</v>
      </c>
      <c r="T38" s="62">
        <f t="shared" si="34"/>
        <v>284.65760822544792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4.5502997353870649</v>
      </c>
      <c r="AB38" s="23">
        <f>EXP(-LN(2)/2)*AB37+(1-EXP(-LN(2)/2))/(LN(2)/2)*V38*Y38*VLOOKUP('Données projet'!$B$9,Paramètres!$A$1:$I$89,3,0)*0.475*44/12</f>
        <v>3.364679043603731</v>
      </c>
      <c r="AC38" s="24">
        <f t="shared" si="3"/>
        <v>7.9149787789907959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236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236.00000000000003</v>
      </c>
      <c r="AJ38" s="14">
        <f>AI38*VLOOKUP('Données projet'!$B$10,Paramètres!$A$1:$I$89,3,0)*VLOOKUP('Données projet'!$B$10,Paramètres!$A$1:$I$89,5,0)</f>
        <v>128.85600000000002</v>
      </c>
      <c r="AK38" s="14">
        <f t="shared" si="35"/>
        <v>33.731878688740906</v>
      </c>
      <c r="AL38" s="22">
        <f t="shared" si="4"/>
        <v>283.17388871622381</v>
      </c>
      <c r="AM38" s="62">
        <f t="shared" si="5"/>
        <v>576.50722204955719</v>
      </c>
      <c r="AN38" s="62">
        <f ca="1">AVERAGE(OFFSET($AM$3,0,0,'Données projet'!$E$10+1,1))-AVERAGE(OFFSET($H$3,0,0,'Données projet'!$E$10+1,1))</f>
        <v>155.13440282866992</v>
      </c>
      <c r="AO38" s="62">
        <f t="shared" si="36"/>
        <v>229.92235675849565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8.1113892700949179</v>
      </c>
      <c r="AW38" s="23">
        <f>EXP(-LN(2)/2)*AW37+(1-EXP(-LN(2)/2))/(LN(2)/2)*AQ38*AT38*VLOOKUP('Données projet'!$B$10,Paramètres!$A$1:$I$89,3,0)*0.475*44/12</f>
        <v>2.3770152359529204</v>
      </c>
      <c r="AX38" s="23">
        <f t="shared" si="6"/>
        <v>10.488404506047839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71.479199999999977</v>
      </c>
      <c r="BF38" s="14">
        <f t="shared" si="37"/>
        <v>20.040346808618612</v>
      </c>
      <c r="BG38" s="22">
        <f t="shared" si="7"/>
        <v>159.39654402501068</v>
      </c>
      <c r="BH38" s="62">
        <f t="shared" si="8"/>
        <v>452.72987735834397</v>
      </c>
      <c r="BI38" s="62">
        <f ca="1">AVERAGE(OFFSET($BH$3,0,0,'Données projet'!$E$11+1,1))-AVERAGE(OFFSET($H$3,0,0,'Données projet'!$E$11+1,1))</f>
        <v>182.11831308043929</v>
      </c>
      <c r="BJ38" s="62">
        <f t="shared" si="38"/>
        <v>75.532250323368885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22.857142857142858</v>
      </c>
      <c r="N39" s="14">
        <f>IF('Données projet'!$A$36&gt;35,N38+M39-V38,IF(A39&lt;'Données projet'!$A$36,$K$205^A39,IF(A39='Données projet'!$A$36,'Données projet'!$B$36,N38+M39-V38)))</f>
        <v>312.85714285714283</v>
      </c>
      <c r="O39" s="14">
        <f>N39*VLOOKUP('Données projet'!$B$9,Paramètres!$A$1:$I$89,3,0)*VLOOKUP('Données projet'!$B$9,Paramètres!$A$1:$I$89,5,0)</f>
        <v>174.88714285714283</v>
      </c>
      <c r="P39" s="14">
        <f t="shared" si="33"/>
        <v>44.182768975905461</v>
      </c>
      <c r="Q39" s="22">
        <f t="shared" si="53"/>
        <v>381.54676310922576</v>
      </c>
      <c r="R39" s="62">
        <f t="shared" si="0"/>
        <v>674.88009644255908</v>
      </c>
      <c r="S39" s="62">
        <f ca="1">AVERAGE(OFFSET($R$3,0,0,'Données projet'!$E$9+1,1))-AVERAGE(OFFSET($H$3,0,0,'Données projet'!$E$9+1,1))</f>
        <v>320.36162823905426</v>
      </c>
      <c r="T39" s="62">
        <f t="shared" si="34"/>
        <v>284.65760822544792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4.4258715498330421</v>
      </c>
      <c r="AB39" s="23">
        <f>EXP(-LN(2)/2)*AB38+(1-EXP(-LN(2)/2))/(LN(2)/2)*V39*Y39*VLOOKUP('Données projet'!$B$9,Paramètres!$A$1:$I$89,3,0)*0.475*44/12</f>
        <v>2.3791873682484654</v>
      </c>
      <c r="AC39" s="24">
        <f t="shared" si="3"/>
        <v>6.8050589180815075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6.4</v>
      </c>
      <c r="AI39" s="14">
        <f>IF('Données projet'!$A$62&gt;35,AI38+AH39-AQ38,IF(A39&lt;'Données projet'!$A$62,$AF$205^A39,IF(A39='Données projet'!$A$62,'Données projet'!$B$62,AI38+AH39-AQ38)))</f>
        <v>221.40000000000003</v>
      </c>
      <c r="AJ39" s="14">
        <f>AI39*VLOOKUP('Données projet'!$B$10,Paramètres!$A$1:$I$89,3,0)*VLOOKUP('Données projet'!$B$10,Paramètres!$A$1:$I$89,5,0)</f>
        <v>120.88440000000003</v>
      </c>
      <c r="AK39" s="14">
        <f t="shared" si="35"/>
        <v>31.881182835365173</v>
      </c>
      <c r="AL39" s="22">
        <f t="shared" si="4"/>
        <v>266.06672343826102</v>
      </c>
      <c r="AM39" s="62">
        <f t="shared" si="5"/>
        <v>559.40005677159434</v>
      </c>
      <c r="AN39" s="62">
        <f ca="1">AVERAGE(OFFSET($AM$3,0,0,'Données projet'!$E$10+1,1))-AVERAGE(OFFSET($H$3,0,0,'Données projet'!$E$10+1,1))</f>
        <v>155.13440282866992</v>
      </c>
      <c r="AO39" s="62">
        <f t="shared" si="36"/>
        <v>229.92235675849565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7.8895829039447491</v>
      </c>
      <c r="AW39" s="23">
        <f>EXP(-LN(2)/2)*AW38+(1-EXP(-LN(2)/2))/(LN(2)/2)*AQ39*AT39*VLOOKUP('Données projet'!$B$10,Paramètres!$A$1:$I$89,3,0)*0.475*44/12</f>
        <v>1.6808035923260514</v>
      </c>
      <c r="AX39" s="23">
        <f t="shared" si="6"/>
        <v>9.5703864962707996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64.602719999999991</v>
      </c>
      <c r="BF39" s="14">
        <f t="shared" si="37"/>
        <v>18.326928056848999</v>
      </c>
      <c r="BG39" s="22">
        <f t="shared" si="7"/>
        <v>144.43580369901198</v>
      </c>
      <c r="BH39" s="62">
        <f t="shared" si="8"/>
        <v>437.76913703234527</v>
      </c>
      <c r="BI39" s="62">
        <f ca="1">AVERAGE(OFFSET($BH$3,0,0,'Données projet'!$E$11+1,1))-AVERAGE(OFFSET($H$3,0,0,'Données projet'!$E$11+1,1))</f>
        <v>182.11831308043929</v>
      </c>
      <c r="BJ39" s="62">
        <f t="shared" si="38"/>
        <v>75.532250323368885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22.857142857142858</v>
      </c>
      <c r="N40" s="14">
        <f>IF('Données projet'!$A$36&gt;35,N39+M40-V39,IF(A40&lt;'Données projet'!$A$36,$K$205^A40,IF(A40='Données projet'!$A$36,'Données projet'!$B$36,N39+M40-V39)))</f>
        <v>335.71428571428567</v>
      </c>
      <c r="O40" s="14">
        <f>N40*VLOOKUP('Données projet'!$B$9,Paramètres!$A$1:$I$89,3,0)*VLOOKUP('Données projet'!$B$9,Paramètres!$A$1:$I$89,5,0)</f>
        <v>187.66428571428568</v>
      </c>
      <c r="P40" s="14">
        <f t="shared" si="33"/>
        <v>47.023188422454282</v>
      </c>
      <c r="Q40" s="22">
        <f t="shared" si="53"/>
        <v>408.74735078815547</v>
      </c>
      <c r="R40" s="62">
        <f t="shared" si="0"/>
        <v>702.08068412148873</v>
      </c>
      <c r="S40" s="62">
        <f ca="1">AVERAGE(OFFSET($R$3,0,0,'Données projet'!$E$9+1,1))-AVERAGE(OFFSET($H$3,0,0,'Données projet'!$E$9+1,1))</f>
        <v>320.36162823905426</v>
      </c>
      <c r="T40" s="62">
        <f t="shared" si="34"/>
        <v>284.65760822544792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4.3048458595563881</v>
      </c>
      <c r="AB40" s="23">
        <f>EXP(-LN(2)/2)*AB39+(1-EXP(-LN(2)/2))/(LN(2)/2)*V40*Y40*VLOOKUP('Données projet'!$B$9,Paramètres!$A$1:$I$89,3,0)*0.475*44/12</f>
        <v>1.6823395218018655</v>
      </c>
      <c r="AC40" s="24">
        <f t="shared" si="3"/>
        <v>5.9871853813582536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6.4</v>
      </c>
      <c r="AI40" s="14">
        <f>IF('Données projet'!$A$62&gt;35,AI39+AH40-AQ39,IF(A40&lt;'Données projet'!$A$62,$AF$205^A40,IF(A40='Données projet'!$A$62,'Données projet'!$B$62,AI39+AH40-AQ39)))</f>
        <v>227.80000000000004</v>
      </c>
      <c r="AJ40" s="14">
        <f>AI40*VLOOKUP('Données projet'!$B$10,Paramètres!$A$1:$I$89,3,0)*VLOOKUP('Données projet'!$B$10,Paramètres!$A$1:$I$89,5,0)</f>
        <v>124.37880000000003</v>
      </c>
      <c r="AK40" s="14">
        <f t="shared" si="35"/>
        <v>32.69414246460255</v>
      </c>
      <c r="AL40" s="22">
        <f t="shared" si="4"/>
        <v>273.56870812584953</v>
      </c>
      <c r="AM40" s="62">
        <f t="shared" si="5"/>
        <v>566.90204145918278</v>
      </c>
      <c r="AN40" s="62">
        <f ca="1">AVERAGE(OFFSET($AM$3,0,0,'Données projet'!$E$10+1,1))-AVERAGE(OFFSET($H$3,0,0,'Données projet'!$E$10+1,1))</f>
        <v>155.13440282866992</v>
      </c>
      <c r="AO40" s="62">
        <f t="shared" si="36"/>
        <v>229.92235675849565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7.6738418445412471</v>
      </c>
      <c r="AW40" s="23">
        <f>EXP(-LN(2)/2)*AW39+(1-EXP(-LN(2)/2))/(LN(2)/2)*AQ40*AT40*VLOOKUP('Données projet'!$B$10,Paramètres!$A$1:$I$89,3,0)*0.475*44/12</f>
        <v>1.1885076179764602</v>
      </c>
      <c r="AX40" s="23">
        <f t="shared" si="6"/>
        <v>8.8623494625177077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69.488640000000004</v>
      </c>
      <c r="BF40" s="14">
        <f t="shared" si="37"/>
        <v>19.546414723012209</v>
      </c>
      <c r="BG40" s="22">
        <f t="shared" si="7"/>
        <v>155.06938697591292</v>
      </c>
      <c r="BH40" s="62">
        <f t="shared" si="8"/>
        <v>448.40272030924621</v>
      </c>
      <c r="BI40" s="62">
        <f ca="1">AVERAGE(OFFSET($BH$3,0,0,'Données projet'!$E$11+1,1))-AVERAGE(OFFSET($H$3,0,0,'Données projet'!$E$11+1,1))</f>
        <v>182.11831308043929</v>
      </c>
      <c r="BJ40" s="62">
        <f t="shared" si="38"/>
        <v>75.532250323368885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22.857142857142858</v>
      </c>
      <c r="N41" s="14">
        <f>IF('Données projet'!$A$36&gt;35,N40+M41-V40,IF(A41&lt;'Données projet'!$A$36,$K$205^A41,IF(A41='Données projet'!$A$36,'Données projet'!$B$36,N40+M41-V40)))</f>
        <v>358.5714285714285</v>
      </c>
      <c r="O41" s="14">
        <f>N41*VLOOKUP('Données projet'!$B$9,Paramètres!$A$1:$I$89,3,0)*VLOOKUP('Données projet'!$B$9,Paramètres!$A$1:$I$89,5,0)</f>
        <v>200.44142857142853</v>
      </c>
      <c r="P41" s="14">
        <f t="shared" si="33"/>
        <v>49.841167913065057</v>
      </c>
      <c r="Q41" s="22">
        <f t="shared" si="53"/>
        <v>435.90885554382635</v>
      </c>
      <c r="R41" s="62">
        <f t="shared" si="0"/>
        <v>729.24218887715961</v>
      </c>
      <c r="S41" s="62">
        <f ca="1">AVERAGE(OFFSET($R$3,0,0,'Données projet'!$E$9+1,1))-AVERAGE(OFFSET($H$3,0,0,'Données projet'!$E$9+1,1))</f>
        <v>320.36162823905426</v>
      </c>
      <c r="T41" s="62">
        <f t="shared" si="34"/>
        <v>284.65760822544792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4.1871296231448136</v>
      </c>
      <c r="AB41" s="23">
        <f>EXP(-LN(2)/2)*AB40+(1-EXP(-LN(2)/2))/(LN(2)/2)*V41*Y41*VLOOKUP('Données projet'!$B$9,Paramètres!$A$1:$I$89,3,0)*0.475*44/12</f>
        <v>1.1895936841242327</v>
      </c>
      <c r="AC41" s="24">
        <f t="shared" si="3"/>
        <v>5.3767233072690459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6.4</v>
      </c>
      <c r="AI41" s="14">
        <f>IF('Données projet'!$A$62&gt;35,AI40+AH41-AQ40,IF(A41&lt;'Données projet'!$A$62,$AF$205^A41,IF(A41='Données projet'!$A$62,'Données projet'!$B$62,AI40+AH41-AQ40)))</f>
        <v>234.20000000000005</v>
      </c>
      <c r="AJ41" s="14">
        <f>AI41*VLOOKUP('Données projet'!$B$10,Paramètres!$A$1:$I$89,3,0)*VLOOKUP('Données projet'!$B$10,Paramètres!$A$1:$I$89,5,0)</f>
        <v>127.87320000000003</v>
      </c>
      <c r="AK41" s="14">
        <f t="shared" si="35"/>
        <v>33.504447496471656</v>
      </c>
      <c r="AL41" s="22">
        <f t="shared" si="4"/>
        <v>281.06606938968815</v>
      </c>
      <c r="AM41" s="62">
        <f t="shared" si="5"/>
        <v>574.39940272302147</v>
      </c>
      <c r="AN41" s="62">
        <f ca="1">AVERAGE(OFFSET($AM$3,0,0,'Données projet'!$E$10+1,1))-AVERAGE(OFFSET($H$3,0,0,'Données projet'!$E$10+1,1))</f>
        <v>155.13440282866992</v>
      </c>
      <c r="AO41" s="62">
        <f t="shared" si="36"/>
        <v>229.92235675849565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7.4640002357524633</v>
      </c>
      <c r="AW41" s="23">
        <f>EXP(-LN(2)/2)*AW40+(1-EXP(-LN(2)/2))/(LN(2)/2)*AQ41*AT41*VLOOKUP('Données projet'!$B$10,Paramètres!$A$1:$I$89,3,0)*0.475*44/12</f>
        <v>0.84040179616302568</v>
      </c>
      <c r="AX41" s="23">
        <f t="shared" si="6"/>
        <v>8.3044020319154885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74.374559999999988</v>
      </c>
      <c r="BF41" s="14">
        <f t="shared" si="37"/>
        <v>20.755952735382312</v>
      </c>
      <c r="BG41" s="22">
        <f t="shared" si="7"/>
        <v>165.68564301412417</v>
      </c>
      <c r="BH41" s="62">
        <f t="shared" si="8"/>
        <v>459.01897634745751</v>
      </c>
      <c r="BI41" s="62">
        <f ca="1">AVERAGE(OFFSET($BH$3,0,0,'Données projet'!$E$11+1,1))-AVERAGE(OFFSET($H$3,0,0,'Données projet'!$E$11+1,1))</f>
        <v>182.11831308043929</v>
      </c>
      <c r="BJ41" s="62">
        <f t="shared" si="38"/>
        <v>75.532250323368885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22.857142857142858</v>
      </c>
      <c r="N42" s="14">
        <f>IF('Données projet'!$A$36&gt;35,N41+M42-V41,IF(A42&lt;'Données projet'!$A$36,$K$205^A42,IF(A42='Données projet'!$A$36,'Données projet'!$B$36,N41+M42-V41)))</f>
        <v>381.42857142857133</v>
      </c>
      <c r="O42" s="14">
        <f>N42*VLOOKUP('Données projet'!$B$9,Paramètres!$A$1:$I$89,3,0)*VLOOKUP('Données projet'!$B$9,Paramètres!$A$1:$I$89,5,0)</f>
        <v>213.21857142857138</v>
      </c>
      <c r="P42" s="14">
        <f t="shared" si="33"/>
        <v>52.638300701942654</v>
      </c>
      <c r="Q42" s="22">
        <f t="shared" si="53"/>
        <v>463.03405229397862</v>
      </c>
      <c r="R42" s="62">
        <f t="shared" si="0"/>
        <v>756.36738562731193</v>
      </c>
      <c r="S42" s="62">
        <f ca="1">AVERAGE(OFFSET($R$3,0,0,'Données projet'!$E$9+1,1))-AVERAGE(OFFSET($H$3,0,0,'Données projet'!$E$9+1,1))</f>
        <v>320.36162823905426</v>
      </c>
      <c r="T42" s="62">
        <f t="shared" si="34"/>
        <v>284.65760822544792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4.0726323434083413</v>
      </c>
      <c r="AB42" s="23">
        <f>EXP(-LN(2)/2)*AB41+(1-EXP(-LN(2)/2))/(LN(2)/2)*V42*Y42*VLOOKUP('Données projet'!$B$9,Paramètres!$A$1:$I$89,3,0)*0.475*44/12</f>
        <v>0.84116976090093276</v>
      </c>
      <c r="AC42" s="24">
        <f t="shared" si="3"/>
        <v>4.9138021043092746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6.4</v>
      </c>
      <c r="AI42" s="14">
        <f>IF('Données projet'!$A$62&gt;35,AI41+AH42-AQ41,IF(A42&lt;'Données projet'!$A$62,$AF$205^A42,IF(A42='Données projet'!$A$62,'Données projet'!$B$62,AI41+AH42-AQ41)))</f>
        <v>240.60000000000005</v>
      </c>
      <c r="AJ42" s="14">
        <f>AI42*VLOOKUP('Données projet'!$B$10,Paramètres!$A$1:$I$89,3,0)*VLOOKUP('Données projet'!$B$10,Paramètres!$A$1:$I$89,5,0)</f>
        <v>131.36760000000004</v>
      </c>
      <c r="AK42" s="14">
        <f t="shared" si="35"/>
        <v>34.31217880899456</v>
      </c>
      <c r="AL42" s="22">
        <f t="shared" si="4"/>
        <v>288.55894809233223</v>
      </c>
      <c r="AM42" s="62">
        <f t="shared" si="5"/>
        <v>581.89228142566549</v>
      </c>
      <c r="AN42" s="62">
        <f ca="1">AVERAGE(OFFSET($AM$3,0,0,'Données projet'!$E$10+1,1))-AVERAGE(OFFSET($H$3,0,0,'Données projet'!$E$10+1,1))</f>
        <v>155.13440282866992</v>
      </c>
      <c r="AO42" s="62">
        <f t="shared" si="36"/>
        <v>229.92235675849565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7.2598967567910986</v>
      </c>
      <c r="AW42" s="23">
        <f>EXP(-LN(2)/2)*AW41+(1-EXP(-LN(2)/2))/(LN(2)/2)*AQ42*AT42*VLOOKUP('Données projet'!$B$10,Paramètres!$A$1:$I$89,3,0)*0.475*44/12</f>
        <v>0.5942538089882301</v>
      </c>
      <c r="AX42" s="23">
        <f t="shared" si="6"/>
        <v>7.8541505657793289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79.260480000000001</v>
      </c>
      <c r="BF42" s="14">
        <f t="shared" si="37"/>
        <v>21.956270028417133</v>
      </c>
      <c r="BG42" s="22">
        <f t="shared" si="7"/>
        <v>176.28583963282651</v>
      </c>
      <c r="BH42" s="62">
        <f t="shared" si="8"/>
        <v>469.61917296615979</v>
      </c>
      <c r="BI42" s="62">
        <f ca="1">AVERAGE(OFFSET($BH$3,0,0,'Données projet'!$E$11+1,1))-AVERAGE(OFFSET($H$3,0,0,'Données projet'!$E$11+1,1))</f>
        <v>182.11831308043929</v>
      </c>
      <c r="BJ42" s="62">
        <f t="shared" si="38"/>
        <v>75.532250323368885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22.857142857142858</v>
      </c>
      <c r="N43" s="14">
        <f>IF('Données projet'!$A$36&gt;35,N42+M43-V42,IF(A43&lt;'Données projet'!$A$36,$K$205^A43,IF(A43='Données projet'!$A$36,'Données projet'!$B$36,N42+M43-V42)))</f>
        <v>404.28571428571416</v>
      </c>
      <c r="O43" s="14">
        <f>N43*VLOOKUP('Données projet'!$B$9,Paramètres!$A$1:$I$89,3,0)*VLOOKUP('Données projet'!$B$9,Paramètres!$A$1:$I$89,5,0)</f>
        <v>225.99571428571423</v>
      </c>
      <c r="P43" s="14">
        <f t="shared" si="33"/>
        <v>55.415978303130387</v>
      </c>
      <c r="Q43" s="22">
        <f t="shared" si="53"/>
        <v>490.1253645922377</v>
      </c>
      <c r="R43" s="62">
        <f t="shared" si="0"/>
        <v>783.45869792557096</v>
      </c>
      <c r="S43" s="62">
        <f ca="1">AVERAGE(OFFSET($R$3,0,0,'Données projet'!$E$9+1,1))-AVERAGE(OFFSET($H$3,0,0,'Données projet'!$E$9+1,1))</f>
        <v>320.36162823905426</v>
      </c>
      <c r="T43" s="62">
        <f t="shared" si="34"/>
        <v>284.65760822544792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3.9612659978074136</v>
      </c>
      <c r="AB43" s="23">
        <f>EXP(-LN(2)/2)*AB42+(1-EXP(-LN(2)/2))/(LN(2)/2)*V43*Y43*VLOOKUP('Données projet'!$B$9,Paramètres!$A$1:$I$89,3,0)*0.475*44/12</f>
        <v>0.59479684206211636</v>
      </c>
      <c r="AC43" s="24">
        <f t="shared" si="3"/>
        <v>4.5560628398695302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247</v>
      </c>
      <c r="AG43" s="13">
        <f>VLOOKUP(A43,'Données projet'!$A$61:$I$81,9,0)</f>
        <v>6.4</v>
      </c>
      <c r="AH43" s="13">
        <f t="array" ref="AH43">INDEX(AG:AG,MIN(IF(ISNUMBER(AG43:AG239),ROW(AG43:AG239),"")))</f>
        <v>6.4</v>
      </c>
      <c r="AI43" s="14">
        <f>IF('Données projet'!$A$62&gt;35,AI42+AH43-AQ42,IF(A43&lt;'Données projet'!$A$62,$AF$205^A43,IF(A43='Données projet'!$A$62,'Données projet'!$B$62,AI42+AH43-AQ42)))</f>
        <v>247.00000000000006</v>
      </c>
      <c r="AJ43" s="14">
        <f>AI43*VLOOKUP('Données projet'!$B$10,Paramètres!$A$1:$I$89,3,0)*VLOOKUP('Données projet'!$B$10,Paramètres!$A$1:$I$89,5,0)</f>
        <v>134.86200000000002</v>
      </c>
      <c r="AK43" s="14">
        <f t="shared" si="35"/>
        <v>35.11741273245844</v>
      </c>
      <c r="AL43" s="22">
        <f t="shared" si="4"/>
        <v>296.04747717569848</v>
      </c>
      <c r="AM43" s="62">
        <f t="shared" si="5"/>
        <v>589.38081050903179</v>
      </c>
      <c r="AN43" s="62">
        <f ca="1">AVERAGE(OFFSET($AM$3,0,0,'Données projet'!$E$10+1,1))-AVERAGE(OFFSET($H$3,0,0,'Données projet'!$E$10+1,1))</f>
        <v>155.13440282866992</v>
      </c>
      <c r="AO43" s="62">
        <f t="shared" si="36"/>
        <v>229.92235675849565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16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7.061374498195268</v>
      </c>
      <c r="AW43" s="23">
        <f>EXP(-LN(2)/2)*AW42+(1-EXP(-LN(2)/2))/(LN(2)/2)*AQ43*AT43*VLOOKUP('Données projet'!$B$10,Paramètres!$A$1:$I$89,3,0)*0.475*44/12</f>
        <v>0.42020089808151284</v>
      </c>
      <c r="AX43" s="23">
        <f t="shared" si="6"/>
        <v>7.4815753962767806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84.146400000000014</v>
      </c>
      <c r="BF43" s="14">
        <f t="shared" si="37"/>
        <v>23.14799971956144</v>
      </c>
      <c r="BG43" s="22">
        <f t="shared" si="7"/>
        <v>186.87107951156952</v>
      </c>
      <c r="BH43" s="62">
        <f t="shared" si="8"/>
        <v>480.20441284490283</v>
      </c>
      <c r="BI43" s="62">
        <f ca="1">AVERAGE(OFFSET($BH$3,0,0,'Données projet'!$E$11+1,1))-AVERAGE(OFFSET($H$3,0,0,'Données projet'!$E$11+1,1))</f>
        <v>182.11831308043929</v>
      </c>
      <c r="BJ43" s="62">
        <f t="shared" si="38"/>
        <v>75.532250323368885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22.857142857142858</v>
      </c>
      <c r="N44" s="14">
        <f>IF('Données projet'!$A$36&gt;35,N43+M44-V43,IF(A44&lt;'Données projet'!$A$36,$K$205^A44,IF(A44='Données projet'!$A$36,'Données projet'!$B$36,N43+M44-V43)))</f>
        <v>427.142857142857</v>
      </c>
      <c r="O44" s="14">
        <f>N44*VLOOKUP('Données projet'!$B$9,Paramètres!$A$1:$I$89,3,0)*VLOOKUP('Données projet'!$B$9,Paramètres!$A$1:$I$89,5,0)</f>
        <v>238.77285714285705</v>
      </c>
      <c r="P44" s="14">
        <f t="shared" si="33"/>
        <v>58.175425999349969</v>
      </c>
      <c r="Q44" s="22">
        <f t="shared" si="53"/>
        <v>517.18492647267715</v>
      </c>
      <c r="R44" s="62">
        <f t="shared" si="0"/>
        <v>810.51825980601052</v>
      </c>
      <c r="S44" s="62">
        <f ca="1">AVERAGE(OFFSET($R$3,0,0,'Données projet'!$E$9+1,1))-AVERAGE(OFFSET($H$3,0,0,'Données projet'!$E$9+1,1))</f>
        <v>320.36162823905426</v>
      </c>
      <c r="T44" s="62">
        <f t="shared" si="34"/>
        <v>284.65760822544792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3.8529449707834447</v>
      </c>
      <c r="AB44" s="23">
        <f>EXP(-LN(2)/2)*AB43+(1-EXP(-LN(2)/2))/(LN(2)/2)*V44*Y44*VLOOKUP('Données projet'!$B$9,Paramètres!$A$1:$I$89,3,0)*0.475*44/12</f>
        <v>0.42058488045046638</v>
      </c>
      <c r="AC44" s="24">
        <f t="shared" si="3"/>
        <v>4.2735298512339108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4.5999999999999996</v>
      </c>
      <c r="AI44" s="14">
        <f>IF('Données projet'!$A$62&gt;35,AI43+AH44-AQ43,IF(A44&lt;'Données projet'!$A$62,$AF$205^A44,IF(A44='Données projet'!$A$62,'Données projet'!$B$62,AI43+AH44-AQ43)))</f>
        <v>235.60000000000005</v>
      </c>
      <c r="AJ44" s="14">
        <f>AI44*VLOOKUP('Données projet'!$B$10,Paramètres!$A$1:$I$89,3,0)*VLOOKUP('Données projet'!$B$10,Paramètres!$A$1:$I$89,5,0)</f>
        <v>128.63760000000002</v>
      </c>
      <c r="AK44" s="14">
        <f t="shared" si="35"/>
        <v>33.681355926028921</v>
      </c>
      <c r="AL44" s="22">
        <f t="shared" si="4"/>
        <v>282.70551490450038</v>
      </c>
      <c r="AM44" s="62">
        <f t="shared" si="5"/>
        <v>576.03884823783369</v>
      </c>
      <c r="AN44" s="62">
        <f ca="1">AVERAGE(OFFSET($AM$3,0,0,'Données projet'!$E$10+1,1))-AVERAGE(OFFSET($H$3,0,0,'Données projet'!$E$10+1,1))</f>
        <v>155.13440282866992</v>
      </c>
      <c r="AO44" s="62">
        <f t="shared" si="36"/>
        <v>229.92235675849565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6.8682808412005727</v>
      </c>
      <c r="AW44" s="23">
        <f>EXP(-LN(2)/2)*AW43+(1-EXP(-LN(2)/2))/(LN(2)/2)*AQ44*AT44*VLOOKUP('Données projet'!$B$10,Paramètres!$A$1:$I$89,3,0)*0.475*44/12</f>
        <v>0.29712690449411505</v>
      </c>
      <c r="AX44" s="23">
        <f t="shared" si="6"/>
        <v>7.1654077456946874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76.546080000000003</v>
      </c>
      <c r="BF44" s="14">
        <f t="shared" si="37"/>
        <v>21.290525837973497</v>
      </c>
      <c r="BG44" s="22">
        <f t="shared" si="7"/>
        <v>170.39875516780384</v>
      </c>
      <c r="BH44" s="62">
        <f t="shared" si="8"/>
        <v>463.73208850113713</v>
      </c>
      <c r="BI44" s="62">
        <f ca="1">AVERAGE(OFFSET($BH$3,0,0,'Données projet'!$E$11+1,1))-AVERAGE(OFFSET($H$3,0,0,'Données projet'!$E$11+1,1))</f>
        <v>182.11831308043929</v>
      </c>
      <c r="BJ44" s="62">
        <f t="shared" si="38"/>
        <v>75.532250323368885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</v>
      </c>
      <c r="L45" s="13">
        <f>VLOOKUP(A45,'Données projet'!$A$35:$I$55,9,0)</f>
        <v>22.857142857142858</v>
      </c>
      <c r="M45" s="13">
        <f t="array" ref="M45">INDEX(L:L,MIN(IF(ISNUMBER(L45:L241),ROW(L45:L241),"")))</f>
        <v>22.857142857142858</v>
      </c>
      <c r="N45" s="14">
        <f>IF('Données projet'!$A$36&gt;35,N44+M45-V44,IF(A45&lt;'Données projet'!$A$36,$K$205^A45,IF(A45='Données projet'!$A$36,'Données projet'!$B$36,N44+M45-V44)))</f>
        <v>449.99999999999983</v>
      </c>
      <c r="O45" s="14">
        <f>N45*VLOOKUP('Données projet'!$B$9,Paramètres!$A$1:$I$89,3,0)*VLOOKUP('Données projet'!$B$9,Paramètres!$A$1:$I$89,5,0)</f>
        <v>251.5499999999999</v>
      </c>
      <c r="P45" s="14">
        <f t="shared" si="33"/>
        <v>60.917730533154099</v>
      </c>
      <c r="Q45" s="22">
        <f t="shared" si="53"/>
        <v>544.21463067857655</v>
      </c>
      <c r="R45" s="62">
        <f t="shared" si="0"/>
        <v>837.54796401190993</v>
      </c>
      <c r="S45" s="62">
        <f ca="1">AVERAGE(OFFSET($R$3,0,0,'Données projet'!$E$9+1,1))-AVERAGE(OFFSET($H$3,0,0,'Données projet'!$E$9+1,1))</f>
        <v>320.36162823905426</v>
      </c>
      <c r="T45" s="62">
        <f t="shared" si="34"/>
        <v>284.65760822544792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100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3.7475859879398015</v>
      </c>
      <c r="AB45" s="23">
        <f>EXP(-LN(2)/2)*AB44+(1-EXP(-LN(2)/2))/(LN(2)/2)*V45*Y45*VLOOKUP('Données projet'!$B$9,Paramètres!$A$1:$I$89,3,0)*0.475*44/12</f>
        <v>0.29739842103105818</v>
      </c>
      <c r="AC45" s="24">
        <f t="shared" si="3"/>
        <v>4.0449844089708593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4.5999999999999996</v>
      </c>
      <c r="AI45" s="14">
        <f>IF('Données projet'!$A$62&gt;35,AI44+AH45-AQ44,IF(A45&lt;'Données projet'!$A$62,$AF$205^A45,IF(A45='Données projet'!$A$62,'Données projet'!$B$62,AI44+AH45-AQ44)))</f>
        <v>240.20000000000005</v>
      </c>
      <c r="AJ45" s="14">
        <f>AI45*VLOOKUP('Données projet'!$B$10,Paramètres!$A$1:$I$89,3,0)*VLOOKUP('Données projet'!$B$10,Paramètres!$A$1:$I$89,5,0)</f>
        <v>131.14920000000004</v>
      </c>
      <c r="AK45" s="14">
        <f t="shared" si="35"/>
        <v>34.261769537926085</v>
      </c>
      <c r="AL45" s="22">
        <f t="shared" si="4"/>
        <v>288.09077194522132</v>
      </c>
      <c r="AM45" s="62">
        <f t="shared" si="5"/>
        <v>581.42410527855463</v>
      </c>
      <c r="AN45" s="62">
        <f ca="1">AVERAGE(OFFSET($AM$3,0,0,'Données projet'!$E$10+1,1))-AVERAGE(OFFSET($H$3,0,0,'Données projet'!$E$10+1,1))</f>
        <v>155.13440282866992</v>
      </c>
      <c r="AO45" s="62">
        <f t="shared" si="36"/>
        <v>229.92235675849565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6.6804673404107513</v>
      </c>
      <c r="AW45" s="23">
        <f>EXP(-LN(2)/2)*AW44+(1-EXP(-LN(2)/2))/(LN(2)/2)*AQ45*AT45*VLOOKUP('Données projet'!$B$10,Paramètres!$A$1:$I$89,3,0)*0.475*44/12</f>
        <v>0.21010044904075642</v>
      </c>
      <c r="AX45" s="23">
        <f t="shared" si="6"/>
        <v>6.8905677894515076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81.612960000000001</v>
      </c>
      <c r="BF45" s="14">
        <f t="shared" si="37"/>
        <v>22.531101896247538</v>
      </c>
      <c r="BG45" s="22">
        <f t="shared" si="7"/>
        <v>181.38424113596443</v>
      </c>
      <c r="BH45" s="62">
        <f t="shared" si="8"/>
        <v>474.71757446929774</v>
      </c>
      <c r="BI45" s="62">
        <f ca="1">AVERAGE(OFFSET($BH$3,0,0,'Données projet'!$E$11+1,1))-AVERAGE(OFFSET($H$3,0,0,'Données projet'!$E$11+1,1))</f>
        <v>182.11831308043929</v>
      </c>
      <c r="BJ45" s="62">
        <f t="shared" si="38"/>
        <v>75.532250323368885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</v>
      </c>
      <c r="N46" s="14">
        <f>IF('Données projet'!$A$36&gt;35,N45+M46-V45,IF(A46&lt;'Données projet'!$A$36,$K$205^A46,IF(A46='Données projet'!$A$36,'Données projet'!$B$36,N45+M46-V45)))</f>
        <v>371.99999999999983</v>
      </c>
      <c r="O46" s="14">
        <f>N46*VLOOKUP('Données projet'!$B$9,Paramètres!$A$1:$I$89,3,0)*VLOOKUP('Données projet'!$B$9,Paramètres!$A$1:$I$89,5,0)</f>
        <v>207.94799999999989</v>
      </c>
      <c r="P46" s="14">
        <f t="shared" si="33"/>
        <v>51.486916127068838</v>
      </c>
      <c r="Q46" s="22">
        <f t="shared" si="53"/>
        <v>451.849145587978</v>
      </c>
      <c r="R46" s="62">
        <f t="shared" si="0"/>
        <v>745.18247892131126</v>
      </c>
      <c r="S46" s="62">
        <f ca="1">AVERAGE(OFFSET($R$3,0,0,'Données projet'!$E$9+1,1))-AVERAGE(OFFSET($H$3,0,0,'Données projet'!$E$9+1,1))</f>
        <v>320.36162823905426</v>
      </c>
      <c r="T46" s="62">
        <f t="shared" si="34"/>
        <v>284.65760822544792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3.6451080520226058</v>
      </c>
      <c r="AB46" s="23">
        <f>EXP(-LN(2)/2)*AB45+(1-EXP(-LN(2)/2))/(LN(2)/2)*V46*Y46*VLOOKUP('Données projet'!$B$9,Paramètres!$A$1:$I$89,3,0)*0.475*44/12</f>
        <v>0.21029244022523319</v>
      </c>
      <c r="AC46" s="24">
        <f t="shared" si="3"/>
        <v>3.8554004922478389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4.5999999999999996</v>
      </c>
      <c r="AI46" s="14">
        <f>IF('Données projet'!$A$62&gt;35,AI45+AH46-AQ45,IF(A46&lt;'Données projet'!$A$62,$AF$205^A46,IF(A46='Données projet'!$A$62,'Données projet'!$B$62,AI45+AH46-AQ45)))</f>
        <v>244.80000000000004</v>
      </c>
      <c r="AJ46" s="14">
        <f>AI46*VLOOKUP('Données projet'!$B$10,Paramètres!$A$1:$I$89,3,0)*VLOOKUP('Données projet'!$B$10,Paramètres!$A$1:$I$89,5,0)</f>
        <v>133.66080000000002</v>
      </c>
      <c r="AK46" s="14">
        <f t="shared" si="35"/>
        <v>34.840890682716747</v>
      </c>
      <c r="AL46" s="22">
        <f t="shared" si="4"/>
        <v>293.47377793906503</v>
      </c>
      <c r="AM46" s="62">
        <f t="shared" si="5"/>
        <v>586.80711127239829</v>
      </c>
      <c r="AN46" s="62">
        <f ca="1">AVERAGE(OFFSET($AM$3,0,0,'Données projet'!$E$10+1,1))-AVERAGE(OFFSET($H$3,0,0,'Données projet'!$E$10+1,1))</f>
        <v>155.13440282866992</v>
      </c>
      <c r="AO46" s="62">
        <f t="shared" si="36"/>
        <v>229.92235675849565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6.49778960967671</v>
      </c>
      <c r="AW46" s="23">
        <f>EXP(-LN(2)/2)*AW45+(1-EXP(-LN(2)/2))/(LN(2)/2)*AQ46*AT46*VLOOKUP('Données projet'!$B$10,Paramètres!$A$1:$I$89,3,0)*0.475*44/12</f>
        <v>0.14856345224705753</v>
      </c>
      <c r="AX46" s="23">
        <f t="shared" si="6"/>
        <v>6.6463530619237678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86.679839999999999</v>
      </c>
      <c r="BF46" s="14">
        <f t="shared" si="37"/>
        <v>23.762739053789723</v>
      </c>
      <c r="BG46" s="22">
        <f t="shared" si="7"/>
        <v>192.35415851868379</v>
      </c>
      <c r="BH46" s="62">
        <f t="shared" si="8"/>
        <v>485.6874918520171</v>
      </c>
      <c r="BI46" s="62">
        <f ca="1">AVERAGE(OFFSET($BH$3,0,0,'Données projet'!$E$11+1,1))-AVERAGE(OFFSET($H$3,0,0,'Données projet'!$E$11+1,1))</f>
        <v>182.11831308043929</v>
      </c>
      <c r="BJ46" s="62">
        <f t="shared" si="38"/>
        <v>75.532250323368885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</v>
      </c>
      <c r="N47" s="14">
        <f>IF('Données projet'!$A$36&gt;35,N46+M47-V46,IF(A47&lt;'Données projet'!$A$36,$K$205^A47,IF(A47='Données projet'!$A$36,'Données projet'!$B$36,N46+M47-V46)))</f>
        <v>393.99999999999983</v>
      </c>
      <c r="O47" s="14">
        <f>N47*VLOOKUP('Données projet'!$B$9,Paramètres!$A$1:$I$89,3,0)*VLOOKUP('Données projet'!$B$9,Paramètres!$A$1:$I$89,5,0)</f>
        <v>220.24599999999992</v>
      </c>
      <c r="P47" s="14">
        <f t="shared" si="33"/>
        <v>54.168349127077136</v>
      </c>
      <c r="Q47" s="22">
        <f t="shared" si="53"/>
        <v>477.9383247296592</v>
      </c>
      <c r="R47" s="62">
        <f t="shared" si="0"/>
        <v>771.27165806299251</v>
      </c>
      <c r="S47" s="62">
        <f ca="1">AVERAGE(OFFSET($R$3,0,0,'Données projet'!$E$9+1,1))-AVERAGE(OFFSET($H$3,0,0,'Données projet'!$E$9+1,1))</f>
        <v>320.36162823905426</v>
      </c>
      <c r="T47" s="62">
        <f t="shared" si="34"/>
        <v>284.65760822544792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3.5454323806521462</v>
      </c>
      <c r="AB47" s="23">
        <f>EXP(-LN(2)/2)*AB46+(1-EXP(-LN(2)/2))/(LN(2)/2)*V47*Y47*VLOOKUP('Données projet'!$B$9,Paramètres!$A$1:$I$89,3,0)*0.475*44/12</f>
        <v>0.14869921051552909</v>
      </c>
      <c r="AC47" s="24">
        <f t="shared" si="3"/>
        <v>3.6941315911676753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4.5999999999999996</v>
      </c>
      <c r="AI47" s="14">
        <f>IF('Données projet'!$A$62&gt;35,AI46+AH47-AQ46,IF(A47&lt;'Données projet'!$A$62,$AF$205^A47,IF(A47='Données projet'!$A$62,'Données projet'!$B$62,AI46+AH47-AQ46)))</f>
        <v>249.40000000000003</v>
      </c>
      <c r="AJ47" s="14">
        <f>AI47*VLOOKUP('Données projet'!$B$10,Paramètres!$A$1:$I$89,3,0)*VLOOKUP('Données projet'!$B$10,Paramètres!$A$1:$I$89,5,0)</f>
        <v>136.17240000000001</v>
      </c>
      <c r="AK47" s="14">
        <f t="shared" si="35"/>
        <v>35.418746447495963</v>
      </c>
      <c r="AL47" s="22">
        <f t="shared" si="4"/>
        <v>298.85458006272216</v>
      </c>
      <c r="AM47" s="62">
        <f t="shared" si="5"/>
        <v>592.18791339605548</v>
      </c>
      <c r="AN47" s="62">
        <f ca="1">AVERAGE(OFFSET($AM$3,0,0,'Données projet'!$E$10+1,1))-AVERAGE(OFFSET($H$3,0,0,'Données projet'!$E$10+1,1))</f>
        <v>155.13440282866992</v>
      </c>
      <c r="AO47" s="62">
        <f t="shared" si="36"/>
        <v>229.92235675849565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6.3201072110961958</v>
      </c>
      <c r="AW47" s="23">
        <f>EXP(-LN(2)/2)*AW46+(1-EXP(-LN(2)/2))/(LN(2)/2)*AQ47*AT47*VLOOKUP('Données projet'!$B$10,Paramètres!$A$1:$I$89,3,0)*0.475*44/12</f>
        <v>0.10505022452037821</v>
      </c>
      <c r="AX47" s="23">
        <f t="shared" si="6"/>
        <v>6.4251574356165744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91.746719999999982</v>
      </c>
      <c r="BF47" s="14">
        <f t="shared" si="37"/>
        <v>24.986019358738364</v>
      </c>
      <c r="BG47" s="22">
        <f t="shared" si="7"/>
        <v>203.30952104980258</v>
      </c>
      <c r="BH47" s="62">
        <f t="shared" si="8"/>
        <v>496.6428543831359</v>
      </c>
      <c r="BI47" s="62">
        <f ca="1">AVERAGE(OFFSET($BH$3,0,0,'Données projet'!$E$11+1,1))-AVERAGE(OFFSET($H$3,0,0,'Données projet'!$E$11+1,1))</f>
        <v>182.11831308043929</v>
      </c>
      <c r="BJ47" s="62">
        <f t="shared" si="38"/>
        <v>75.532250323368885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22</v>
      </c>
      <c r="N48" s="14">
        <f>IF('Données projet'!$A$36&gt;35,N47+M48-V47,IF(A48&lt;'Données projet'!$A$36,$K$205^A48,IF(A48='Données projet'!$A$36,'Données projet'!$B$36,N47+M48-V47)))</f>
        <v>415.99999999999983</v>
      </c>
      <c r="O48" s="14">
        <f>N48*VLOOKUP('Données projet'!$B$9,Paramètres!$A$1:$I$89,3,0)*VLOOKUP('Données projet'!$B$9,Paramètres!$A$1:$I$89,5,0)</f>
        <v>232.5439999999999</v>
      </c>
      <c r="P48" s="14">
        <f t="shared" si="33"/>
        <v>56.832401153973727</v>
      </c>
      <c r="Q48" s="22">
        <f t="shared" si="53"/>
        <v>503.99723200983743</v>
      </c>
      <c r="R48" s="62">
        <f t="shared" si="0"/>
        <v>797.33056534317075</v>
      </c>
      <c r="S48" s="62">
        <f ca="1">AVERAGE(OFFSET($R$3,0,0,'Données projet'!$E$9+1,1))-AVERAGE(OFFSET($H$3,0,0,'Données projet'!$E$9+1,1))</f>
        <v>320.36162823905426</v>
      </c>
      <c r="T48" s="62">
        <f t="shared" si="34"/>
        <v>284.65760822544792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3.4484823457570277</v>
      </c>
      <c r="AB48" s="23">
        <f>EXP(-LN(2)/2)*AB47+(1-EXP(-LN(2)/2))/(LN(2)/2)*V48*Y48*VLOOKUP('Données projet'!$B$9,Paramètres!$A$1:$I$89,3,0)*0.475*44/12</f>
        <v>0.1051462201126166</v>
      </c>
      <c r="AC48" s="24">
        <f t="shared" si="3"/>
        <v>3.5536285658696443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254</v>
      </c>
      <c r="AG48" s="13">
        <f>VLOOKUP(A48,'Données projet'!$A$61:$I$81,9,0)</f>
        <v>4.5999999999999996</v>
      </c>
      <c r="AH48" s="13">
        <f t="array" ref="AH48">INDEX(AG:AG,MIN(IF(ISNUMBER(AG48:AG244),ROW(AG48:AG244),"")))</f>
        <v>4.5999999999999996</v>
      </c>
      <c r="AI48" s="14">
        <f>IF('Données projet'!$A$62&gt;35,AI47+AH48-AQ47,IF(A48&lt;'Données projet'!$A$62,$AF$205^A48,IF(A48='Données projet'!$A$62,'Données projet'!$B$62,AI47+AH48-AQ47)))</f>
        <v>254.00000000000003</v>
      </c>
      <c r="AJ48" s="14">
        <f>AI48*VLOOKUP('Données projet'!$B$10,Paramètres!$A$1:$I$89,3,0)*VLOOKUP('Données projet'!$B$10,Paramètres!$A$1:$I$89,5,0)</f>
        <v>138.68400000000003</v>
      </c>
      <c r="AK48" s="14">
        <f t="shared" si="35"/>
        <v>35.995362862956824</v>
      </c>
      <c r="AL48" s="22">
        <f t="shared" si="4"/>
        <v>304.23322365298316</v>
      </c>
      <c r="AM48" s="62">
        <f t="shared" si="5"/>
        <v>597.56655698631653</v>
      </c>
      <c r="AN48" s="62">
        <f ca="1">AVERAGE(OFFSET($AM$3,0,0,'Données projet'!$E$10+1,1))-AVERAGE(OFFSET($H$3,0,0,'Données projet'!$E$10+1,1))</f>
        <v>155.13440282866992</v>
      </c>
      <c r="AO48" s="62">
        <f t="shared" si="36"/>
        <v>229.92235675849565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12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6.1472835470487768</v>
      </c>
      <c r="AW48" s="23">
        <f>EXP(-LN(2)/2)*AW47+(1-EXP(-LN(2)/2))/(LN(2)/2)*AQ48*AT48*VLOOKUP('Données projet'!$B$10,Paramètres!$A$1:$I$89,3,0)*0.475*44/12</f>
        <v>7.4281726123528763E-2</v>
      </c>
      <c r="AX48" s="23">
        <f t="shared" si="6"/>
        <v>6.2215652731723052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96.81359999999998</v>
      </c>
      <c r="BF48" s="14">
        <f t="shared" si="37"/>
        <v>26.201456938925315</v>
      </c>
      <c r="BG48" s="22">
        <f t="shared" si="7"/>
        <v>214.25122416862823</v>
      </c>
      <c r="BH48" s="62">
        <f t="shared" si="8"/>
        <v>507.58455750196151</v>
      </c>
      <c r="BI48" s="62">
        <f ca="1">AVERAGE(OFFSET($BH$3,0,0,'Données projet'!$E$11+1,1))-AVERAGE(OFFSET($H$3,0,0,'Données projet'!$E$11+1,1))</f>
        <v>182.11831308043929</v>
      </c>
      <c r="BJ48" s="62">
        <f t="shared" si="38"/>
        <v>75.532250323368885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22</v>
      </c>
      <c r="N49" s="14">
        <f>IF('Données projet'!$A$36&gt;35,N48+M49-V48,IF(A49&lt;'Données projet'!$A$36,$K$205^A49,IF(A49='Données projet'!$A$36,'Données projet'!$B$36,N48+M49-V48)))</f>
        <v>437.99999999999983</v>
      </c>
      <c r="O49" s="14">
        <f>N49*VLOOKUP('Données projet'!$B$9,Paramètres!$A$1:$I$89,3,0)*VLOOKUP('Données projet'!$B$9,Paramètres!$A$1:$I$89,5,0)</f>
        <v>244.8419999999999</v>
      </c>
      <c r="P49" s="14">
        <f t="shared" si="33"/>
        <v>59.480096214206256</v>
      </c>
      <c r="Q49" s="22">
        <f t="shared" si="53"/>
        <v>530.02765090640912</v>
      </c>
      <c r="R49" s="62">
        <f t="shared" si="0"/>
        <v>823.36098423974249</v>
      </c>
      <c r="S49" s="62">
        <f ca="1">AVERAGE(OFFSET($R$3,0,0,'Données projet'!$E$9+1,1))-AVERAGE(OFFSET($H$3,0,0,'Données projet'!$E$9+1,1))</f>
        <v>320.36162823905426</v>
      </c>
      <c r="T49" s="62">
        <f t="shared" si="34"/>
        <v>284.65760822544792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3.3541834146644969</v>
      </c>
      <c r="AB49" s="23">
        <f>EXP(-LN(2)/2)*AB48+(1-EXP(-LN(2)/2))/(LN(2)/2)*V49*Y49*VLOOKUP('Données projet'!$B$9,Paramètres!$A$1:$I$89,3,0)*0.475*44/12</f>
        <v>7.4349605257764545E-2</v>
      </c>
      <c r="AC49" s="24">
        <f t="shared" si="3"/>
        <v>3.4285330199222614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3.4</v>
      </c>
      <c r="AI49" s="14">
        <f>IF('Données projet'!$A$62&gt;35,AI48+AH49-AQ48,IF(A49&lt;'Données projet'!$A$62,$AF$205^A49,IF(A49='Données projet'!$A$62,'Données projet'!$B$62,AI48+AH49-AQ48)))</f>
        <v>245.40000000000003</v>
      </c>
      <c r="AJ49" s="14">
        <f>AI49*VLOOKUP('Données projet'!$B$10,Paramètres!$A$1:$I$89,3,0)*VLOOKUP('Données projet'!$B$10,Paramètres!$A$1:$I$89,5,0)</f>
        <v>133.98840000000001</v>
      </c>
      <c r="AK49" s="14">
        <f t="shared" si="35"/>
        <v>34.916334367910679</v>
      </c>
      <c r="AL49" s="22">
        <f t="shared" si="4"/>
        <v>294.17574569077777</v>
      </c>
      <c r="AM49" s="62">
        <f t="shared" si="5"/>
        <v>587.50907902411109</v>
      </c>
      <c r="AN49" s="62">
        <f ca="1">AVERAGE(OFFSET($AM$3,0,0,'Données projet'!$E$10+1,1))-AVERAGE(OFFSET($H$3,0,0,'Données projet'!$E$10+1,1))</f>
        <v>155.13440282866992</v>
      </c>
      <c r="AO49" s="62">
        <f t="shared" si="36"/>
        <v>229.92235675849565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5.9791857551831358</v>
      </c>
      <c r="AW49" s="23">
        <f>EXP(-LN(2)/2)*AW48+(1-EXP(-LN(2)/2))/(LN(2)/2)*AQ49*AT49*VLOOKUP('Données projet'!$B$10,Paramètres!$A$1:$I$89,3,0)*0.475*44/12</f>
        <v>5.2525112260189105E-2</v>
      </c>
      <c r="AX49" s="23">
        <f t="shared" si="6"/>
        <v>6.0317108674433246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89.213279999999969</v>
      </c>
      <c r="BF49" s="14">
        <f t="shared" si="37"/>
        <v>24.375390230293544</v>
      </c>
      <c r="BG49" s="22">
        <f t="shared" si="7"/>
        <v>197.83360065109454</v>
      </c>
      <c r="BH49" s="62">
        <f t="shared" si="8"/>
        <v>491.16693398442783</v>
      </c>
      <c r="BI49" s="62">
        <f ca="1">AVERAGE(OFFSET($BH$3,0,0,'Données projet'!$E$11+1,1))-AVERAGE(OFFSET($H$3,0,0,'Données projet'!$E$11+1,1))</f>
        <v>182.11831308043929</v>
      </c>
      <c r="BJ49" s="62">
        <f t="shared" si="38"/>
        <v>75.532250323368885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22</v>
      </c>
      <c r="N50" s="14">
        <f>IF('Données projet'!$A$36&gt;35,N49+M50-V49,IF(A50&lt;'Données projet'!$A$36,$K$205^A50,IF(A50='Données projet'!$A$36,'Données projet'!$B$36,N49+M50-V49)))</f>
        <v>459.99999999999983</v>
      </c>
      <c r="O50" s="14">
        <f>N50*VLOOKUP('Données projet'!$B$9,Paramètres!$A$1:$I$89,3,0)*VLOOKUP('Données projet'!$B$9,Paramètres!$A$1:$I$89,5,0)</f>
        <v>257.13999999999993</v>
      </c>
      <c r="P50" s="14">
        <f t="shared" si="33"/>
        <v>62.112349635142181</v>
      </c>
      <c r="Q50" s="22">
        <f t="shared" si="53"/>
        <v>556.03117561453917</v>
      </c>
      <c r="R50" s="62">
        <f t="shared" si="0"/>
        <v>849.36450894787254</v>
      </c>
      <c r="S50" s="62">
        <f ca="1">AVERAGE(OFFSET($R$3,0,0,'Données projet'!$E$9+1,1))-AVERAGE(OFFSET($H$3,0,0,'Données projet'!$E$9+1,1))</f>
        <v>320.36162823905426</v>
      </c>
      <c r="T50" s="62">
        <f t="shared" si="34"/>
        <v>284.65760822544792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3.2624630928016565</v>
      </c>
      <c r="AB50" s="23">
        <f>EXP(-LN(2)/2)*AB49+(1-EXP(-LN(2)/2))/(LN(2)/2)*V50*Y50*VLOOKUP('Données projet'!$B$9,Paramètres!$A$1:$I$89,3,0)*0.475*44/12</f>
        <v>5.2573110056308298E-2</v>
      </c>
      <c r="AC50" s="24">
        <f t="shared" si="3"/>
        <v>3.3150362028579647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3.4</v>
      </c>
      <c r="AI50" s="14">
        <f>IF('Données projet'!$A$62&gt;35,AI49+AH50-AQ49,IF(A50&lt;'Données projet'!$A$62,$AF$205^A50,IF(A50='Données projet'!$A$62,'Données projet'!$B$62,AI49+AH50-AQ49)))</f>
        <v>248.80000000000004</v>
      </c>
      <c r="AJ50" s="14">
        <f>AI50*VLOOKUP('Données projet'!$B$10,Paramètres!$A$1:$I$89,3,0)*VLOOKUP('Données projet'!$B$10,Paramètres!$A$1:$I$89,5,0)</f>
        <v>135.84480000000002</v>
      </c>
      <c r="AK50" s="14">
        <f t="shared" si="35"/>
        <v>35.343444786954898</v>
      </c>
      <c r="AL50" s="22">
        <f t="shared" si="4"/>
        <v>298.15285967061317</v>
      </c>
      <c r="AM50" s="62">
        <f t="shared" si="5"/>
        <v>591.48619300394648</v>
      </c>
      <c r="AN50" s="62">
        <f ca="1">AVERAGE(OFFSET($AM$3,0,0,'Données projet'!$E$10+1,1))-AVERAGE(OFFSET($H$3,0,0,'Données projet'!$E$10+1,1))</f>
        <v>155.13440282866992</v>
      </c>
      <c r="AO50" s="62">
        <f t="shared" si="36"/>
        <v>229.92235675849565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5.8156846062759397</v>
      </c>
      <c r="AW50" s="23">
        <f>EXP(-LN(2)/2)*AW49+(1-EXP(-LN(2)/2))/(LN(2)/2)*AQ50*AT50*VLOOKUP('Données projet'!$B$10,Paramètres!$A$1:$I$89,3,0)*0.475*44/12</f>
        <v>3.7140863061764381E-2</v>
      </c>
      <c r="AX50" s="23">
        <f t="shared" si="6"/>
        <v>5.852825469337704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94.280159999999967</v>
      </c>
      <c r="BF50" s="14">
        <f t="shared" si="37"/>
        <v>25.594688689992932</v>
      </c>
      <c r="BG50" s="22">
        <f t="shared" si="7"/>
        <v>208.78202813507096</v>
      </c>
      <c r="BH50" s="62">
        <f t="shared" si="8"/>
        <v>502.11536146840427</v>
      </c>
      <c r="BI50" s="62">
        <f ca="1">AVERAGE(OFFSET($BH$3,0,0,'Données projet'!$E$11+1,1))-AVERAGE(OFFSET($H$3,0,0,'Données projet'!$E$11+1,1))</f>
        <v>182.11831308043929</v>
      </c>
      <c r="BJ50" s="62">
        <f t="shared" si="38"/>
        <v>75.532250323368885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22</v>
      </c>
      <c r="N51" s="14">
        <f>IF('Données projet'!$A$36&gt;35,N50+M51-V50,IF(A51&lt;'Données projet'!$A$36,$K$205^A51,IF(A51='Données projet'!$A$36,'Données projet'!$B$36,N50+M51-V50)))</f>
        <v>481.99999999999983</v>
      </c>
      <c r="O51" s="14">
        <f>N51*VLOOKUP('Données projet'!$B$9,Paramètres!$A$1:$I$89,3,0)*VLOOKUP('Données projet'!$B$9,Paramètres!$A$1:$I$89,5,0)</f>
        <v>269.43799999999993</v>
      </c>
      <c r="P51" s="14">
        <f t="shared" si="33"/>
        <v>64.729984244002807</v>
      </c>
      <c r="Q51" s="22">
        <f t="shared" si="53"/>
        <v>582.00923922497134</v>
      </c>
      <c r="R51" s="62">
        <f t="shared" si="0"/>
        <v>875.34257255830471</v>
      </c>
      <c r="S51" s="62">
        <f ca="1">AVERAGE(OFFSET($R$3,0,0,'Données projet'!$E$9+1,1))-AVERAGE(OFFSET($H$3,0,0,'Données projet'!$E$9+1,1))</f>
        <v>320.36162823905426</v>
      </c>
      <c r="T51" s="62">
        <f t="shared" si="34"/>
        <v>284.65760822544792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3.1732508679635174</v>
      </c>
      <c r="AB51" s="23">
        <f>EXP(-LN(2)/2)*AB50+(1-EXP(-LN(2)/2))/(LN(2)/2)*V51*Y51*VLOOKUP('Données projet'!$B$9,Paramètres!$A$1:$I$89,3,0)*0.475*44/12</f>
        <v>3.7174802628882272E-2</v>
      </c>
      <c r="AC51" s="24">
        <f t="shared" si="3"/>
        <v>3.2104256705923997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3.4</v>
      </c>
      <c r="AI51" s="14">
        <f>IF('Données projet'!$A$62&gt;35,AI50+AH51-AQ50,IF(A51&lt;'Données projet'!$A$62,$AF$205^A51,IF(A51='Données projet'!$A$62,'Données projet'!$B$62,AI50+AH51-AQ50)))</f>
        <v>252.20000000000005</v>
      </c>
      <c r="AJ51" s="14">
        <f>AI51*VLOOKUP('Données projet'!$B$10,Paramètres!$A$1:$I$89,3,0)*VLOOKUP('Données projet'!$B$10,Paramètres!$A$1:$I$89,5,0)</f>
        <v>137.70120000000003</v>
      </c>
      <c r="AK51" s="14">
        <f t="shared" si="35"/>
        <v>35.769876329748612</v>
      </c>
      <c r="AL51" s="22">
        <f t="shared" si="4"/>
        <v>302.12879127431222</v>
      </c>
      <c r="AM51" s="62">
        <f t="shared" si="5"/>
        <v>595.46212460764559</v>
      </c>
      <c r="AN51" s="62">
        <f ca="1">AVERAGE(OFFSET($AM$3,0,0,'Données projet'!$E$10+1,1))-AVERAGE(OFFSET($H$3,0,0,'Données projet'!$E$10+1,1))</f>
        <v>155.13440282866992</v>
      </c>
      <c r="AO51" s="62">
        <f t="shared" si="36"/>
        <v>229.92235675849565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5.6566544048837626</v>
      </c>
      <c r="AW51" s="23">
        <f>EXP(-LN(2)/2)*AW50+(1-EXP(-LN(2)/2))/(LN(2)/2)*AQ51*AT51*VLOOKUP('Données projet'!$B$10,Paramètres!$A$1:$I$89,3,0)*0.475*44/12</f>
        <v>2.6262556130094553E-2</v>
      </c>
      <c r="AX51" s="23">
        <f t="shared" si="6"/>
        <v>5.6829169610138575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99.347039999999964</v>
      </c>
      <c r="BF51" s="14">
        <f t="shared" si="37"/>
        <v>26.806379572460035</v>
      </c>
      <c r="BG51" s="22">
        <f t="shared" si="7"/>
        <v>219.71720575536781</v>
      </c>
      <c r="BH51" s="62">
        <f t="shared" si="8"/>
        <v>513.05053908870116</v>
      </c>
      <c r="BI51" s="62">
        <f ca="1">AVERAGE(OFFSET($BH$3,0,0,'Données projet'!$E$11+1,1))-AVERAGE(OFFSET($H$3,0,0,'Données projet'!$E$11+1,1))</f>
        <v>182.11831308043929</v>
      </c>
      <c r="BJ51" s="62">
        <f t="shared" si="38"/>
        <v>75.532250323368885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504</v>
      </c>
      <c r="L52" s="13">
        <f>VLOOKUP(A52,'Données projet'!$A$35:$I$55,9,0)</f>
        <v>22</v>
      </c>
      <c r="M52" s="13">
        <f t="array" ref="M52">INDEX(L:L,MIN(IF(ISNUMBER(L52:L248),ROW(L52:L248),"")))</f>
        <v>22</v>
      </c>
      <c r="N52" s="14">
        <f>IF('Données projet'!$A$36&gt;35,N51+M52-V51,IF(A52&lt;'Données projet'!$A$36,$K$205^A52,IF(A52='Données projet'!$A$36,'Données projet'!$B$36,N51+M52-V51)))</f>
        <v>503.99999999999983</v>
      </c>
      <c r="O52" s="14">
        <f>N52*VLOOKUP('Données projet'!$B$9,Paramètres!$A$1:$I$89,3,0)*VLOOKUP('Données projet'!$B$9,Paramètres!$A$1:$I$89,5,0)</f>
        <v>281.73599999999988</v>
      </c>
      <c r="P52" s="14">
        <f t="shared" si="33"/>
        <v>67.333743509453043</v>
      </c>
      <c r="Q52" s="22">
        <f t="shared" si="53"/>
        <v>607.96313661229703</v>
      </c>
      <c r="R52" s="62">
        <f t="shared" si="0"/>
        <v>901.29646994563041</v>
      </c>
      <c r="S52" s="62">
        <f ca="1">AVERAGE(OFFSET($R$3,0,0,'Données projet'!$E$9+1,1))-AVERAGE(OFFSET($H$3,0,0,'Données projet'!$E$9+1,1))</f>
        <v>320.36162823905426</v>
      </c>
      <c r="T52" s="62">
        <f t="shared" si="34"/>
        <v>284.65760822544792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113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3.0864781561050445</v>
      </c>
      <c r="AB52" s="23">
        <f>EXP(-LN(2)/2)*AB51+(1-EXP(-LN(2)/2))/(LN(2)/2)*V52*Y52*VLOOKUP('Données projet'!$B$9,Paramètres!$A$1:$I$89,3,0)*0.475*44/12</f>
        <v>2.6286555028154149E-2</v>
      </c>
      <c r="AC52" s="24">
        <f t="shared" si="3"/>
        <v>3.1127647111331989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3.4</v>
      </c>
      <c r="AI52" s="14">
        <f>IF('Données projet'!$A$62&gt;35,AI51+AH52-AQ51,IF(A52&lt;'Données projet'!$A$62,$AF$205^A52,IF(A52='Données projet'!$A$62,'Données projet'!$B$62,AI51+AH52-AQ51)))</f>
        <v>255.60000000000005</v>
      </c>
      <c r="AJ52" s="14">
        <f>AI52*VLOOKUP('Données projet'!$B$10,Paramètres!$A$1:$I$89,3,0)*VLOOKUP('Données projet'!$B$10,Paramètres!$A$1:$I$89,5,0)</f>
        <v>139.55760000000004</v>
      </c>
      <c r="AK52" s="14">
        <f t="shared" si="35"/>
        <v>36.195639206392919</v>
      </c>
      <c r="AL52" s="22">
        <f t="shared" si="4"/>
        <v>306.10355828446768</v>
      </c>
      <c r="AM52" s="62">
        <f t="shared" si="5"/>
        <v>599.43689161780094</v>
      </c>
      <c r="AN52" s="62">
        <f ca="1">AVERAGE(OFFSET($AM$3,0,0,'Données projet'!$E$10+1,1))-AVERAGE(OFFSET($H$3,0,0,'Données projet'!$E$10+1,1))</f>
        <v>155.13440282866992</v>
      </c>
      <c r="AO52" s="62">
        <f t="shared" si="36"/>
        <v>229.92235675849565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5.5019728927116898</v>
      </c>
      <c r="AW52" s="23">
        <f>EXP(-LN(2)/2)*AW51+(1-EXP(-LN(2)/2))/(LN(2)/2)*AQ52*AT52*VLOOKUP('Données projet'!$B$10,Paramètres!$A$1:$I$89,3,0)*0.475*44/12</f>
        <v>1.8570431530882191E-2</v>
      </c>
      <c r="AX52" s="23">
        <f t="shared" si="6"/>
        <v>5.5205433242425723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104.41391999999996</v>
      </c>
      <c r="BF52" s="14">
        <f t="shared" si="37"/>
        <v>28.010895142032854</v>
      </c>
      <c r="BG52" s="22">
        <f t="shared" si="7"/>
        <v>230.63988637237381</v>
      </c>
      <c r="BH52" s="62">
        <f t="shared" si="8"/>
        <v>523.97321970570715</v>
      </c>
      <c r="BI52" s="62">
        <f ca="1">AVERAGE(OFFSET($BH$3,0,0,'Données projet'!$E$11+1,1))-AVERAGE(OFFSET($H$3,0,0,'Données projet'!$E$11+1,1))</f>
        <v>182.11831308043929</v>
      </c>
      <c r="BJ52" s="62">
        <f t="shared" si="38"/>
        <v>75.532250323368885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20.285714285714285</v>
      </c>
      <c r="N53" s="14">
        <f>IF('Données projet'!$A$36&gt;35,N52+M53-V52,IF(A53&lt;'Données projet'!$A$36,$K$205^A53,IF(A53='Données projet'!$A$36,'Données projet'!$B$36,N52+M53-V52)))</f>
        <v>411.28571428571411</v>
      </c>
      <c r="O53" s="14">
        <f>N53*VLOOKUP('Données projet'!$B$9,Paramètres!$A$1:$I$89,3,0)*VLOOKUP('Données projet'!$B$9,Paramètres!$A$1:$I$89,5,0)</f>
        <v>229.90871428571418</v>
      </c>
      <c r="P53" s="14">
        <f t="shared" si="33"/>
        <v>56.262942969449149</v>
      </c>
      <c r="Q53" s="22">
        <f t="shared" si="53"/>
        <v>498.41563638607613</v>
      </c>
      <c r="R53" s="62">
        <f t="shared" si="0"/>
        <v>791.74896971940939</v>
      </c>
      <c r="S53" s="62">
        <f ca="1">AVERAGE(OFFSET($R$3,0,0,'Données projet'!$E$9+1,1))-AVERAGE(OFFSET($H$3,0,0,'Données projet'!$E$9+1,1))</f>
        <v>320.36162823905426</v>
      </c>
      <c r="T53" s="62">
        <f t="shared" si="34"/>
        <v>284.65760822544792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3.0020782486155202</v>
      </c>
      <c r="AB53" s="23">
        <f>EXP(-LN(2)/2)*AB52+(1-EXP(-LN(2)/2))/(LN(2)/2)*V53*Y53*VLOOKUP('Données projet'!$B$9,Paramètres!$A$1:$I$89,3,0)*0.475*44/12</f>
        <v>1.8587401314441136E-2</v>
      </c>
      <c r="AC53" s="24">
        <f t="shared" si="3"/>
        <v>3.0206656499299611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259</v>
      </c>
      <c r="AG53" s="13">
        <f>VLOOKUP(A53,'Données projet'!$A$61:$I$81,9,0)</f>
        <v>3.4</v>
      </c>
      <c r="AH53" s="13">
        <f t="array" ref="AH53">INDEX(AG:AG,MIN(IF(ISNUMBER(AG53:AG249),ROW(AG53:AG249),"")))</f>
        <v>3.4</v>
      </c>
      <c r="AI53" s="14">
        <f>IF('Données projet'!$A$62&gt;35,AI52+AH53-AQ52,IF(A53&lt;'Données projet'!$A$62,$AF$205^A53,IF(A53='Données projet'!$A$62,'Données projet'!$B$62,AI52+AH53-AQ52)))</f>
        <v>259.00000000000006</v>
      </c>
      <c r="AJ53" s="14">
        <f>AI53*VLOOKUP('Données projet'!$B$10,Paramètres!$A$1:$I$89,3,0)*VLOOKUP('Données projet'!$B$10,Paramètres!$A$1:$I$89,5,0)</f>
        <v>141.41400000000002</v>
      </c>
      <c r="AK53" s="14">
        <f t="shared" si="35"/>
        <v>36.620743339746923</v>
      </c>
      <c r="AL53" s="22">
        <f t="shared" si="4"/>
        <v>310.07717798339257</v>
      </c>
      <c r="AM53" s="62">
        <f t="shared" si="5"/>
        <v>603.41051131672589</v>
      </c>
      <c r="AN53" s="62">
        <f ca="1">AVERAGE(OFFSET($AM$3,0,0,'Données projet'!$E$10+1,1))-AVERAGE(OFFSET($H$3,0,0,'Données projet'!$E$10+1,1))</f>
        <v>155.13440282866992</v>
      </c>
      <c r="AO53" s="62">
        <f t="shared" si="36"/>
        <v>229.92235675849565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259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5.3515211546243089</v>
      </c>
      <c r="AW53" s="23">
        <f>EXP(-LN(2)/2)*AW52+(1-EXP(-LN(2)/2))/(LN(2)/2)*AQ53*AT53*VLOOKUP('Données projet'!$B$10,Paramètres!$A$1:$I$89,3,0)*0.475*44/12</f>
        <v>1.3131278065047276E-2</v>
      </c>
      <c r="AX53" s="23">
        <f t="shared" si="6"/>
        <v>5.3646524326893559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109.48079999999995</v>
      </c>
      <c r="BF53" s="14">
        <f t="shared" si="37"/>
        <v>29.208623339903898</v>
      </c>
      <c r="BG53" s="22">
        <f t="shared" si="7"/>
        <v>241.55074565033252</v>
      </c>
      <c r="BH53" s="62">
        <f t="shared" si="8"/>
        <v>534.88407898366586</v>
      </c>
      <c r="BI53" s="62">
        <f ca="1">AVERAGE(OFFSET($BH$3,0,0,'Données projet'!$E$11+1,1))-AVERAGE(OFFSET($H$3,0,0,'Données projet'!$E$11+1,1))</f>
        <v>182.11831308043929</v>
      </c>
      <c r="BJ53" s="62">
        <f t="shared" si="38"/>
        <v>75.532250323368885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20.285714285714285</v>
      </c>
      <c r="N54" s="14">
        <f>IF('Données projet'!$A$36&gt;35,N53+M54-V53,IF(A54&lt;'Données projet'!$A$36,$K$205^A54,IF(A54='Données projet'!$A$36,'Données projet'!$B$36,N53+M54-V53)))</f>
        <v>431.57142857142838</v>
      </c>
      <c r="O54" s="14">
        <f>N54*VLOOKUP('Données projet'!$B$9,Paramètres!$A$1:$I$89,3,0)*VLOOKUP('Données projet'!$B$9,Paramètres!$A$1:$I$89,5,0)</f>
        <v>241.24842857142849</v>
      </c>
      <c r="P54" s="14">
        <f t="shared" si="33"/>
        <v>58.708054809242874</v>
      </c>
      <c r="Q54" s="22">
        <f t="shared" si="53"/>
        <v>522.42420855466924</v>
      </c>
      <c r="R54" s="62">
        <f t="shared" si="0"/>
        <v>815.75754188800261</v>
      </c>
      <c r="S54" s="62">
        <f ca="1">AVERAGE(OFFSET($R$3,0,0,'Données projet'!$E$9+1,1))-AVERAGE(OFFSET($H$3,0,0,'Données projet'!$E$9+1,1))</f>
        <v>320.36162823905426</v>
      </c>
      <c r="T54" s="62">
        <f t="shared" si="34"/>
        <v>284.65760822544792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2.9199862610346949</v>
      </c>
      <c r="AB54" s="23">
        <f>EXP(-LN(2)/2)*AB53+(1-EXP(-LN(2)/2))/(LN(2)/2)*V54*Y54*VLOOKUP('Données projet'!$B$9,Paramètres!$A$1:$I$89,3,0)*0.475*44/12</f>
        <v>1.3143277514077074E-2</v>
      </c>
      <c r="AC54" s="24">
        <f t="shared" si="3"/>
        <v>2.9331295385487719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3.1036506698001178E-14</v>
      </c>
      <c r="AK54" s="14">
        <f t="shared" si="35"/>
        <v>5.3428243983771088E-13</v>
      </c>
      <c r="AL54" s="22">
        <f t="shared" si="4"/>
        <v>9.8459716521636505E-13</v>
      </c>
      <c r="AM54" s="62">
        <f t="shared" si="5"/>
        <v>293.33333333333428</v>
      </c>
      <c r="AN54" s="62">
        <f ca="1">AVERAGE(OFFSET($AM$3,0,0,'Données projet'!$E$10+1,1))-AVERAGE(OFFSET($H$3,0,0,'Données projet'!$E$10+1,1))</f>
        <v>155.13440282866992</v>
      </c>
      <c r="AO54" s="62">
        <f t="shared" si="36"/>
        <v>229.92235675849565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5.2051835272268407</v>
      </c>
      <c r="AW54" s="23">
        <f>EXP(-LN(2)/2)*AW53+(1-EXP(-LN(2)/2))/(LN(2)/2)*AQ54*AT54*VLOOKUP('Données projet'!$B$10,Paramètres!$A$1:$I$89,3,0)*0.475*44/12</f>
        <v>9.2852157654410954E-3</v>
      </c>
      <c r="AX54" s="23">
        <f t="shared" si="6"/>
        <v>5.214468742992282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101.88047999999995</v>
      </c>
      <c r="BF54" s="14">
        <f t="shared" si="37"/>
        <v>27.409509067425631</v>
      </c>
      <c r="BG54" s="22">
        <f t="shared" si="7"/>
        <v>225.18006429243289</v>
      </c>
      <c r="BH54" s="62">
        <f t="shared" si="8"/>
        <v>518.51339762576617</v>
      </c>
      <c r="BI54" s="62">
        <f ca="1">AVERAGE(OFFSET($BH$3,0,0,'Données projet'!$E$11+1,1))-AVERAGE(OFFSET($H$3,0,0,'Données projet'!$E$11+1,1))</f>
        <v>182.11831308043929</v>
      </c>
      <c r="BJ54" s="62">
        <f t="shared" si="38"/>
        <v>75.532250323368885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20.285714285714285</v>
      </c>
      <c r="N55" s="14">
        <f>IF('Données projet'!$A$36&gt;35,N54+M55-V54,IF(A55&lt;'Données projet'!$A$36,$K$205^A55,IF(A55='Données projet'!$A$36,'Données projet'!$B$36,N54+M55-V54)))</f>
        <v>451.85714285714266</v>
      </c>
      <c r="O55" s="14">
        <f>N55*VLOOKUP('Données projet'!$B$9,Paramètres!$A$1:$I$89,3,0)*VLOOKUP('Données projet'!$B$9,Paramètres!$A$1:$I$89,5,0)</f>
        <v>252.58814285714274</v>
      </c>
      <c r="P55" s="14">
        <f t="shared" si="33"/>
        <v>61.139820047889458</v>
      </c>
      <c r="Q55" s="22">
        <f t="shared" si="53"/>
        <v>546.40953539293105</v>
      </c>
      <c r="R55" s="62">
        <f t="shared" si="0"/>
        <v>839.74286872626431</v>
      </c>
      <c r="S55" s="62">
        <f ca="1">AVERAGE(OFFSET($R$3,0,0,'Données projet'!$E$9+1,1))-AVERAGE(OFFSET($H$3,0,0,'Données projet'!$E$9+1,1))</f>
        <v>320.36162823905426</v>
      </c>
      <c r="T55" s="62">
        <f t="shared" si="34"/>
        <v>284.65760822544792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2.8401390831712976</v>
      </c>
      <c r="AB55" s="23">
        <f>EXP(-LN(2)/2)*AB54+(1-EXP(-LN(2)/2))/(LN(2)/2)*V55*Y55*VLOOKUP('Données projet'!$B$9,Paramètres!$A$1:$I$89,3,0)*0.475*44/12</f>
        <v>9.2937006572205681E-3</v>
      </c>
      <c r="AC55" s="24">
        <f t="shared" si="3"/>
        <v>2.8494327838285183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3.1036506698001178E-14</v>
      </c>
      <c r="AK55" s="14">
        <f t="shared" si="35"/>
        <v>5.3428243983771088E-13</v>
      </c>
      <c r="AL55" s="22">
        <f t="shared" si="4"/>
        <v>9.8459716521636505E-13</v>
      </c>
      <c r="AM55" s="62">
        <f t="shared" si="5"/>
        <v>293.33333333333428</v>
      </c>
      <c r="AN55" s="62">
        <f ca="1">AVERAGE(OFFSET($AM$3,0,0,'Données projet'!$E$10+1,1))-AVERAGE(OFFSET($H$3,0,0,'Données projet'!$E$10+1,1))</f>
        <v>155.13440282866992</v>
      </c>
      <c r="AO55" s="62">
        <f t="shared" si="36"/>
        <v>229.92235675849565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5.0628475099461179</v>
      </c>
      <c r="AW55" s="23">
        <f>EXP(-LN(2)/2)*AW54+(1-EXP(-LN(2)/2))/(LN(2)/2)*AQ55*AT55*VLOOKUP('Données projet'!$B$10,Paramètres!$A$1:$I$89,3,0)*0.475*44/12</f>
        <v>6.5656390325236381E-3</v>
      </c>
      <c r="AX55" s="23">
        <f t="shared" si="6"/>
        <v>5.0694131489786418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106.94735999999996</v>
      </c>
      <c r="BF55" s="14">
        <f t="shared" si="37"/>
        <v>28.61058496425451</v>
      </c>
      <c r="BG55" s="22">
        <f t="shared" si="7"/>
        <v>236.09675414607651</v>
      </c>
      <c r="BH55" s="62">
        <f t="shared" si="8"/>
        <v>529.43008747940985</v>
      </c>
      <c r="BI55" s="62">
        <f ca="1">AVERAGE(OFFSET($BH$3,0,0,'Données projet'!$E$11+1,1))-AVERAGE(OFFSET($H$3,0,0,'Données projet'!$E$11+1,1))</f>
        <v>182.11831308043929</v>
      </c>
      <c r="BJ55" s="62">
        <f t="shared" si="38"/>
        <v>75.532250323368885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20.285714285714285</v>
      </c>
      <c r="N56" s="14">
        <f>IF('Données projet'!$A$36&gt;35,N55+M56-V55,IF(A56&lt;'Données projet'!$A$36,$K$205^A56,IF(A56='Données projet'!$A$36,'Données projet'!$B$36,N55+M56-V55)))</f>
        <v>472.14285714285694</v>
      </c>
      <c r="O56" s="14">
        <f>N56*VLOOKUP('Données projet'!$B$9,Paramètres!$A$1:$I$89,3,0)*VLOOKUP('Données projet'!$B$9,Paramètres!$A$1:$I$89,5,0)</f>
        <v>263.92785714285702</v>
      </c>
      <c r="P56" s="14">
        <f t="shared" si="33"/>
        <v>63.558906327224221</v>
      </c>
      <c r="Q56" s="22">
        <f t="shared" si="53"/>
        <v>570.37277971039146</v>
      </c>
      <c r="R56" s="62">
        <f t="shared" si="0"/>
        <v>863.70611304372483</v>
      </c>
      <c r="S56" s="62">
        <f ca="1">AVERAGE(OFFSET($R$3,0,0,'Données projet'!$E$9+1,1))-AVERAGE(OFFSET($H$3,0,0,'Données projet'!$E$9+1,1))</f>
        <v>320.36162823905426</v>
      </c>
      <c r="T56" s="62">
        <f t="shared" si="34"/>
        <v>284.65760822544792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2.7624753305855552</v>
      </c>
      <c r="AB56" s="23">
        <f>EXP(-LN(2)/2)*AB55+(1-EXP(-LN(2)/2))/(LN(2)/2)*V56*Y56*VLOOKUP('Données projet'!$B$9,Paramètres!$A$1:$I$89,3,0)*0.475*44/12</f>
        <v>6.5716387570385372E-3</v>
      </c>
      <c r="AC56" s="24">
        <f t="shared" si="3"/>
        <v>2.7690469693425936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3.1036506698001178E-14</v>
      </c>
      <c r="AK56" s="14">
        <f t="shared" si="35"/>
        <v>5.3428243983771088E-13</v>
      </c>
      <c r="AL56" s="22">
        <f t="shared" si="4"/>
        <v>9.8459716521636505E-13</v>
      </c>
      <c r="AM56" s="62">
        <f t="shared" si="5"/>
        <v>293.33333333333428</v>
      </c>
      <c r="AN56" s="62">
        <f ca="1">AVERAGE(OFFSET($AM$3,0,0,'Données projet'!$E$10+1,1))-AVERAGE(OFFSET($H$3,0,0,'Données projet'!$E$10+1,1))</f>
        <v>155.13440282866992</v>
      </c>
      <c r="AO56" s="62">
        <f t="shared" si="36"/>
        <v>229.92235675849565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4.9244036785430616</v>
      </c>
      <c r="AW56" s="23">
        <f>EXP(-LN(2)/2)*AW55+(1-EXP(-LN(2)/2))/(LN(2)/2)*AQ56*AT56*VLOOKUP('Données projet'!$B$10,Paramètres!$A$1:$I$89,3,0)*0.475*44/12</f>
        <v>4.6426078827205477E-3</v>
      </c>
      <c r="AX56" s="23">
        <f t="shared" si="6"/>
        <v>4.9290462864257822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112.01423999999994</v>
      </c>
      <c r="BF56" s="14">
        <f t="shared" si="37"/>
        <v>29.805052882814007</v>
      </c>
      <c r="BG56" s="22">
        <f t="shared" si="7"/>
        <v>247.00193510423426</v>
      </c>
      <c r="BH56" s="62">
        <f t="shared" si="8"/>
        <v>540.33526843756761</v>
      </c>
      <c r="BI56" s="62">
        <f ca="1">AVERAGE(OFFSET($BH$3,0,0,'Données projet'!$E$11+1,1))-AVERAGE(OFFSET($H$3,0,0,'Données projet'!$E$11+1,1))</f>
        <v>182.11831308043929</v>
      </c>
      <c r="BJ56" s="62">
        <f t="shared" si="38"/>
        <v>75.532250323368885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20.285714285714285</v>
      </c>
      <c r="N57" s="14">
        <f>IF('Données projet'!$A$36&gt;35,N56+M57-V56,IF(A57&lt;'Données projet'!$A$36,$K$205^A57,IF(A57='Données projet'!$A$36,'Données projet'!$B$36,N56+M57-V56)))</f>
        <v>492.42857142857122</v>
      </c>
      <c r="O57" s="14">
        <f>N57*VLOOKUP('Données projet'!$B$9,Paramètres!$A$1:$I$89,3,0)*VLOOKUP('Données projet'!$B$9,Paramètres!$A$1:$I$89,5,0)</f>
        <v>275.26757142857133</v>
      </c>
      <c r="P57" s="14">
        <f t="shared" si="33"/>
        <v>65.965920673631288</v>
      </c>
      <c r="Q57" s="22">
        <f t="shared" si="53"/>
        <v>594.31499874466942</v>
      </c>
      <c r="R57" s="62">
        <f t="shared" si="0"/>
        <v>887.6483320780028</v>
      </c>
      <c r="S57" s="62">
        <f ca="1">AVERAGE(OFFSET($R$3,0,0,'Données projet'!$E$9+1,1))-AVERAGE(OFFSET($H$3,0,0,'Données projet'!$E$9+1,1))</f>
        <v>320.36162823905426</v>
      </c>
      <c r="T57" s="62">
        <f t="shared" si="34"/>
        <v>284.65760822544792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2.6869352973984291</v>
      </c>
      <c r="AB57" s="23">
        <f>EXP(-LN(2)/2)*AB56+(1-EXP(-LN(2)/2))/(LN(2)/2)*V57*Y57*VLOOKUP('Données projet'!$B$9,Paramètres!$A$1:$I$89,3,0)*0.475*44/12</f>
        <v>4.6468503286102841E-3</v>
      </c>
      <c r="AC57" s="24">
        <f t="shared" si="3"/>
        <v>2.6915821477270394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3.1036506698001178E-14</v>
      </c>
      <c r="AK57" s="14">
        <f t="shared" si="35"/>
        <v>5.3428243983771088E-13</v>
      </c>
      <c r="AL57" s="22">
        <f t="shared" si="4"/>
        <v>9.8459716521636505E-13</v>
      </c>
      <c r="AM57" s="62">
        <f t="shared" si="5"/>
        <v>293.33333333333428</v>
      </c>
      <c r="AN57" s="62">
        <f ca="1">AVERAGE(OFFSET($AM$3,0,0,'Données projet'!$E$10+1,1))-AVERAGE(OFFSET($H$3,0,0,'Données projet'!$E$10+1,1))</f>
        <v>155.13440282866992</v>
      </c>
      <c r="AO57" s="62">
        <f t="shared" si="36"/>
        <v>229.92235675849565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4.7897456009901669</v>
      </c>
      <c r="AW57" s="23">
        <f>EXP(-LN(2)/2)*AW56+(1-EXP(-LN(2)/2))/(LN(2)/2)*AQ57*AT57*VLOOKUP('Données projet'!$B$10,Paramètres!$A$1:$I$89,3,0)*0.475*44/12</f>
        <v>3.2828195162618191E-3</v>
      </c>
      <c r="AX57" s="23">
        <f t="shared" si="6"/>
        <v>4.7930284205064284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117.08111999999994</v>
      </c>
      <c r="BF57" s="14">
        <f t="shared" si="37"/>
        <v>30.993245877902066</v>
      </c>
      <c r="BG57" s="22">
        <f t="shared" si="7"/>
        <v>257.896187237346</v>
      </c>
      <c r="BH57" s="62">
        <f t="shared" si="8"/>
        <v>551.22952057067937</v>
      </c>
      <c r="BI57" s="62">
        <f ca="1">AVERAGE(OFFSET($BH$3,0,0,'Données projet'!$E$11+1,1))-AVERAGE(OFFSET($H$3,0,0,'Données projet'!$E$11+1,1))</f>
        <v>182.11831308043929</v>
      </c>
      <c r="BJ57" s="62">
        <f t="shared" si="38"/>
        <v>75.532250323368885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20.285714285714285</v>
      </c>
      <c r="N58" s="14">
        <f>IF('Données projet'!$A$36&gt;35,N57+M58-V57,IF(A58&lt;'Données projet'!$A$36,$K$205^A58,IF(A58='Données projet'!$A$36,'Données projet'!$B$36,N57+M58-V57)))</f>
        <v>512.71428571428555</v>
      </c>
      <c r="O58" s="14">
        <f>N58*VLOOKUP('Données projet'!$B$9,Paramètres!$A$1:$I$89,3,0)*VLOOKUP('Données projet'!$B$9,Paramètres!$A$1:$I$89,5,0)</f>
        <v>286.60728571428564</v>
      </c>
      <c r="P58" s="14">
        <f t="shared" si="33"/>
        <v>68.361417270384848</v>
      </c>
      <c r="Q58" s="22">
        <f t="shared" si="53"/>
        <v>618.23715769830108</v>
      </c>
      <c r="R58" s="62">
        <f t="shared" si="0"/>
        <v>911.57049103163445</v>
      </c>
      <c r="S58" s="62">
        <f ca="1">AVERAGE(OFFSET($R$3,0,0,'Données projet'!$E$9+1,1))-AVERAGE(OFFSET($H$3,0,0,'Données projet'!$E$9+1,1))</f>
        <v>320.36162823905426</v>
      </c>
      <c r="T58" s="62">
        <f t="shared" si="34"/>
        <v>284.65760822544792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2.6134609103912827</v>
      </c>
      <c r="AB58" s="23">
        <f>EXP(-LN(2)/2)*AB57+(1-EXP(-LN(2)/2))/(LN(2)/2)*V58*Y58*VLOOKUP('Données projet'!$B$9,Paramètres!$A$1:$I$89,3,0)*0.475*44/12</f>
        <v>3.2858193785192686E-3</v>
      </c>
      <c r="AC58" s="24">
        <f t="shared" si="3"/>
        <v>2.6167467297698019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3.1036506698001178E-14</v>
      </c>
      <c r="AK58" s="14">
        <f t="shared" si="35"/>
        <v>5.3428243983771088E-13</v>
      </c>
      <c r="AL58" s="22">
        <f t="shared" si="4"/>
        <v>9.8459716521636505E-13</v>
      </c>
      <c r="AM58" s="62">
        <f t="shared" si="5"/>
        <v>293.33333333333428</v>
      </c>
      <c r="AN58" s="62">
        <f ca="1">AVERAGE(OFFSET($AM$3,0,0,'Données projet'!$E$10+1,1))-AVERAGE(OFFSET($H$3,0,0,'Données projet'!$E$10+1,1))</f>
        <v>155.13440282866992</v>
      </c>
      <c r="AO58" s="62">
        <f t="shared" si="36"/>
        <v>229.92235675849565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4.6587697556493168</v>
      </c>
      <c r="AW58" s="23">
        <f>EXP(-LN(2)/2)*AW57+(1-EXP(-LN(2)/2))/(LN(2)/2)*AQ58*AT58*VLOOKUP('Données projet'!$B$10,Paramètres!$A$1:$I$89,3,0)*0.475*44/12</f>
        <v>2.3213039413602738E-3</v>
      </c>
      <c r="AX58" s="23">
        <f t="shared" si="6"/>
        <v>4.6610910595906772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122.14799999999995</v>
      </c>
      <c r="BF58" s="14">
        <f t="shared" si="37"/>
        <v>32.175466547071615</v>
      </c>
      <c r="BG58" s="22">
        <f t="shared" si="7"/>
        <v>268.780037569483</v>
      </c>
      <c r="BH58" s="62">
        <f t="shared" si="8"/>
        <v>562.11337090281631</v>
      </c>
      <c r="BI58" s="62">
        <f ca="1">AVERAGE(OFFSET($BH$3,0,0,'Données projet'!$E$11+1,1))-AVERAGE(OFFSET($H$3,0,0,'Données projet'!$E$11+1,1))</f>
        <v>182.11831308043929</v>
      </c>
      <c r="BJ58" s="62">
        <f t="shared" si="38"/>
        <v>75.532250323368885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</v>
      </c>
      <c r="L59" s="13">
        <f>VLOOKUP(A59,'Données projet'!$A$35:$I$55,9,0)</f>
        <v>20.285714285714285</v>
      </c>
      <c r="M59" s="13">
        <f t="array" ref="M59">INDEX(L:L,MIN(IF(ISNUMBER(L59:L255),ROW(L59:L255),"")))</f>
        <v>20.285714285714285</v>
      </c>
      <c r="N59" s="14">
        <f>IF('Données projet'!$A$36&gt;35,N58+M59-V58,IF(A59&lt;'Données projet'!$A$36,$K$205^A59,IF(A59='Données projet'!$A$36,'Données projet'!$B$36,N58+M59-V58)))</f>
        <v>532.99999999999989</v>
      </c>
      <c r="O59" s="14">
        <f>N59*VLOOKUP('Données projet'!$B$9,Paramètres!$A$1:$I$89,3,0)*VLOOKUP('Données projet'!$B$9,Paramètres!$A$1:$I$89,5,0)</f>
        <v>297.94699999999995</v>
      </c>
      <c r="P59" s="14">
        <f t="shared" si="33"/>
        <v>70.745903965311697</v>
      </c>
      <c r="Q59" s="22">
        <f t="shared" si="53"/>
        <v>642.1401410729178</v>
      </c>
      <c r="R59" s="62">
        <f t="shared" si="0"/>
        <v>935.47347440625117</v>
      </c>
      <c r="S59" s="62">
        <f ca="1">AVERAGE(OFFSET($R$3,0,0,'Données projet'!$E$9+1,1))-AVERAGE(OFFSET($H$3,0,0,'Données projet'!$E$9+1,1))</f>
        <v>320.36162823905426</v>
      </c>
      <c r="T59" s="62">
        <f t="shared" si="34"/>
        <v>284.65760822544792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2.541995684360697</v>
      </c>
      <c r="AB59" s="23">
        <f>EXP(-LN(2)/2)*AB58+(1-EXP(-LN(2)/2))/(LN(2)/2)*V59*Y59*VLOOKUP('Données projet'!$B$9,Paramètres!$A$1:$I$89,3,0)*0.475*44/12</f>
        <v>2.323425164305142E-3</v>
      </c>
      <c r="AC59" s="24">
        <f t="shared" si="3"/>
        <v>2.5443191095250022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3.1036506698001178E-14</v>
      </c>
      <c r="AK59" s="14">
        <f t="shared" si="35"/>
        <v>5.3428243983771088E-13</v>
      </c>
      <c r="AL59" s="22">
        <f t="shared" si="4"/>
        <v>9.8459716521636505E-13</v>
      </c>
      <c r="AM59" s="62">
        <f t="shared" si="5"/>
        <v>293.33333333333428</v>
      </c>
      <c r="AN59" s="62">
        <f ca="1">AVERAGE(OFFSET($AM$3,0,0,'Données projet'!$E$10+1,1))-AVERAGE(OFFSET($H$3,0,0,'Données projet'!$E$10+1,1))</f>
        <v>155.13440282866992</v>
      </c>
      <c r="AO59" s="62">
        <f t="shared" si="36"/>
        <v>229.92235675849565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4.5313754516870324</v>
      </c>
      <c r="AW59" s="23">
        <f>EXP(-LN(2)/2)*AW58+(1-EXP(-LN(2)/2))/(LN(2)/2)*AQ59*AT59*VLOOKUP('Données projet'!$B$10,Paramètres!$A$1:$I$89,3,0)*0.475*44/12</f>
        <v>1.6414097581309095E-3</v>
      </c>
      <c r="AX59" s="23">
        <f t="shared" si="6"/>
        <v>4.5330168614451631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114.54767999999993</v>
      </c>
      <c r="BF59" s="14">
        <f t="shared" si="37"/>
        <v>30.399914169186722</v>
      </c>
      <c r="BG59" s="22">
        <f t="shared" si="7"/>
        <v>252.4503931780001</v>
      </c>
      <c r="BH59" s="62">
        <f t="shared" si="8"/>
        <v>545.78372651133338</v>
      </c>
      <c r="BI59" s="62">
        <f ca="1">AVERAGE(OFFSET($BH$3,0,0,'Données projet'!$E$11+1,1))-AVERAGE(OFFSET($H$3,0,0,'Données projet'!$E$11+1,1))</f>
        <v>182.11831308043929</v>
      </c>
      <c r="BJ59" s="62">
        <f t="shared" si="38"/>
        <v>75.532250323368885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18.714285714285715</v>
      </c>
      <c r="N60" s="14">
        <f>IF('Données projet'!$A$36&gt;35,N59+M60-V59,IF(A60&lt;'Données projet'!$A$36,$K$205^A60,IF(A60='Données projet'!$A$36,'Données projet'!$B$36,N59+M60-V59)))</f>
        <v>456.71428571428555</v>
      </c>
      <c r="O60" s="14">
        <f>N60*VLOOKUP('Données projet'!$B$9,Paramètres!$A$1:$I$89,3,0)*VLOOKUP('Données projet'!$B$9,Paramètres!$A$1:$I$89,5,0)</f>
        <v>255.30328571428561</v>
      </c>
      <c r="P60" s="14">
        <f t="shared" si="33"/>
        <v>61.720168574848479</v>
      </c>
      <c r="Q60" s="22">
        <f t="shared" si="53"/>
        <v>552.14918288690853</v>
      </c>
      <c r="R60" s="62">
        <f t="shared" si="0"/>
        <v>845.48251622024191</v>
      </c>
      <c r="S60" s="62">
        <f ca="1">AVERAGE(OFFSET($R$3,0,0,'Données projet'!$E$9+1,1))-AVERAGE(OFFSET($H$3,0,0,'Données projet'!$E$9+1,1))</f>
        <v>320.36162823905426</v>
      </c>
      <c r="T60" s="62">
        <f t="shared" si="34"/>
        <v>284.65760822544792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2.4724846786941104</v>
      </c>
      <c r="AB60" s="23">
        <f>EXP(-LN(2)/2)*AB59+(1-EXP(-LN(2)/2))/(LN(2)/2)*V60*Y60*VLOOKUP('Données projet'!$B$9,Paramètres!$A$1:$I$89,3,0)*0.475*44/12</f>
        <v>1.6429096892596343E-3</v>
      </c>
      <c r="AC60" s="24">
        <f t="shared" si="3"/>
        <v>2.4741275883833702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3.1036506698001178E-14</v>
      </c>
      <c r="AK60" s="14">
        <f t="shared" si="35"/>
        <v>5.3428243983771088E-13</v>
      </c>
      <c r="AL60" s="22">
        <f t="shared" si="4"/>
        <v>9.8459716521636505E-13</v>
      </c>
      <c r="AM60" s="62">
        <f t="shared" si="5"/>
        <v>293.33333333333428</v>
      </c>
      <c r="AN60" s="62">
        <f ca="1">AVERAGE(OFFSET($AM$3,0,0,'Données projet'!$E$10+1,1))-AVERAGE(OFFSET($H$3,0,0,'Données projet'!$E$10+1,1))</f>
        <v>155.13440282866992</v>
      </c>
      <c r="AO60" s="62">
        <f t="shared" si="36"/>
        <v>229.92235675849565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4.4074647516659722</v>
      </c>
      <c r="AW60" s="23">
        <f>EXP(-LN(2)/2)*AW59+(1-EXP(-LN(2)/2))/(LN(2)/2)*AQ60*AT60*VLOOKUP('Données projet'!$B$10,Paramètres!$A$1:$I$89,3,0)*0.475*44/12</f>
        <v>1.1606519706801369E-3</v>
      </c>
      <c r="AX60" s="23">
        <f t="shared" si="6"/>
        <v>4.4086254036366519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119.61455999999994</v>
      </c>
      <c r="BF60" s="14">
        <f t="shared" si="37"/>
        <v>31.585084918340712</v>
      </c>
      <c r="BG60" s="22">
        <f t="shared" si="7"/>
        <v>263.33938156610992</v>
      </c>
      <c r="BH60" s="62">
        <f t="shared" si="8"/>
        <v>556.67271489944324</v>
      </c>
      <c r="BI60" s="62">
        <f ca="1">AVERAGE(OFFSET($BH$3,0,0,'Données projet'!$E$11+1,1))-AVERAGE(OFFSET($H$3,0,0,'Données projet'!$E$11+1,1))</f>
        <v>182.11831308043929</v>
      </c>
      <c r="BJ60" s="62">
        <f t="shared" si="38"/>
        <v>75.532250323368885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18.714285714285715</v>
      </c>
      <c r="N61" s="14">
        <f>IF('Données projet'!$A$36&gt;35,N60+M61-V60,IF(A61&lt;'Données projet'!$A$36,$K$205^A61,IF(A61='Données projet'!$A$36,'Données projet'!$B$36,N60+M61-V60)))</f>
        <v>475.42857142857127</v>
      </c>
      <c r="O61" s="14">
        <f>N61*VLOOKUP('Données projet'!$B$9,Paramètres!$A$1:$I$89,3,0)*VLOOKUP('Données projet'!$B$9,Paramètres!$A$1:$I$89,5,0)</f>
        <v>265.76457142857134</v>
      </c>
      <c r="P61" s="14">
        <f t="shared" si="33"/>
        <v>63.949578982484589</v>
      </c>
      <c r="Q61" s="22">
        <f t="shared" si="53"/>
        <v>574.25214529925574</v>
      </c>
      <c r="R61" s="62">
        <f t="shared" si="0"/>
        <v>867.585478632589</v>
      </c>
      <c r="S61" s="62">
        <f ca="1">AVERAGE(OFFSET($R$3,0,0,'Données projet'!$E$9+1,1))-AVERAGE(OFFSET($H$3,0,0,'Données projet'!$E$9+1,1))</f>
        <v>320.36162823905426</v>
      </c>
      <c r="T61" s="62">
        <f t="shared" si="34"/>
        <v>284.65760822544792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2.4048744551329015</v>
      </c>
      <c r="AB61" s="23">
        <f>EXP(-LN(2)/2)*AB60+(1-EXP(-LN(2)/2))/(LN(2)/2)*V61*Y61*VLOOKUP('Données projet'!$B$9,Paramètres!$A$1:$I$89,3,0)*0.475*44/12</f>
        <v>1.161712582152571E-3</v>
      </c>
      <c r="AC61" s="24">
        <f t="shared" si="3"/>
        <v>2.4060361677150541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3.1036506698001178E-14</v>
      </c>
      <c r="AK61" s="14">
        <f t="shared" si="35"/>
        <v>5.3428243983771088E-13</v>
      </c>
      <c r="AL61" s="22">
        <f t="shared" si="4"/>
        <v>9.8459716521636505E-13</v>
      </c>
      <c r="AM61" s="62">
        <f t="shared" si="5"/>
        <v>293.33333333333428</v>
      </c>
      <c r="AN61" s="62">
        <f ca="1">AVERAGE(OFFSET($AM$3,0,0,'Données projet'!$E$10+1,1))-AVERAGE(OFFSET($H$3,0,0,'Données projet'!$E$10+1,1))</f>
        <v>155.13440282866992</v>
      </c>
      <c r="AO61" s="62">
        <f t="shared" si="36"/>
        <v>229.92235675849565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4.2869423962531679</v>
      </c>
      <c r="AW61" s="23">
        <f>EXP(-LN(2)/2)*AW60+(1-EXP(-LN(2)/2))/(LN(2)/2)*AQ61*AT61*VLOOKUP('Données projet'!$B$10,Paramètres!$A$1:$I$89,3,0)*0.475*44/12</f>
        <v>8.2070487906545477E-4</v>
      </c>
      <c r="AX61" s="23">
        <f t="shared" si="6"/>
        <v>4.2877631011322332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124.68143999999992</v>
      </c>
      <c r="BF61" s="14">
        <f t="shared" si="37"/>
        <v>32.764424474585724</v>
      </c>
      <c r="BG61" s="22">
        <f t="shared" si="7"/>
        <v>274.21821395990332</v>
      </c>
      <c r="BH61" s="62">
        <f t="shared" si="8"/>
        <v>567.55154729323658</v>
      </c>
      <c r="BI61" s="62">
        <f ca="1">AVERAGE(OFFSET($BH$3,0,0,'Données projet'!$E$11+1,1))-AVERAGE(OFFSET($H$3,0,0,'Données projet'!$E$11+1,1))</f>
        <v>182.11831308043929</v>
      </c>
      <c r="BJ61" s="62">
        <f t="shared" si="38"/>
        <v>75.532250323368885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18.714285714285715</v>
      </c>
      <c r="N62" s="14">
        <f>IF('Données projet'!$A$36&gt;35,N61+M62-V61,IF(A62&lt;'Données projet'!$A$36,$K$205^A62,IF(A62='Données projet'!$A$36,'Données projet'!$B$36,N61+M62-V61)))</f>
        <v>494.142857142857</v>
      </c>
      <c r="O62" s="14">
        <f>N62*VLOOKUP('Données projet'!$B$9,Paramètres!$A$1:$I$89,3,0)*VLOOKUP('Données projet'!$B$9,Paramètres!$A$1:$I$89,5,0)</f>
        <v>276.22585714285708</v>
      </c>
      <c r="P62" s="14">
        <f t="shared" si="33"/>
        <v>66.168795149155841</v>
      </c>
      <c r="Q62" s="22">
        <f t="shared" si="53"/>
        <v>596.33735274192247</v>
      </c>
      <c r="R62" s="62">
        <f t="shared" si="0"/>
        <v>889.67068607525584</v>
      </c>
      <c r="S62" s="62">
        <f ca="1">AVERAGE(OFFSET($R$3,0,0,'Données projet'!$E$9+1,1))-AVERAGE(OFFSET($H$3,0,0,'Données projet'!$E$9+1,1))</f>
        <v>320.36162823905426</v>
      </c>
      <c r="T62" s="62">
        <f t="shared" si="34"/>
        <v>284.65760822544792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2.3391130366904411</v>
      </c>
      <c r="AB62" s="23">
        <f>EXP(-LN(2)/2)*AB61+(1-EXP(-LN(2)/2))/(LN(2)/2)*V62*Y62*VLOOKUP('Données projet'!$B$9,Paramètres!$A$1:$I$89,3,0)*0.475*44/12</f>
        <v>8.2145484462981715E-4</v>
      </c>
      <c r="AC62" s="24">
        <f t="shared" si="3"/>
        <v>2.3399344915350708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3.1036506698001178E-14</v>
      </c>
      <c r="AK62" s="14">
        <f t="shared" si="35"/>
        <v>5.3428243983771088E-13</v>
      </c>
      <c r="AL62" s="22">
        <f t="shared" si="4"/>
        <v>9.8459716521636505E-13</v>
      </c>
      <c r="AM62" s="62">
        <f t="shared" si="5"/>
        <v>293.33333333333428</v>
      </c>
      <c r="AN62" s="62">
        <f ca="1">AVERAGE(OFFSET($AM$3,0,0,'Données projet'!$E$10+1,1))-AVERAGE(OFFSET($H$3,0,0,'Données projet'!$E$10+1,1))</f>
        <v>155.13440282866992</v>
      </c>
      <c r="AO62" s="62">
        <f t="shared" si="36"/>
        <v>229.92235675849565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4.1697157309871224</v>
      </c>
      <c r="AW62" s="23">
        <f>EXP(-LN(2)/2)*AW61+(1-EXP(-LN(2)/2))/(LN(2)/2)*AQ62*AT62*VLOOKUP('Données projet'!$B$10,Paramètres!$A$1:$I$89,3,0)*0.475*44/12</f>
        <v>5.8032598534006846E-4</v>
      </c>
      <c r="AX62" s="23">
        <f t="shared" si="6"/>
        <v>4.1702960569724628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129.74831999999992</v>
      </c>
      <c r="BF62" s="14">
        <f t="shared" si="37"/>
        <v>33.938196916407662</v>
      </c>
      <c r="BG62" s="22">
        <f t="shared" si="7"/>
        <v>285.08735029607652</v>
      </c>
      <c r="BH62" s="62">
        <f t="shared" si="8"/>
        <v>578.42068362940984</v>
      </c>
      <c r="BI62" s="62">
        <f ca="1">AVERAGE(OFFSET($BH$3,0,0,'Données projet'!$E$11+1,1))-AVERAGE(OFFSET($H$3,0,0,'Données projet'!$E$11+1,1))</f>
        <v>182.11831308043929</v>
      </c>
      <c r="BJ62" s="62">
        <f t="shared" si="38"/>
        <v>75.532250323368885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18.714285714285715</v>
      </c>
      <c r="N63" s="14">
        <f>IF('Données projet'!$A$36&gt;35,N62+M63-V62,IF(A63&lt;'Données projet'!$A$36,$K$205^A63,IF(A63='Données projet'!$A$36,'Données projet'!$B$36,N62+M63-V62)))</f>
        <v>512.85714285714266</v>
      </c>
      <c r="O63" s="14">
        <f>N63*VLOOKUP('Données projet'!$B$9,Paramètres!$A$1:$I$89,3,0)*VLOOKUP('Données projet'!$B$9,Paramètres!$A$1:$I$89,5,0)</f>
        <v>286.68714285714276</v>
      </c>
      <c r="P63" s="14">
        <f t="shared" si="33"/>
        <v>68.378247353660129</v>
      </c>
      <c r="Q63" s="22">
        <f t="shared" si="53"/>
        <v>618.40555461714837</v>
      </c>
      <c r="R63" s="62">
        <f t="shared" si="0"/>
        <v>911.73888795048174</v>
      </c>
      <c r="S63" s="62">
        <f ca="1">AVERAGE(OFFSET($R$3,0,0,'Données projet'!$E$9+1,1))-AVERAGE(OFFSET($H$3,0,0,'Données projet'!$E$9+1,1))</f>
        <v>320.36162823905426</v>
      </c>
      <c r="T63" s="62">
        <f t="shared" si="34"/>
        <v>284.65760822544792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2.2751498676935324</v>
      </c>
      <c r="AB63" s="23">
        <f>EXP(-LN(2)/2)*AB62+(1-EXP(-LN(2)/2))/(LN(2)/2)*V63*Y63*VLOOKUP('Données projet'!$B$9,Paramètres!$A$1:$I$89,3,0)*0.475*44/12</f>
        <v>5.8085629107628551E-4</v>
      </c>
      <c r="AC63" s="24">
        <f t="shared" si="3"/>
        <v>2.2757307239846085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3.1036506698001178E-14</v>
      </c>
      <c r="AK63" s="14">
        <f t="shared" si="35"/>
        <v>5.3428243983771088E-13</v>
      </c>
      <c r="AL63" s="22">
        <f t="shared" si="4"/>
        <v>9.8459716521636505E-13</v>
      </c>
      <c r="AM63" s="62">
        <f t="shared" si="5"/>
        <v>293.33333333333428</v>
      </c>
      <c r="AN63" s="62">
        <f ca="1">AVERAGE(OFFSET($AM$3,0,0,'Données projet'!$E$10+1,1))-AVERAGE(OFFSET($H$3,0,0,'Données projet'!$E$10+1,1))</f>
        <v>155.13440282866992</v>
      </c>
      <c r="AO63" s="62">
        <f t="shared" si="36"/>
        <v>229.92235675849565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4.055694635047459</v>
      </c>
      <c r="AW63" s="23">
        <f>EXP(-LN(2)/2)*AW62+(1-EXP(-LN(2)/2))/(LN(2)/2)*AQ63*AT63*VLOOKUP('Données projet'!$B$10,Paramètres!$A$1:$I$89,3,0)*0.475*44/12</f>
        <v>4.1035243953272738E-4</v>
      </c>
      <c r="AX63" s="23">
        <f t="shared" si="6"/>
        <v>4.0561049874869921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134.81519999999992</v>
      </c>
      <c r="BF63" s="14">
        <f t="shared" si="37"/>
        <v>35.106644529103363</v>
      </c>
      <c r="BG63" s="22">
        <f t="shared" si="7"/>
        <v>295.94721255485484</v>
      </c>
      <c r="BH63" s="62">
        <f t="shared" si="8"/>
        <v>589.28054588818816</v>
      </c>
      <c r="BI63" s="62">
        <f ca="1">AVERAGE(OFFSET($BH$3,0,0,'Données projet'!$E$11+1,1))-AVERAGE(OFFSET($H$3,0,0,'Données projet'!$E$11+1,1))</f>
        <v>182.11831308043929</v>
      </c>
      <c r="BJ63" s="62">
        <f t="shared" si="38"/>
        <v>75.532250323368885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18.714285714285715</v>
      </c>
      <c r="N64" s="14">
        <f>IF('Données projet'!$A$36&gt;35,N63+M64-V63,IF(A64&lt;'Données projet'!$A$36,$K$205^A64,IF(A64='Données projet'!$A$36,'Données projet'!$B$36,N63+M64-V63)))</f>
        <v>531.57142857142833</v>
      </c>
      <c r="O64" s="14">
        <f>N64*VLOOKUP('Données projet'!$B$9,Paramètres!$A$1:$I$89,3,0)*VLOOKUP('Données projet'!$B$9,Paramètres!$A$1:$I$89,5,0)</f>
        <v>297.14842857142844</v>
      </c>
      <c r="P64" s="14">
        <f t="shared" si="33"/>
        <v>70.578332693242871</v>
      </c>
      <c r="Q64" s="22">
        <f t="shared" si="53"/>
        <v>640.45744253596911</v>
      </c>
      <c r="R64" s="62">
        <f t="shared" si="0"/>
        <v>933.79077586930248</v>
      </c>
      <c r="S64" s="62">
        <f ca="1">AVERAGE(OFFSET($R$3,0,0,'Données projet'!$E$9+1,1))-AVERAGE(OFFSET($H$3,0,0,'Données projet'!$E$9+1,1))</f>
        <v>320.36162823905426</v>
      </c>
      <c r="T64" s="62">
        <f t="shared" si="34"/>
        <v>284.65760822544792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2.212935774916521</v>
      </c>
      <c r="AB64" s="23">
        <f>EXP(-LN(2)/2)*AB63+(1-EXP(-LN(2)/2))/(LN(2)/2)*V64*Y64*VLOOKUP('Données projet'!$B$9,Paramètres!$A$1:$I$89,3,0)*0.475*44/12</f>
        <v>4.1072742231490857E-4</v>
      </c>
      <c r="AC64" s="24">
        <f t="shared" si="3"/>
        <v>2.2133465023388359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3.1036506698001178E-14</v>
      </c>
      <c r="AK64" s="14">
        <f t="shared" si="35"/>
        <v>5.3428243983771088E-13</v>
      </c>
      <c r="AL64" s="22">
        <f t="shared" si="4"/>
        <v>9.8459716521636505E-13</v>
      </c>
      <c r="AM64" s="62">
        <f t="shared" si="5"/>
        <v>293.33333333333428</v>
      </c>
      <c r="AN64" s="62">
        <f ca="1">AVERAGE(OFFSET($AM$3,0,0,'Données projet'!$E$10+1,1))-AVERAGE(OFFSET($H$3,0,0,'Données projet'!$E$10+1,1))</f>
        <v>155.13440282866992</v>
      </c>
      <c r="AO64" s="62">
        <f t="shared" si="36"/>
        <v>229.92235675849565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3.9447914519723746</v>
      </c>
      <c r="AW64" s="23">
        <f>EXP(-LN(2)/2)*AW63+(1-EXP(-LN(2)/2))/(LN(2)/2)*AQ64*AT64*VLOOKUP('Données projet'!$B$10,Paramètres!$A$1:$I$89,3,0)*0.475*44/12</f>
        <v>2.9016299267003423E-4</v>
      </c>
      <c r="AX64" s="23">
        <f t="shared" si="6"/>
        <v>3.9450816149650447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126.8529599999999</v>
      </c>
      <c r="BF64" s="14">
        <f t="shared" si="37"/>
        <v>33.268136897998609</v>
      </c>
      <c r="BG64" s="22">
        <f t="shared" si="7"/>
        <v>278.87757709734746</v>
      </c>
      <c r="BH64" s="62">
        <f t="shared" si="8"/>
        <v>572.21091043068077</v>
      </c>
      <c r="BI64" s="62">
        <f ca="1">AVERAGE(OFFSET($BH$3,0,0,'Données projet'!$E$11+1,1))-AVERAGE(OFFSET($H$3,0,0,'Données projet'!$E$11+1,1))</f>
        <v>182.11831308043929</v>
      </c>
      <c r="BJ64" s="62">
        <f t="shared" si="38"/>
        <v>75.532250323368885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18.714285714285715</v>
      </c>
      <c r="N65" s="14">
        <f>IF('Données projet'!$A$36&gt;35,N64+M65-V64,IF(A65&lt;'Données projet'!$A$36,$K$205^A65,IF(A65='Données projet'!$A$36,'Données projet'!$B$36,N64+M65-V64)))</f>
        <v>550.28571428571399</v>
      </c>
      <c r="O65" s="14">
        <f>N65*VLOOKUP('Données projet'!$B$9,Paramètres!$A$1:$I$89,3,0)*VLOOKUP('Données projet'!$B$9,Paramètres!$A$1:$I$89,5,0)</f>
        <v>307.60971428571412</v>
      </c>
      <c r="P65" s="14">
        <f t="shared" si="33"/>
        <v>72.769418719732684</v>
      </c>
      <c r="Q65" s="22">
        <f t="shared" si="53"/>
        <v>662.49365665115317</v>
      </c>
      <c r="R65" s="62">
        <f t="shared" si="0"/>
        <v>955.82698998448654</v>
      </c>
      <c r="S65" s="62">
        <f ca="1">AVERAGE(OFFSET($R$3,0,0,'Données projet'!$E$9+1,1))-AVERAGE(OFFSET($H$3,0,0,'Données projet'!$E$9+1,1))</f>
        <v>320.36162823905426</v>
      </c>
      <c r="T65" s="62">
        <f t="shared" si="34"/>
        <v>284.65760822544792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2.152422929778194</v>
      </c>
      <c r="AB65" s="23">
        <f>EXP(-LN(2)/2)*AB64+(1-EXP(-LN(2)/2))/(LN(2)/2)*V65*Y65*VLOOKUP('Données projet'!$B$9,Paramètres!$A$1:$I$89,3,0)*0.475*44/12</f>
        <v>2.9042814553814275E-4</v>
      </c>
      <c r="AC65" s="24">
        <f t="shared" si="3"/>
        <v>2.1527133579237323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3.1036506698001178E-14</v>
      </c>
      <c r="AK65" s="14">
        <f t="shared" si="35"/>
        <v>5.3428243983771088E-13</v>
      </c>
      <c r="AL65" s="22">
        <f t="shared" si="4"/>
        <v>9.8459716521636505E-13</v>
      </c>
      <c r="AM65" s="62">
        <f t="shared" si="5"/>
        <v>293.33333333333428</v>
      </c>
      <c r="AN65" s="62">
        <f ca="1">AVERAGE(OFFSET($AM$3,0,0,'Données projet'!$E$10+1,1))-AVERAGE(OFFSET($H$3,0,0,'Données projet'!$E$10+1,1))</f>
        <v>155.13440282866992</v>
      </c>
      <c r="AO65" s="62">
        <f t="shared" si="36"/>
        <v>229.92235675849565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3.8369209222706235</v>
      </c>
      <c r="AW65" s="23">
        <f>EXP(-LN(2)/2)*AW64+(1-EXP(-LN(2)/2))/(LN(2)/2)*AQ65*AT65*VLOOKUP('Données projet'!$B$10,Paramètres!$A$1:$I$89,3,0)*0.475*44/12</f>
        <v>2.0517621976636369E-4</v>
      </c>
      <c r="AX65" s="23">
        <f t="shared" si="6"/>
        <v>3.8371260984903901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131.55791999999991</v>
      </c>
      <c r="BF65" s="14">
        <f t="shared" si="37"/>
        <v>34.3560989338864</v>
      </c>
      <c r="BG65" s="22">
        <f t="shared" si="7"/>
        <v>288.96691630985202</v>
      </c>
      <c r="BH65" s="62">
        <f t="shared" si="8"/>
        <v>582.30024964318534</v>
      </c>
      <c r="BI65" s="62">
        <f ca="1">AVERAGE(OFFSET($BH$3,0,0,'Données projet'!$E$11+1,1))-AVERAGE(OFFSET($H$3,0,0,'Données projet'!$E$11+1,1))</f>
        <v>182.11831308043929</v>
      </c>
      <c r="BJ65" s="62">
        <f t="shared" si="38"/>
        <v>75.532250323368885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18.714285714285715</v>
      </c>
      <c r="M66" s="13">
        <f t="array" ref="M66">INDEX(L:L,MIN(IF(ISNUMBER(L66:L262),ROW(L66:L262),"")))</f>
        <v>18.714285714285715</v>
      </c>
      <c r="N66" s="14">
        <f>IF('Données projet'!$A$36&gt;35,N65+M66-V65,IF(A66&lt;'Données projet'!$A$36,$K$205^A66,IF(A66='Données projet'!$A$36,'Données projet'!$B$36,N65+M66-V65)))</f>
        <v>568.99999999999966</v>
      </c>
      <c r="O66" s="14">
        <f>N66*VLOOKUP('Données projet'!$B$9,Paramètres!$A$1:$I$89,3,0)*VLOOKUP('Données projet'!$B$9,Paramètres!$A$1:$I$89,5,0)</f>
        <v>318.0709999999998</v>
      </c>
      <c r="P66" s="14">
        <f t="shared" si="33"/>
        <v>74.951846567144614</v>
      </c>
      <c r="Q66" s="22">
        <f t="shared" si="53"/>
        <v>684.51479110444313</v>
      </c>
      <c r="R66" s="62">
        <f t="shared" si="0"/>
        <v>977.84812443777651</v>
      </c>
      <c r="S66" s="62">
        <f ca="1">AVERAGE(OFFSET($R$3,0,0,'Données projet'!$E$9+1,1))-AVERAGE(OFFSET($H$3,0,0,'Données projet'!$E$9+1,1))</f>
        <v>320.36162823905426</v>
      </c>
      <c r="T66" s="62">
        <f t="shared" si="34"/>
        <v>284.65760822544792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2.0935648115724068</v>
      </c>
      <c r="AB66" s="23">
        <f>EXP(-LN(2)/2)*AB65+(1-EXP(-LN(2)/2))/(LN(2)/2)*V66*Y66*VLOOKUP('Données projet'!$B$9,Paramètres!$A$1:$I$89,3,0)*0.475*44/12</f>
        <v>2.0536371115745429E-4</v>
      </c>
      <c r="AC66" s="24">
        <f t="shared" si="3"/>
        <v>2.0937701752835642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3.1036506698001178E-14</v>
      </c>
      <c r="AK66" s="14">
        <f t="shared" si="35"/>
        <v>5.3428243983771088E-13</v>
      </c>
      <c r="AL66" s="22">
        <f t="shared" si="4"/>
        <v>9.8459716521636505E-13</v>
      </c>
      <c r="AM66" s="62">
        <f t="shared" si="5"/>
        <v>293.33333333333428</v>
      </c>
      <c r="AN66" s="62">
        <f ca="1">AVERAGE(OFFSET($AM$3,0,0,'Données projet'!$E$10+1,1))-AVERAGE(OFFSET($H$3,0,0,'Données projet'!$E$10+1,1))</f>
        <v>155.13440282866992</v>
      </c>
      <c r="AO66" s="62">
        <f t="shared" si="36"/>
        <v>229.92235675849565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3.7320001178762316</v>
      </c>
      <c r="AW66" s="23">
        <f>EXP(-LN(2)/2)*AW65+(1-EXP(-LN(2)/2))/(LN(2)/2)*AQ66*AT66*VLOOKUP('Données projet'!$B$10,Paramètres!$A$1:$I$89,3,0)*0.475*44/12</f>
        <v>1.4508149633501712E-4</v>
      </c>
      <c r="AX66" s="23">
        <f t="shared" si="6"/>
        <v>3.7321451993725665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136.26287999999988</v>
      </c>
      <c r="BF66" s="14">
        <f t="shared" si="37"/>
        <v>35.439540330824407</v>
      </c>
      <c r="BG66" s="22">
        <f t="shared" si="7"/>
        <v>299.04838207618559</v>
      </c>
      <c r="BH66" s="62">
        <f t="shared" si="8"/>
        <v>592.38171540951885</v>
      </c>
      <c r="BI66" s="62">
        <f ca="1">AVERAGE(OFFSET($BH$3,0,0,'Données projet'!$E$11+1,1))-AVERAGE(OFFSET($H$3,0,0,'Données projet'!$E$11+1,1))</f>
        <v>182.11831308043929</v>
      </c>
      <c r="BJ66" s="62">
        <f t="shared" si="38"/>
        <v>75.532250323368885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16.666666666666668</v>
      </c>
      <c r="N67" s="14">
        <f>IF('Données projet'!$A$36&gt;35,N66+M67-V66,IF(A67&lt;'Données projet'!$A$36,$K$205^A67,IF(A67='Données projet'!$A$36,'Données projet'!$B$36,N66+M67-V66)))</f>
        <v>486.66666666666629</v>
      </c>
      <c r="O67" s="14">
        <f>N67*VLOOKUP('Données projet'!$B$9,Paramètres!$A$1:$I$89,3,0)*VLOOKUP('Données projet'!$B$9,Paramètres!$A$1:$I$89,5,0)</f>
        <v>272.04666666666645</v>
      </c>
      <c r="P67" s="14">
        <f t="shared" si="33"/>
        <v>65.283432523037007</v>
      </c>
      <c r="Q67" s="22">
        <f t="shared" ref="Q67:Q98" si="54">(O67+P67)*0.475*44/12</f>
        <v>587.51658942206677</v>
      </c>
      <c r="R67" s="62">
        <f t="shared" ref="R67:R130" si="55">Q67+(I67+J67)*44/12</f>
        <v>880.84992275540003</v>
      </c>
      <c r="S67" s="62">
        <f ca="1">AVERAGE(OFFSET($R$3,0,0,'Données projet'!$E$9+1,1))-AVERAGE(OFFSET($H$3,0,0,'Données projet'!$E$9+1,1))</f>
        <v>320.36162823905426</v>
      </c>
      <c r="T67" s="62">
        <f t="shared" si="34"/>
        <v>284.65760822544792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2.0363161717041707</v>
      </c>
      <c r="AB67" s="23">
        <f>EXP(-LN(2)/2)*AB66+(1-EXP(-LN(2)/2))/(LN(2)/2)*V67*Y67*VLOOKUP('Données projet'!$B$9,Paramètres!$A$1:$I$89,3,0)*0.475*44/12</f>
        <v>1.4521407276907138E-4</v>
      </c>
      <c r="AC67" s="24">
        <f t="shared" si="3"/>
        <v>2.0364613857769398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3.1036506698001178E-14</v>
      </c>
      <c r="AK67" s="14">
        <f t="shared" si="35"/>
        <v>5.3428243983771088E-13</v>
      </c>
      <c r="AL67" s="22">
        <f t="shared" si="4"/>
        <v>9.8459716521636505E-13</v>
      </c>
      <c r="AM67" s="62">
        <f t="shared" si="5"/>
        <v>293.33333333333428</v>
      </c>
      <c r="AN67" s="62">
        <f ca="1">AVERAGE(OFFSET($AM$3,0,0,'Données projet'!$E$10+1,1))-AVERAGE(OFFSET($H$3,0,0,'Données projet'!$E$10+1,1))</f>
        <v>155.13440282866992</v>
      </c>
      <c r="AO67" s="62">
        <f t="shared" si="36"/>
        <v>229.92235675849565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3.6299483783955493</v>
      </c>
      <c r="AW67" s="23">
        <f>EXP(-LN(2)/2)*AW66+(1-EXP(-LN(2)/2))/(LN(2)/2)*AQ67*AT67*VLOOKUP('Données projet'!$B$10,Paramètres!$A$1:$I$89,3,0)*0.475*44/12</f>
        <v>1.0258810988318185E-4</v>
      </c>
      <c r="AX67" s="23">
        <f t="shared" si="6"/>
        <v>3.6300509665054324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140.96783999999988</v>
      </c>
      <c r="BF67" s="14">
        <f t="shared" si="37"/>
        <v>36.518635069479657</v>
      </c>
      <c r="BG67" s="22">
        <f t="shared" si="7"/>
        <v>309.12227741267685</v>
      </c>
      <c r="BH67" s="62">
        <f t="shared" si="8"/>
        <v>602.45561074601017</v>
      </c>
      <c r="BI67" s="62">
        <f ca="1">AVERAGE(OFFSET($BH$3,0,0,'Données projet'!$E$11+1,1))-AVERAGE(OFFSET($H$3,0,0,'Données projet'!$E$11+1,1))</f>
        <v>182.11831308043929</v>
      </c>
      <c r="BJ67" s="62">
        <f t="shared" si="38"/>
        <v>75.532250323368885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16.666666666666668</v>
      </c>
      <c r="N68" s="14">
        <f>IF('Données projet'!$A$36&gt;35,N67+M68-V67,IF(A68&lt;'Données projet'!$A$36,$K$205^A68,IF(A68='Données projet'!$A$36,'Données projet'!$B$36,N67+M68-V67)))</f>
        <v>503.33333333333297</v>
      </c>
      <c r="O68" s="14">
        <f>N68*VLOOKUP('Données projet'!$B$9,Paramètres!$A$1:$I$89,3,0)*VLOOKUP('Données projet'!$B$9,Paramètres!$A$1:$I$89,5,0)</f>
        <v>281.36333333333312</v>
      </c>
      <c r="P68" s="14">
        <f t="shared" si="33"/>
        <v>67.255038908558674</v>
      </c>
      <c r="Q68" s="22">
        <f t="shared" si="54"/>
        <v>607.17699832129483</v>
      </c>
      <c r="R68" s="62">
        <f t="shared" si="55"/>
        <v>900.51033165462809</v>
      </c>
      <c r="S68" s="62">
        <f ca="1">AVERAGE(OFFSET($R$3,0,0,'Données projet'!$E$9+1,1))-AVERAGE(OFFSET($H$3,0,0,'Données projet'!$E$9+1,1))</f>
        <v>320.36162823905426</v>
      </c>
      <c r="T68" s="62">
        <f t="shared" si="34"/>
        <v>284.65760822544792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1.9806329989037068</v>
      </c>
      <c r="AB68" s="23">
        <f>EXP(-LN(2)/2)*AB67+(1-EXP(-LN(2)/2))/(LN(2)/2)*V68*Y68*VLOOKUP('Données projet'!$B$9,Paramètres!$A$1:$I$89,3,0)*0.475*44/12</f>
        <v>1.0268185557872714E-4</v>
      </c>
      <c r="AC68" s="24">
        <f t="shared" ref="AC68:AC131" si="57">SUM(Z68:AB68)</f>
        <v>1.9807356807592855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3.1036506698001178E-14</v>
      </c>
      <c r="AK68" s="14">
        <f t="shared" si="35"/>
        <v>5.3428243983771088E-13</v>
      </c>
      <c r="AL68" s="22">
        <f t="shared" ref="AL68:AL131" si="58">(AJ68+AK68)*0.475*44/12</f>
        <v>9.8459716521636505E-13</v>
      </c>
      <c r="AM68" s="62">
        <f t="shared" ref="AM68:AM131" si="59">AL68+(AD68+AE68)*44/12</f>
        <v>293.33333333333428</v>
      </c>
      <c r="AN68" s="62">
        <f ca="1">AVERAGE(OFFSET($AM$3,0,0,'Données projet'!$E$10+1,1))-AVERAGE(OFFSET($H$3,0,0,'Données projet'!$E$10+1,1))</f>
        <v>155.13440282866992</v>
      </c>
      <c r="AO68" s="62">
        <f t="shared" si="36"/>
        <v>229.92235675849565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3.530687249097634</v>
      </c>
      <c r="AW68" s="23">
        <f>EXP(-LN(2)/2)*AW67+(1-EXP(-LN(2)/2))/(LN(2)/2)*AQ68*AT68*VLOOKUP('Données projet'!$B$10,Paramètres!$A$1:$I$89,3,0)*0.475*44/12</f>
        <v>7.2540748167508558E-5</v>
      </c>
      <c r="AX68" s="23">
        <f t="shared" ref="AX68:AX131" si="60">SUM(AU68:AW68)</f>
        <v>3.5307597898458014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145.67279999999985</v>
      </c>
      <c r="BF68" s="14">
        <f t="shared" si="37"/>
        <v>37.593544857919696</v>
      </c>
      <c r="BG68" s="22">
        <f t="shared" ref="BG68:BG131" si="61">(BE68+BF68)*0.475*44/12</f>
        <v>319.18888396087652</v>
      </c>
      <c r="BH68" s="62">
        <f t="shared" ref="BH68:BH131" si="62">BG68+(AY68+AZ68)*44/12</f>
        <v>612.5222172942099</v>
      </c>
      <c r="BI68" s="62">
        <f ca="1">AVERAGE(OFFSET($BH$3,0,0,'Données projet'!$E$11+1,1))-AVERAGE(OFFSET($H$3,0,0,'Données projet'!$E$11+1,1))</f>
        <v>182.11831308043929</v>
      </c>
      <c r="BJ68" s="62">
        <f t="shared" si="38"/>
        <v>75.532250323368885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16.666666666666668</v>
      </c>
      <c r="N69" s="14">
        <f>IF('Données projet'!$A$36&gt;35,N68+M69-V68,IF(A69&lt;'Données projet'!$A$36,$K$205^A69,IF(A69='Données projet'!$A$36,'Données projet'!$B$36,N68+M69-V68)))</f>
        <v>519.99999999999966</v>
      </c>
      <c r="O69" s="14">
        <f>N69*VLOOKUP('Données projet'!$B$9,Paramètres!$A$1:$I$89,3,0)*VLOOKUP('Données projet'!$B$9,Paramètres!$A$1:$I$89,5,0)</f>
        <v>290.67999999999984</v>
      </c>
      <c r="P69" s="14">
        <f t="shared" ref="P69:P132" si="87">EXP(-1.0587+0.8836*LN(O69)+0.284)</f>
        <v>69.219059283896371</v>
      </c>
      <c r="Q69" s="22">
        <f t="shared" si="54"/>
        <v>626.82419491945257</v>
      </c>
      <c r="R69" s="62">
        <f t="shared" si="55"/>
        <v>920.15752825278582</v>
      </c>
      <c r="S69" s="62">
        <f ca="1">AVERAGE(OFFSET($R$3,0,0,'Données projet'!$E$9+1,1))-AVERAGE(OFFSET($H$3,0,0,'Données projet'!$E$9+1,1))</f>
        <v>320.36162823905426</v>
      </c>
      <c r="T69" s="62">
        <f t="shared" ref="T69:T132" si="88">$T$3</f>
        <v>284.65760822544792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1.9264724853917223</v>
      </c>
      <c r="AB69" s="23">
        <f>EXP(-LN(2)/2)*AB68+(1-EXP(-LN(2)/2))/(LN(2)/2)*V69*Y69*VLOOKUP('Données projet'!$B$9,Paramètres!$A$1:$I$89,3,0)*0.475*44/12</f>
        <v>7.2607036384535688E-5</v>
      </c>
      <c r="AC69" s="24">
        <f t="shared" si="57"/>
        <v>1.9265450924281069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3.1036506698001178E-14</v>
      </c>
      <c r="AK69" s="14">
        <f t="shared" ref="AK69:AK132" si="89">EXP(-1.0587+0.8836*LN(AJ69)+0.284)</f>
        <v>5.3428243983771088E-13</v>
      </c>
      <c r="AL69" s="22">
        <f t="shared" si="58"/>
        <v>9.8459716521636505E-13</v>
      </c>
      <c r="AM69" s="62">
        <f t="shared" si="59"/>
        <v>293.33333333333428</v>
      </c>
      <c r="AN69" s="62">
        <f ca="1">AVERAGE(OFFSET($AM$3,0,0,'Données projet'!$E$10+1,1))-AVERAGE(OFFSET($H$3,0,0,'Données projet'!$E$10+1,1))</f>
        <v>155.13440282866992</v>
      </c>
      <c r="AO69" s="62">
        <f t="shared" ref="AO69:AO132" si="90">$AO$3</f>
        <v>229.92235675849565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3.4341404206002863</v>
      </c>
      <c r="AW69" s="23">
        <f>EXP(-LN(2)/2)*AW68+(1-EXP(-LN(2)/2))/(LN(2)/2)*AQ69*AT69*VLOOKUP('Données projet'!$B$10,Paramètres!$A$1:$I$89,3,0)*0.475*44/12</f>
        <v>5.1294054941590923E-5</v>
      </c>
      <c r="AX69" s="23">
        <f t="shared" si="60"/>
        <v>3.4341917146552281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137.71055999999987</v>
      </c>
      <c r="BF69" s="14">
        <f t="shared" ref="BF69:BF132" si="91">EXP(-1.0587+0.8836*LN(BE69)+0.284)</f>
        <v>35.772024702085204</v>
      </c>
      <c r="BG69" s="22">
        <f t="shared" si="61"/>
        <v>302.14883502279821</v>
      </c>
      <c r="BH69" s="62">
        <f t="shared" si="62"/>
        <v>595.48216835613152</v>
      </c>
      <c r="BI69" s="62">
        <f ca="1">AVERAGE(OFFSET($BH$3,0,0,'Données projet'!$E$11+1,1))-AVERAGE(OFFSET($H$3,0,0,'Données projet'!$E$11+1,1))</f>
        <v>182.11831308043929</v>
      </c>
      <c r="BJ69" s="62">
        <f t="shared" ref="BJ69:BJ132" si="92">$BJ$3</f>
        <v>75.532250323368885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16.666666666666668</v>
      </c>
      <c r="N70" s="14">
        <f>IF('Données projet'!$A$36&gt;35,N69+M70-V69,IF(A70&lt;'Données projet'!$A$36,$K$205^A70,IF(A70='Données projet'!$A$36,'Données projet'!$B$36,N69+M70-V69)))</f>
        <v>536.66666666666629</v>
      </c>
      <c r="O70" s="14">
        <f>N70*VLOOKUP('Données projet'!$B$9,Paramètres!$A$1:$I$89,3,0)*VLOOKUP('Données projet'!$B$9,Paramètres!$A$1:$I$89,5,0)</f>
        <v>299.9966666666665</v>
      </c>
      <c r="P70" s="14">
        <f t="shared" si="87"/>
        <v>71.175764680534925</v>
      </c>
      <c r="Q70" s="22">
        <f t="shared" si="54"/>
        <v>646.4586512630425</v>
      </c>
      <c r="R70" s="62">
        <f t="shared" si="55"/>
        <v>939.79198459637587</v>
      </c>
      <c r="S70" s="62">
        <f ca="1">AVERAGE(OFFSET($R$3,0,0,'Données projet'!$E$9+1,1))-AVERAGE(OFFSET($H$3,0,0,'Données projet'!$E$9+1,1))</f>
        <v>320.36162823905426</v>
      </c>
      <c r="T70" s="62">
        <f t="shared" si="88"/>
        <v>284.65760822544792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1.8737929939699007</v>
      </c>
      <c r="AB70" s="23">
        <f>EXP(-LN(2)/2)*AB69+(1-EXP(-LN(2)/2))/(LN(2)/2)*V70*Y70*VLOOKUP('Données projet'!$B$9,Paramètres!$A$1:$I$89,3,0)*0.475*44/12</f>
        <v>5.1340927789363572E-5</v>
      </c>
      <c r="AC70" s="24">
        <f t="shared" si="57"/>
        <v>1.8738443348976901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3.1036506698001178E-14</v>
      </c>
      <c r="AK70" s="14">
        <f t="shared" si="89"/>
        <v>5.3428243983771088E-13</v>
      </c>
      <c r="AL70" s="22">
        <f t="shared" si="58"/>
        <v>9.8459716521636505E-13</v>
      </c>
      <c r="AM70" s="62">
        <f t="shared" si="59"/>
        <v>293.33333333333428</v>
      </c>
      <c r="AN70" s="62">
        <f ca="1">AVERAGE(OFFSET($AM$3,0,0,'Données projet'!$E$10+1,1))-AVERAGE(OFFSET($H$3,0,0,'Données projet'!$E$10+1,1))</f>
        <v>155.13440282866992</v>
      </c>
      <c r="AO70" s="62">
        <f t="shared" si="90"/>
        <v>229.92235675849565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3.3402336702053756</v>
      </c>
      <c r="AW70" s="23">
        <f>EXP(-LN(2)/2)*AW69+(1-EXP(-LN(2)/2))/(LN(2)/2)*AQ70*AT70*VLOOKUP('Données projet'!$B$10,Paramètres!$A$1:$I$89,3,0)*0.475*44/12</f>
        <v>3.6270374083754279E-5</v>
      </c>
      <c r="AX70" s="23">
        <f t="shared" si="60"/>
        <v>3.3402699405794594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142.41551999999984</v>
      </c>
      <c r="BF70" s="14">
        <f t="shared" si="91"/>
        <v>36.849815075587657</v>
      </c>
      <c r="BG70" s="22">
        <f t="shared" si="61"/>
        <v>312.22045858998155</v>
      </c>
      <c r="BH70" s="62">
        <f t="shared" si="62"/>
        <v>605.55379192331486</v>
      </c>
      <c r="BI70" s="62">
        <f ca="1">AVERAGE(OFFSET($BH$3,0,0,'Données projet'!$E$11+1,1))-AVERAGE(OFFSET($H$3,0,0,'Données projet'!$E$11+1,1))</f>
        <v>182.11831308043929</v>
      </c>
      <c r="BJ70" s="62">
        <f t="shared" si="92"/>
        <v>75.532250323368885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16.666666666666668</v>
      </c>
      <c r="N71" s="14">
        <f>IF('Données projet'!$A$36&gt;35,N70+M71-V70,IF(A71&lt;'Données projet'!$A$36,$K$205^A71,IF(A71='Données projet'!$A$36,'Données projet'!$B$36,N70+M71-V70)))</f>
        <v>553.33333333333292</v>
      </c>
      <c r="O71" s="14">
        <f>N71*VLOOKUP('Données projet'!$B$9,Paramètres!$A$1:$I$89,3,0)*VLOOKUP('Données projet'!$B$9,Paramètres!$A$1:$I$89,5,0)</f>
        <v>309.31333333333311</v>
      </c>
      <c r="P71" s="14">
        <f t="shared" si="87"/>
        <v>73.125408339435936</v>
      </c>
      <c r="Q71" s="22">
        <f t="shared" si="54"/>
        <v>666.08080841340609</v>
      </c>
      <c r="R71" s="62">
        <f t="shared" si="55"/>
        <v>959.41414174673946</v>
      </c>
      <c r="S71" s="62">
        <f ca="1">AVERAGE(OFFSET($R$3,0,0,'Données projet'!$E$9+1,1))-AVERAGE(OFFSET($H$3,0,0,'Données projet'!$E$9+1,1))</f>
        <v>320.36162823905426</v>
      </c>
      <c r="T71" s="62">
        <f t="shared" si="88"/>
        <v>284.65760822544792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1.8225540260113029</v>
      </c>
      <c r="AB71" s="23">
        <f>EXP(-LN(2)/2)*AB70+(1-EXP(-LN(2)/2))/(LN(2)/2)*V71*Y71*VLOOKUP('Données projet'!$B$9,Paramètres!$A$1:$I$89,3,0)*0.475*44/12</f>
        <v>3.6303518192267844E-5</v>
      </c>
      <c r="AC71" s="24">
        <f t="shared" si="57"/>
        <v>1.8225903295294952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3.1036506698001178E-14</v>
      </c>
      <c r="AK71" s="14">
        <f t="shared" si="89"/>
        <v>5.3428243983771088E-13</v>
      </c>
      <c r="AL71" s="22">
        <f t="shared" si="58"/>
        <v>9.8459716521636505E-13</v>
      </c>
      <c r="AM71" s="62">
        <f t="shared" si="59"/>
        <v>293.33333333333428</v>
      </c>
      <c r="AN71" s="62">
        <f ca="1">AVERAGE(OFFSET($AM$3,0,0,'Données projet'!$E$10+1,1))-AVERAGE(OFFSET($H$3,0,0,'Données projet'!$E$10+1,1))</f>
        <v>155.13440282866992</v>
      </c>
      <c r="AO71" s="62">
        <f t="shared" si="90"/>
        <v>229.92235675849565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3.248894804838355</v>
      </c>
      <c r="AW71" s="23">
        <f>EXP(-LN(2)/2)*AW70+(1-EXP(-LN(2)/2))/(LN(2)/2)*AQ71*AT71*VLOOKUP('Données projet'!$B$10,Paramètres!$A$1:$I$89,3,0)*0.475*44/12</f>
        <v>2.5647027470795462E-5</v>
      </c>
      <c r="AX71" s="23">
        <f t="shared" si="60"/>
        <v>3.2489204518658257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147.12047999999984</v>
      </c>
      <c r="BF71" s="14">
        <f t="shared" si="91"/>
        <v>37.923467981600268</v>
      </c>
      <c r="BG71" s="22">
        <f t="shared" si="61"/>
        <v>322.28487606795352</v>
      </c>
      <c r="BH71" s="62">
        <f t="shared" si="62"/>
        <v>615.61820940128678</v>
      </c>
      <c r="BI71" s="62">
        <f ca="1">AVERAGE(OFFSET($BH$3,0,0,'Données projet'!$E$11+1,1))-AVERAGE(OFFSET($H$3,0,0,'Données projet'!$E$11+1,1))</f>
        <v>182.11831308043929</v>
      </c>
      <c r="BJ71" s="62">
        <f t="shared" si="92"/>
        <v>75.532250323368885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570</v>
      </c>
      <c r="L72" s="13">
        <f>VLOOKUP(A72,'Données projet'!$A$35:$I$55,9,0)</f>
        <v>16.666666666666668</v>
      </c>
      <c r="M72" s="13">
        <f t="array" ref="M72">INDEX(L:L,MIN(IF(ISNUMBER(L72:L268),ROW(L72:L268),"")))</f>
        <v>16.666666666666668</v>
      </c>
      <c r="N72" s="14">
        <f>IF('Données projet'!$A$36&gt;35,N71+M72-V71,IF(A72&lt;'Données projet'!$A$36,$K$205^A72,IF(A72='Données projet'!$A$36,'Données projet'!$B$36,N71+M72-V71)))</f>
        <v>569.99999999999955</v>
      </c>
      <c r="O72" s="14">
        <f>N72*VLOOKUP('Données projet'!$B$9,Paramètres!$A$1:$I$89,3,0)*VLOOKUP('Données projet'!$B$9,Paramètres!$A$1:$I$89,5,0)</f>
        <v>318.62999999999977</v>
      </c>
      <c r="P72" s="14">
        <f t="shared" si="87"/>
        <v>75.068227379090629</v>
      </c>
      <c r="Q72" s="22">
        <f t="shared" si="54"/>
        <v>685.69107935191562</v>
      </c>
      <c r="R72" s="62">
        <f t="shared" si="55"/>
        <v>979.02441268524899</v>
      </c>
      <c r="S72" s="62">
        <f ca="1">AVERAGE(OFFSET($R$3,0,0,'Données projet'!$E$9+1,1))-AVERAGE(OFFSET($H$3,0,0,'Données projet'!$E$9+1,1))</f>
        <v>320.36162823905426</v>
      </c>
      <c r="T72" s="62">
        <f t="shared" si="88"/>
        <v>284.65760822544792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1.7727161903260731</v>
      </c>
      <c r="AB72" s="23">
        <f>EXP(-LN(2)/2)*AB71+(1-EXP(-LN(2)/2))/(LN(2)/2)*V72*Y72*VLOOKUP('Données projet'!$B$9,Paramètres!$A$1:$I$89,3,0)*0.475*44/12</f>
        <v>2.5670463894681786E-5</v>
      </c>
      <c r="AC72" s="24">
        <f t="shared" si="57"/>
        <v>1.7727418607899679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3.1036506698001178E-14</v>
      </c>
      <c r="AK72" s="14">
        <f t="shared" si="89"/>
        <v>5.3428243983771088E-13</v>
      </c>
      <c r="AL72" s="22">
        <f t="shared" si="58"/>
        <v>9.8459716521636505E-13</v>
      </c>
      <c r="AM72" s="62">
        <f t="shared" si="59"/>
        <v>293.33333333333428</v>
      </c>
      <c r="AN72" s="62">
        <f ca="1">AVERAGE(OFFSET($AM$3,0,0,'Données projet'!$E$10+1,1))-AVERAGE(OFFSET($H$3,0,0,'Données projet'!$E$10+1,1))</f>
        <v>155.13440282866992</v>
      </c>
      <c r="AO72" s="62">
        <f t="shared" si="90"/>
        <v>229.92235675849565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3.1600536055480979</v>
      </c>
      <c r="AW72" s="23">
        <f>EXP(-LN(2)/2)*AW71+(1-EXP(-LN(2)/2))/(LN(2)/2)*AQ72*AT72*VLOOKUP('Données projet'!$B$10,Paramètres!$A$1:$I$89,3,0)*0.475*44/12</f>
        <v>1.8135187041877139E-5</v>
      </c>
      <c r="AX72" s="23">
        <f t="shared" si="60"/>
        <v>3.1600717407351397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151.82543999999982</v>
      </c>
      <c r="BF72" s="14">
        <f t="shared" si="91"/>
        <v>38.993130915848106</v>
      </c>
      <c r="BG72" s="22">
        <f t="shared" si="61"/>
        <v>332.34234434510176</v>
      </c>
      <c r="BH72" s="62">
        <f t="shared" si="62"/>
        <v>625.67567767843502</v>
      </c>
      <c r="BI72" s="62">
        <f ca="1">AVERAGE(OFFSET($BH$3,0,0,'Données projet'!$E$11+1,1))-AVERAGE(OFFSET($H$3,0,0,'Données projet'!$E$11+1,1))</f>
        <v>182.11831308043929</v>
      </c>
      <c r="BJ72" s="62">
        <f t="shared" si="92"/>
        <v>75.532250323368885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</v>
      </c>
      <c r="L73" s="13">
        <f>VLOOKUP(A73,'Données projet'!$A$35:$I$55,9,0)</f>
        <v>16</v>
      </c>
      <c r="M73" s="13">
        <f t="array" ref="M73">INDEX(L:L,MIN(IF(ISNUMBER(L73:L269),ROW(L73:L269),"")))</f>
        <v>16</v>
      </c>
      <c r="N73" s="14">
        <f>IF('Données projet'!$A$36&gt;35,N72+M73-V72,IF(A73&lt;'Données projet'!$A$36,$K$205^A73,IF(A73='Données projet'!$A$36,'Données projet'!$B$36,N72+M73-V72)))</f>
        <v>585.99999999999955</v>
      </c>
      <c r="O73" s="14">
        <f>N73*VLOOKUP('Données projet'!$B$9,Paramètres!$A$1:$I$89,3,0)*VLOOKUP('Données projet'!$B$9,Paramètres!$A$1:$I$89,5,0)</f>
        <v>327.57399999999973</v>
      </c>
      <c r="P73" s="14">
        <f t="shared" si="87"/>
        <v>76.927119684760754</v>
      </c>
      <c r="Q73" s="22">
        <f t="shared" si="54"/>
        <v>704.50611678429107</v>
      </c>
      <c r="R73" s="62">
        <f t="shared" si="55"/>
        <v>997.83945011762444</v>
      </c>
      <c r="S73" s="62">
        <f ca="1">AVERAGE(OFFSET($R$3,0,0,'Données projet'!$E$9+1,1))-AVERAGE(OFFSET($H$3,0,0,'Données projet'!$E$9+1,1))</f>
        <v>320.36162823905426</v>
      </c>
      <c r="T73" s="62">
        <f t="shared" si="88"/>
        <v>284.65760822544792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586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1.7242411728785139</v>
      </c>
      <c r="AB73" s="23">
        <f>EXP(-LN(2)/2)*AB72+(1-EXP(-LN(2)/2))/(LN(2)/2)*V73*Y73*VLOOKUP('Données projet'!$B$9,Paramètres!$A$1:$I$89,3,0)*0.475*44/12</f>
        <v>1.8151759096133922E-5</v>
      </c>
      <c r="AC73" s="24">
        <f t="shared" si="57"/>
        <v>1.7242593246376099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3.1036506698001178E-14</v>
      </c>
      <c r="AK73" s="14">
        <f t="shared" si="89"/>
        <v>5.3428243983771088E-13</v>
      </c>
      <c r="AL73" s="22">
        <f t="shared" si="58"/>
        <v>9.8459716521636505E-13</v>
      </c>
      <c r="AM73" s="62">
        <f t="shared" si="59"/>
        <v>293.33333333333428</v>
      </c>
      <c r="AN73" s="62">
        <f ca="1">AVERAGE(OFFSET($AM$3,0,0,'Données projet'!$E$10+1,1))-AVERAGE(OFFSET($H$3,0,0,'Données projet'!$E$10+1,1))</f>
        <v>155.13440282866992</v>
      </c>
      <c r="AO73" s="62">
        <f t="shared" si="90"/>
        <v>229.92235675849565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3.0736417735243884</v>
      </c>
      <c r="AW73" s="23">
        <f>EXP(-LN(2)/2)*AW72+(1-EXP(-LN(2)/2))/(LN(2)/2)*AQ73*AT73*VLOOKUP('Données projet'!$B$10,Paramètres!$A$1:$I$89,3,0)*0.475*44/12</f>
        <v>1.2823513735397731E-5</v>
      </c>
      <c r="AX73" s="23">
        <f t="shared" si="60"/>
        <v>3.0736545970381237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156.53039999999982</v>
      </c>
      <c r="BF73" s="14">
        <f t="shared" si="91"/>
        <v>40.058941713181966</v>
      </c>
      <c r="BG73" s="22">
        <f t="shared" si="61"/>
        <v>342.39310348379155</v>
      </c>
      <c r="BH73" s="62">
        <f t="shared" si="62"/>
        <v>635.72643681712486</v>
      </c>
      <c r="BI73" s="62">
        <f ca="1">AVERAGE(OFFSET($BH$3,0,0,'Données projet'!$E$11+1,1))-AVERAGE(OFFSET($H$3,0,0,'Données projet'!$E$11+1,1))</f>
        <v>182.11831308043929</v>
      </c>
      <c r="BJ73" s="62">
        <f t="shared" si="92"/>
        <v>75.532250323368885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-4.5474735088646412E-13</v>
      </c>
      <c r="O74" s="14">
        <f>N74*VLOOKUP('Données projet'!$B$9,Paramètres!$A$1:$I$89,3,0)*VLOOKUP('Données projet'!$B$9,Paramètres!$A$1:$I$89,5,0)</f>
        <v>-2.5420376914553347E-13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320.36162823905426</v>
      </c>
      <c r="T74" s="62">
        <f t="shared" si="88"/>
        <v>284.65760822544792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1.6770917073322484</v>
      </c>
      <c r="AB74" s="23">
        <f>EXP(-LN(2)/2)*AB73+(1-EXP(-LN(2)/2))/(LN(2)/2)*V74*Y74*VLOOKUP('Données projet'!$B$9,Paramètres!$A$1:$I$89,3,0)*0.475*44/12</f>
        <v>1.2835231947340893E-5</v>
      </c>
      <c r="AC74" s="24">
        <f t="shared" si="57"/>
        <v>1.6771045425641957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3.1036506698001178E-14</v>
      </c>
      <c r="AK74" s="14">
        <f t="shared" si="89"/>
        <v>5.3428243983771088E-13</v>
      </c>
      <c r="AL74" s="22">
        <f t="shared" si="58"/>
        <v>9.8459716521636505E-13</v>
      </c>
      <c r="AM74" s="62">
        <f t="shared" si="59"/>
        <v>293.33333333333428</v>
      </c>
      <c r="AN74" s="62">
        <f ca="1">AVERAGE(OFFSET($AM$3,0,0,'Données projet'!$E$10+1,1))-AVERAGE(OFFSET($H$3,0,0,'Données projet'!$E$10+1,1))</f>
        <v>155.13440282866992</v>
      </c>
      <c r="AO74" s="62">
        <f t="shared" si="90"/>
        <v>229.92235675849565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2.9895928775915679</v>
      </c>
      <c r="AW74" s="23">
        <f>EXP(-LN(2)/2)*AW73+(1-EXP(-LN(2)/2))/(LN(2)/2)*AQ74*AT74*VLOOKUP('Données projet'!$B$10,Paramètres!$A$1:$I$89,3,0)*0.475*44/12</f>
        <v>9.0675935209385697E-6</v>
      </c>
      <c r="AX74" s="23">
        <f t="shared" si="60"/>
        <v>2.9896019451850888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148.20623999999984</v>
      </c>
      <c r="BF74" s="14">
        <f t="shared" si="91"/>
        <v>38.170662245893759</v>
      </c>
      <c r="BG74" s="22">
        <f t="shared" si="61"/>
        <v>324.60643807826466</v>
      </c>
      <c r="BH74" s="62">
        <f t="shared" si="62"/>
        <v>617.93977141159803</v>
      </c>
      <c r="BI74" s="62">
        <f ca="1">AVERAGE(OFFSET($BH$3,0,0,'Données projet'!$E$11+1,1))-AVERAGE(OFFSET($H$3,0,0,'Données projet'!$E$11+1,1))</f>
        <v>182.11831308043929</v>
      </c>
      <c r="BJ74" s="62">
        <f t="shared" si="92"/>
        <v>75.532250323368885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-4.5474735088646412E-13</v>
      </c>
      <c r="O75" s="14">
        <f>N75*VLOOKUP('Données projet'!$B$9,Paramètres!$A$1:$I$89,3,0)*VLOOKUP('Données projet'!$B$9,Paramètres!$A$1:$I$89,5,0)</f>
        <v>-2.5420376914553347E-13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320.36162823905426</v>
      </c>
      <c r="T75" s="62">
        <f t="shared" si="88"/>
        <v>284.65760822544792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1.6312315464008282</v>
      </c>
      <c r="AB75" s="23">
        <f>EXP(-LN(2)/2)*AB74+(1-EXP(-LN(2)/2))/(LN(2)/2)*V75*Y75*VLOOKUP('Données projet'!$B$9,Paramètres!$A$1:$I$89,3,0)*0.475*44/12</f>
        <v>9.0758795480669611E-6</v>
      </c>
      <c r="AC75" s="24">
        <f t="shared" si="57"/>
        <v>1.6312406222803764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3.1036506698001178E-14</v>
      </c>
      <c r="AK75" s="14">
        <f t="shared" si="89"/>
        <v>5.3428243983771088E-13</v>
      </c>
      <c r="AL75" s="22">
        <f t="shared" si="58"/>
        <v>9.8459716521636505E-13</v>
      </c>
      <c r="AM75" s="62">
        <f t="shared" si="59"/>
        <v>293.33333333333428</v>
      </c>
      <c r="AN75" s="62">
        <f ca="1">AVERAGE(OFFSET($AM$3,0,0,'Données projet'!$E$10+1,1))-AVERAGE(OFFSET($H$3,0,0,'Données projet'!$E$10+1,1))</f>
        <v>155.13440282866992</v>
      </c>
      <c r="AO75" s="62">
        <f t="shared" si="90"/>
        <v>229.92235675849565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2.9078423031379699</v>
      </c>
      <c r="AW75" s="23">
        <f>EXP(-LN(2)/2)*AW74+(1-EXP(-LN(2)/2))/(LN(2)/2)*AQ75*AT75*VLOOKUP('Données projet'!$B$10,Paramètres!$A$1:$I$89,3,0)*0.475*44/12</f>
        <v>6.4117568676988654E-6</v>
      </c>
      <c r="AX75" s="23">
        <f t="shared" si="60"/>
        <v>2.9078487148948375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152.54927999999984</v>
      </c>
      <c r="BF75" s="14">
        <f t="shared" si="91"/>
        <v>39.157349210214015</v>
      </c>
      <c r="BG75" s="22">
        <f t="shared" si="61"/>
        <v>333.8890458744558</v>
      </c>
      <c r="BH75" s="62">
        <f t="shared" si="62"/>
        <v>627.22237920778912</v>
      </c>
      <c r="BI75" s="62">
        <f ca="1">AVERAGE(OFFSET($BH$3,0,0,'Données projet'!$E$11+1,1))-AVERAGE(OFFSET($H$3,0,0,'Données projet'!$E$11+1,1))</f>
        <v>182.11831308043929</v>
      </c>
      <c r="BJ75" s="62">
        <f t="shared" si="92"/>
        <v>75.532250323368885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-4.5474735088646412E-13</v>
      </c>
      <c r="O76" s="14">
        <f>N76*VLOOKUP('Données projet'!$B$9,Paramètres!$A$1:$I$89,3,0)*VLOOKUP('Données projet'!$B$9,Paramètres!$A$1:$I$89,5,0)</f>
        <v>-2.5420376914553347E-13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320.36162823905426</v>
      </c>
      <c r="T76" s="62">
        <f t="shared" si="88"/>
        <v>284.65760822544792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1.5866254339817587</v>
      </c>
      <c r="AB76" s="23">
        <f>EXP(-LN(2)/2)*AB75+(1-EXP(-LN(2)/2))/(LN(2)/2)*V76*Y76*VLOOKUP('Données projet'!$B$9,Paramètres!$A$1:$I$89,3,0)*0.475*44/12</f>
        <v>6.4176159736704465E-6</v>
      </c>
      <c r="AC76" s="24">
        <f t="shared" si="57"/>
        <v>1.5866318515977325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3.1036506698001178E-14</v>
      </c>
      <c r="AK76" s="14">
        <f t="shared" si="89"/>
        <v>5.3428243983771088E-13</v>
      </c>
      <c r="AL76" s="22">
        <f t="shared" si="58"/>
        <v>9.8459716521636505E-13</v>
      </c>
      <c r="AM76" s="62">
        <f t="shared" si="59"/>
        <v>293.33333333333428</v>
      </c>
      <c r="AN76" s="62">
        <f ca="1">AVERAGE(OFFSET($AM$3,0,0,'Données projet'!$E$10+1,1))-AVERAGE(OFFSET($H$3,0,0,'Données projet'!$E$10+1,1))</f>
        <v>155.13440282866992</v>
      </c>
      <c r="AO76" s="62">
        <f t="shared" si="90"/>
        <v>229.92235675849565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2.8283272024418813</v>
      </c>
      <c r="AW76" s="23">
        <f>EXP(-LN(2)/2)*AW75+(1-EXP(-LN(2)/2))/(LN(2)/2)*AQ76*AT76*VLOOKUP('Données projet'!$B$10,Paramètres!$A$1:$I$89,3,0)*0.475*44/12</f>
        <v>4.5337967604692848E-6</v>
      </c>
      <c r="AX76" s="23">
        <f t="shared" si="60"/>
        <v>2.828331736238642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156.89231999999984</v>
      </c>
      <c r="BF76" s="14">
        <f t="shared" si="91"/>
        <v>40.140771359113252</v>
      </c>
      <c r="BG76" s="22">
        <f t="shared" si="61"/>
        <v>343.1659674504553</v>
      </c>
      <c r="BH76" s="62">
        <f t="shared" si="62"/>
        <v>636.49930078378861</v>
      </c>
      <c r="BI76" s="62">
        <f ca="1">AVERAGE(OFFSET($BH$3,0,0,'Données projet'!$E$11+1,1))-AVERAGE(OFFSET($H$3,0,0,'Données projet'!$E$11+1,1))</f>
        <v>182.11831308043929</v>
      </c>
      <c r="BJ76" s="62">
        <f t="shared" si="92"/>
        <v>75.532250323368885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-4.5474735088646412E-13</v>
      </c>
      <c r="O77" s="14">
        <f>N77*VLOOKUP('Données projet'!$B$9,Paramètres!$A$1:$I$89,3,0)*VLOOKUP('Données projet'!$B$9,Paramètres!$A$1:$I$89,5,0)</f>
        <v>-2.5420376914553347E-13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320.36162823905426</v>
      </c>
      <c r="T77" s="62">
        <f t="shared" si="88"/>
        <v>284.65760822544792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1.5432390780525223</v>
      </c>
      <c r="AB77" s="23">
        <f>EXP(-LN(2)/2)*AB76+(1-EXP(-LN(2)/2))/(LN(2)/2)*V77*Y77*VLOOKUP('Données projet'!$B$9,Paramètres!$A$1:$I$89,3,0)*0.475*44/12</f>
        <v>4.5379397740334805E-6</v>
      </c>
      <c r="AC77" s="24">
        <f t="shared" si="57"/>
        <v>1.5432436159922962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3.1036506698001178E-14</v>
      </c>
      <c r="AK77" s="14">
        <f t="shared" si="89"/>
        <v>5.3428243983771088E-13</v>
      </c>
      <c r="AL77" s="22">
        <f t="shared" si="58"/>
        <v>9.8459716521636505E-13</v>
      </c>
      <c r="AM77" s="62">
        <f t="shared" si="59"/>
        <v>293.33333333333428</v>
      </c>
      <c r="AN77" s="62">
        <f ca="1">AVERAGE(OFFSET($AM$3,0,0,'Données projet'!$E$10+1,1))-AVERAGE(OFFSET($H$3,0,0,'Données projet'!$E$10+1,1))</f>
        <v>155.13440282866992</v>
      </c>
      <c r="AO77" s="62">
        <f t="shared" si="90"/>
        <v>229.92235675849565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2.7509864463558449</v>
      </c>
      <c r="AW77" s="23">
        <f>EXP(-LN(2)/2)*AW76+(1-EXP(-LN(2)/2))/(LN(2)/2)*AQ77*AT77*VLOOKUP('Données projet'!$B$10,Paramètres!$A$1:$I$89,3,0)*0.475*44/12</f>
        <v>3.2058784338494327E-6</v>
      </c>
      <c r="AX77" s="23">
        <f t="shared" si="60"/>
        <v>2.7509896522342787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161.23535999999987</v>
      </c>
      <c r="BF77" s="14">
        <f t="shared" si="91"/>
        <v>41.121029451505379</v>
      </c>
      <c r="BG77" s="22">
        <f t="shared" si="61"/>
        <v>352.43737829470501</v>
      </c>
      <c r="BH77" s="62">
        <f t="shared" si="62"/>
        <v>645.77071162803827</v>
      </c>
      <c r="BI77" s="62">
        <f ca="1">AVERAGE(OFFSET($BH$3,0,0,'Données projet'!$E$11+1,1))-AVERAGE(OFFSET($H$3,0,0,'Données projet'!$E$11+1,1))</f>
        <v>182.11831308043929</v>
      </c>
      <c r="BJ77" s="62">
        <f t="shared" si="92"/>
        <v>75.532250323368885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-4.5474735088646412E-13</v>
      </c>
      <c r="O78" s="14">
        <f>N78*VLOOKUP('Données projet'!$B$9,Paramètres!$A$1:$I$89,3,0)*VLOOKUP('Données projet'!$B$9,Paramètres!$A$1:$I$89,5,0)</f>
        <v>-2.5420376914553347E-13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320.36162823905426</v>
      </c>
      <c r="T78" s="62">
        <f t="shared" si="88"/>
        <v>284.65760822544792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1.5010391243077601</v>
      </c>
      <c r="AB78" s="23">
        <f>EXP(-LN(2)/2)*AB77+(1-EXP(-LN(2)/2))/(LN(2)/2)*V78*Y78*VLOOKUP('Données projet'!$B$9,Paramètres!$A$1:$I$89,3,0)*0.475*44/12</f>
        <v>3.2088079868352232E-6</v>
      </c>
      <c r="AC78" s="24">
        <f t="shared" si="57"/>
        <v>1.501042333115747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3.1036506698001178E-14</v>
      </c>
      <c r="AK78" s="14">
        <f t="shared" si="89"/>
        <v>5.3428243983771088E-13</v>
      </c>
      <c r="AL78" s="22">
        <f t="shared" si="58"/>
        <v>9.8459716521636505E-13</v>
      </c>
      <c r="AM78" s="62">
        <f t="shared" si="59"/>
        <v>293.33333333333428</v>
      </c>
      <c r="AN78" s="62">
        <f ca="1">AVERAGE(OFFSET($AM$3,0,0,'Données projet'!$E$10+1,1))-AVERAGE(OFFSET($H$3,0,0,'Données projet'!$E$10+1,1))</f>
        <v>155.13440282866992</v>
      </c>
      <c r="AO78" s="62">
        <f t="shared" si="90"/>
        <v>229.92235675849565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2.6757605773121544</v>
      </c>
      <c r="AW78" s="23">
        <f>EXP(-LN(2)/2)*AW77+(1-EXP(-LN(2)/2))/(LN(2)/2)*AQ78*AT78*VLOOKUP('Données projet'!$B$10,Paramètres!$A$1:$I$89,3,0)*0.475*44/12</f>
        <v>2.2668983802346424E-6</v>
      </c>
      <c r="AX78" s="23">
        <f t="shared" si="60"/>
        <v>2.6757628442105346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165.57839999999987</v>
      </c>
      <c r="BF78" s="14">
        <f t="shared" si="91"/>
        <v>42.098218509199661</v>
      </c>
      <c r="BG78" s="22">
        <f t="shared" si="61"/>
        <v>361.70344390352244</v>
      </c>
      <c r="BH78" s="62">
        <f t="shared" si="62"/>
        <v>655.03677723685576</v>
      </c>
      <c r="BI78" s="62">
        <f ca="1">AVERAGE(OFFSET($BH$3,0,0,'Données projet'!$E$11+1,1))-AVERAGE(OFFSET($H$3,0,0,'Données projet'!$E$11+1,1))</f>
        <v>182.11831308043929</v>
      </c>
      <c r="BJ78" s="62">
        <f t="shared" si="92"/>
        <v>75.532250323368885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-4.5474735088646412E-13</v>
      </c>
      <c r="O79" s="14">
        <f>N79*VLOOKUP('Données projet'!$B$9,Paramètres!$A$1:$I$89,3,0)*VLOOKUP('Données projet'!$B$9,Paramètres!$A$1:$I$89,5,0)</f>
        <v>-2.5420376914553347E-13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320.36162823905426</v>
      </c>
      <c r="T79" s="62">
        <f t="shared" si="88"/>
        <v>284.65760822544792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1.4599931305173475</v>
      </c>
      <c r="AB79" s="23">
        <f>EXP(-LN(2)/2)*AB78+(1-EXP(-LN(2)/2))/(LN(2)/2)*V79*Y79*VLOOKUP('Données projet'!$B$9,Paramètres!$A$1:$I$89,3,0)*0.475*44/12</f>
        <v>2.2689698870167403E-6</v>
      </c>
      <c r="AC79" s="24">
        <f t="shared" si="57"/>
        <v>1.4599953994872346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3.1036506698001178E-14</v>
      </c>
      <c r="AK79" s="14">
        <f t="shared" si="89"/>
        <v>5.3428243983771088E-13</v>
      </c>
      <c r="AL79" s="22">
        <f t="shared" si="58"/>
        <v>9.8459716521636505E-13</v>
      </c>
      <c r="AM79" s="62">
        <f t="shared" si="59"/>
        <v>293.33333333333428</v>
      </c>
      <c r="AN79" s="62">
        <f ca="1">AVERAGE(OFFSET($AM$3,0,0,'Données projet'!$E$10+1,1))-AVERAGE(OFFSET($H$3,0,0,'Données projet'!$E$10+1,1))</f>
        <v>155.13440282866992</v>
      </c>
      <c r="AO79" s="62">
        <f t="shared" si="90"/>
        <v>229.92235675849565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2.6025917636134204</v>
      </c>
      <c r="AW79" s="23">
        <f>EXP(-LN(2)/2)*AW78+(1-EXP(-LN(2)/2))/(LN(2)/2)*AQ79*AT79*VLOOKUP('Données projet'!$B$10,Paramètres!$A$1:$I$89,3,0)*0.475*44/12</f>
        <v>1.6029392169247163E-6</v>
      </c>
      <c r="AX79" s="23">
        <f t="shared" si="60"/>
        <v>2.6025933665526373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157.07327999999984</v>
      </c>
      <c r="BF79" s="14">
        <f t="shared" si="91"/>
        <v>40.181677940049205</v>
      </c>
      <c r="BG79" s="22">
        <f t="shared" si="61"/>
        <v>343.5523850789188</v>
      </c>
      <c r="BH79" s="62">
        <f t="shared" si="62"/>
        <v>636.88571841225212</v>
      </c>
      <c r="BI79" s="62">
        <f ca="1">AVERAGE(OFFSET($BH$3,0,0,'Données projet'!$E$11+1,1))-AVERAGE(OFFSET($H$3,0,0,'Données projet'!$E$11+1,1))</f>
        <v>182.11831308043929</v>
      </c>
      <c r="BJ79" s="62">
        <f t="shared" si="92"/>
        <v>75.532250323368885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-4.5474735088646412E-13</v>
      </c>
      <c r="O80" s="14">
        <f>N80*VLOOKUP('Données projet'!$B$9,Paramètres!$A$1:$I$89,3,0)*VLOOKUP('Données projet'!$B$9,Paramètres!$A$1:$I$89,5,0)</f>
        <v>-2.5420376914553347E-13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320.36162823905426</v>
      </c>
      <c r="T80" s="62">
        <f t="shared" si="88"/>
        <v>284.65760822544792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1.4200695415856488</v>
      </c>
      <c r="AB80" s="23">
        <f>EXP(-LN(2)/2)*AB79+(1-EXP(-LN(2)/2))/(LN(2)/2)*V80*Y80*VLOOKUP('Données projet'!$B$9,Paramètres!$A$1:$I$89,3,0)*0.475*44/12</f>
        <v>1.6044039934176116E-6</v>
      </c>
      <c r="AC80" s="24">
        <f t="shared" si="57"/>
        <v>1.4200711459896422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3.1036506698001178E-14</v>
      </c>
      <c r="AK80" s="14">
        <f t="shared" si="89"/>
        <v>5.3428243983771088E-13</v>
      </c>
      <c r="AL80" s="22">
        <f t="shared" si="58"/>
        <v>9.8459716521636505E-13</v>
      </c>
      <c r="AM80" s="62">
        <f t="shared" si="59"/>
        <v>293.33333333333428</v>
      </c>
      <c r="AN80" s="62">
        <f ca="1">AVERAGE(OFFSET($AM$3,0,0,'Données projet'!$E$10+1,1))-AVERAGE(OFFSET($H$3,0,0,'Données projet'!$E$10+1,1))</f>
        <v>155.13440282866992</v>
      </c>
      <c r="AO80" s="62">
        <f t="shared" si="90"/>
        <v>229.92235675849565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2.5314237549730589</v>
      </c>
      <c r="AW80" s="23">
        <f>EXP(-LN(2)/2)*AW79+(1-EXP(-LN(2)/2))/(LN(2)/2)*AQ80*AT80*VLOOKUP('Données projet'!$B$10,Paramètres!$A$1:$I$89,3,0)*0.475*44/12</f>
        <v>1.1334491901173212E-6</v>
      </c>
      <c r="AX80" s="23">
        <f t="shared" si="60"/>
        <v>2.531424888422249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161.23535999999987</v>
      </c>
      <c r="BF80" s="14">
        <f t="shared" si="91"/>
        <v>41.121029451505379</v>
      </c>
      <c r="BG80" s="22">
        <f t="shared" si="61"/>
        <v>352.43737829470501</v>
      </c>
      <c r="BH80" s="62">
        <f t="shared" si="62"/>
        <v>645.77071162803827</v>
      </c>
      <c r="BI80" s="62">
        <f ca="1">AVERAGE(OFFSET($BH$3,0,0,'Données projet'!$E$11+1,1))-AVERAGE(OFFSET($H$3,0,0,'Données projet'!$E$11+1,1))</f>
        <v>182.11831308043929</v>
      </c>
      <c r="BJ80" s="62">
        <f t="shared" si="92"/>
        <v>75.532250323368885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-4.5474735088646412E-13</v>
      </c>
      <c r="O81" s="14">
        <f>N81*VLOOKUP('Données projet'!$B$9,Paramètres!$A$1:$I$89,3,0)*VLOOKUP('Données projet'!$B$9,Paramètres!$A$1:$I$89,5,0)</f>
        <v>-2.5420376914553347E-13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320.36162823905426</v>
      </c>
      <c r="T81" s="62">
        <f t="shared" si="88"/>
        <v>284.65760822544792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1.3812376652927776</v>
      </c>
      <c r="AB81" s="23">
        <f>EXP(-LN(2)/2)*AB80+(1-EXP(-LN(2)/2))/(LN(2)/2)*V81*Y81*VLOOKUP('Données projet'!$B$9,Paramètres!$A$1:$I$89,3,0)*0.475*44/12</f>
        <v>1.1344849435083701E-6</v>
      </c>
      <c r="AC81" s="24">
        <f t="shared" si="57"/>
        <v>1.3812387997777211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3.1036506698001178E-14</v>
      </c>
      <c r="AK81" s="14">
        <f t="shared" si="89"/>
        <v>5.3428243983771088E-13</v>
      </c>
      <c r="AL81" s="22">
        <f t="shared" si="58"/>
        <v>9.8459716521636505E-13</v>
      </c>
      <c r="AM81" s="62">
        <f t="shared" si="59"/>
        <v>293.33333333333428</v>
      </c>
      <c r="AN81" s="62">
        <f ca="1">AVERAGE(OFFSET($AM$3,0,0,'Données projet'!$E$10+1,1))-AVERAGE(OFFSET($H$3,0,0,'Données projet'!$E$10+1,1))</f>
        <v>155.13440282866992</v>
      </c>
      <c r="AO81" s="62">
        <f t="shared" si="90"/>
        <v>229.92235675849565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2.4622018392715308</v>
      </c>
      <c r="AW81" s="23">
        <f>EXP(-LN(2)/2)*AW80+(1-EXP(-LN(2)/2))/(LN(2)/2)*AQ81*AT81*VLOOKUP('Données projet'!$B$10,Paramètres!$A$1:$I$89,3,0)*0.475*44/12</f>
        <v>8.0146960846235817E-7</v>
      </c>
      <c r="AX81" s="23">
        <f t="shared" si="60"/>
        <v>2.4622026407411393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165.39743999999985</v>
      </c>
      <c r="BF81" s="14">
        <f t="shared" si="91"/>
        <v>42.057562385840768</v>
      </c>
      <c r="BG81" s="22">
        <f t="shared" si="61"/>
        <v>361.31746248867233</v>
      </c>
      <c r="BH81" s="62">
        <f t="shared" si="62"/>
        <v>654.65079582200565</v>
      </c>
      <c r="BI81" s="62">
        <f ca="1">AVERAGE(OFFSET($BH$3,0,0,'Données projet'!$E$11+1,1))-AVERAGE(OFFSET($H$3,0,0,'Données projet'!$E$11+1,1))</f>
        <v>182.11831308043929</v>
      </c>
      <c r="BJ81" s="62">
        <f t="shared" si="92"/>
        <v>75.532250323368885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-4.5474735088646412E-13</v>
      </c>
      <c r="O82" s="14">
        <f>N82*VLOOKUP('Données projet'!$B$9,Paramètres!$A$1:$I$89,3,0)*VLOOKUP('Données projet'!$B$9,Paramètres!$A$1:$I$89,5,0)</f>
        <v>-2.5420376914553347E-13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320.36162823905426</v>
      </c>
      <c r="T82" s="62">
        <f t="shared" si="88"/>
        <v>284.65760822544792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1.3434676486992145</v>
      </c>
      <c r="AB82" s="23">
        <f>EXP(-LN(2)/2)*AB81+(1-EXP(-LN(2)/2))/(LN(2)/2)*V82*Y82*VLOOKUP('Données projet'!$B$9,Paramètres!$A$1:$I$89,3,0)*0.475*44/12</f>
        <v>8.0220199670880581E-7</v>
      </c>
      <c r="AC82" s="24">
        <f t="shared" si="57"/>
        <v>1.3434684509012111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3.1036506698001178E-14</v>
      </c>
      <c r="AK82" s="14">
        <f t="shared" si="89"/>
        <v>5.3428243983771088E-13</v>
      </c>
      <c r="AL82" s="22">
        <f t="shared" si="58"/>
        <v>9.8459716521636505E-13</v>
      </c>
      <c r="AM82" s="62">
        <f t="shared" si="59"/>
        <v>293.33333333333428</v>
      </c>
      <c r="AN82" s="62">
        <f ca="1">AVERAGE(OFFSET($AM$3,0,0,'Données projet'!$E$10+1,1))-AVERAGE(OFFSET($H$3,0,0,'Données projet'!$E$10+1,1))</f>
        <v>155.13440282866992</v>
      </c>
      <c r="AO82" s="62">
        <f t="shared" si="90"/>
        <v>229.92235675849565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2.3948728004950834</v>
      </c>
      <c r="AW82" s="23">
        <f>EXP(-LN(2)/2)*AW81+(1-EXP(-LN(2)/2))/(LN(2)/2)*AQ82*AT82*VLOOKUP('Données projet'!$B$10,Paramètres!$A$1:$I$89,3,0)*0.475*44/12</f>
        <v>5.6672459505866061E-7</v>
      </c>
      <c r="AX82" s="23">
        <f t="shared" si="60"/>
        <v>2.3948733672196787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169.55951999999985</v>
      </c>
      <c r="BF82" s="14">
        <f t="shared" si="91"/>
        <v>42.991355826984922</v>
      </c>
      <c r="BG82" s="22">
        <f t="shared" si="61"/>
        <v>370.19277539866516</v>
      </c>
      <c r="BH82" s="62">
        <f t="shared" si="62"/>
        <v>663.52610873199842</v>
      </c>
      <c r="BI82" s="62">
        <f ca="1">AVERAGE(OFFSET($BH$3,0,0,'Données projet'!$E$11+1,1))-AVERAGE(OFFSET($H$3,0,0,'Données projet'!$E$11+1,1))</f>
        <v>182.11831308043929</v>
      </c>
      <c r="BJ82" s="62">
        <f t="shared" si="92"/>
        <v>75.532250323368885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-4.5474735088646412E-13</v>
      </c>
      <c r="O83" s="14">
        <f>N83*VLOOKUP('Données projet'!$B$9,Paramètres!$A$1:$I$89,3,0)*VLOOKUP('Données projet'!$B$9,Paramètres!$A$1:$I$89,5,0)</f>
        <v>-2.5420376914553347E-13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320.36162823905426</v>
      </c>
      <c r="T83" s="62">
        <f t="shared" si="88"/>
        <v>284.65760822544792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1.3067304551956413</v>
      </c>
      <c r="AB83" s="23">
        <f>EXP(-LN(2)/2)*AB82+(1-EXP(-LN(2)/2))/(LN(2)/2)*V83*Y83*VLOOKUP('Données projet'!$B$9,Paramètres!$A$1:$I$89,3,0)*0.475*44/12</f>
        <v>5.6724247175418507E-7</v>
      </c>
      <c r="AC83" s="24">
        <f t="shared" si="57"/>
        <v>1.306731022438113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3.1036506698001178E-14</v>
      </c>
      <c r="AK83" s="14">
        <f t="shared" si="89"/>
        <v>5.3428243983771088E-13</v>
      </c>
      <c r="AL83" s="22">
        <f t="shared" si="58"/>
        <v>9.8459716521636505E-13</v>
      </c>
      <c r="AM83" s="62">
        <f t="shared" si="59"/>
        <v>293.33333333333428</v>
      </c>
      <c r="AN83" s="62">
        <f ca="1">AVERAGE(OFFSET($AM$3,0,0,'Données projet'!$E$10+1,1))-AVERAGE(OFFSET($H$3,0,0,'Données projet'!$E$10+1,1))</f>
        <v>155.13440282866992</v>
      </c>
      <c r="AO83" s="62">
        <f t="shared" si="90"/>
        <v>229.92235675849565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2.3293848778246584</v>
      </c>
      <c r="AW83" s="23">
        <f>EXP(-LN(2)/2)*AW82+(1-EXP(-LN(2)/2))/(LN(2)/2)*AQ83*AT83*VLOOKUP('Données projet'!$B$10,Paramètres!$A$1:$I$89,3,0)*0.475*44/12</f>
        <v>4.0073480423117909E-7</v>
      </c>
      <c r="AX83" s="23">
        <f t="shared" si="60"/>
        <v>2.3293852785594629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173.72159999999985</v>
      </c>
      <c r="BF83" s="14">
        <f t="shared" si="91"/>
        <v>43.922484755075068</v>
      </c>
      <c r="BG83" s="22">
        <f t="shared" si="61"/>
        <v>379.06344761508876</v>
      </c>
      <c r="BH83" s="62">
        <f t="shared" si="62"/>
        <v>672.39678094842202</v>
      </c>
      <c r="BI83" s="62">
        <f ca="1">AVERAGE(OFFSET($BH$3,0,0,'Données projet'!$E$11+1,1))-AVERAGE(OFFSET($H$3,0,0,'Données projet'!$E$11+1,1))</f>
        <v>182.11831308043929</v>
      </c>
      <c r="BJ83" s="62">
        <f t="shared" si="92"/>
        <v>75.532250323368885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-4.5474735088646412E-13</v>
      </c>
      <c r="O84" s="14">
        <f>N84*VLOOKUP('Données projet'!$B$9,Paramètres!$A$1:$I$89,3,0)*VLOOKUP('Données projet'!$B$9,Paramètres!$A$1:$I$89,5,0)</f>
        <v>-2.5420376914553347E-13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320.36162823905426</v>
      </c>
      <c r="T84" s="62">
        <f t="shared" si="88"/>
        <v>284.65760822544792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1.2709978421803485</v>
      </c>
      <c r="AB84" s="23">
        <f>EXP(-LN(2)/2)*AB83+(1-EXP(-LN(2)/2))/(LN(2)/2)*V84*Y84*VLOOKUP('Données projet'!$B$9,Paramètres!$A$1:$I$89,3,0)*0.475*44/12</f>
        <v>4.0110099835440291E-7</v>
      </c>
      <c r="AC84" s="24">
        <f t="shared" si="57"/>
        <v>1.2709982432813469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3.1036506698001178E-14</v>
      </c>
      <c r="AK84" s="14">
        <f t="shared" si="89"/>
        <v>5.3428243983771088E-13</v>
      </c>
      <c r="AL84" s="22">
        <f t="shared" si="58"/>
        <v>9.8459716521636505E-13</v>
      </c>
      <c r="AM84" s="62">
        <f t="shared" si="59"/>
        <v>293.33333333333428</v>
      </c>
      <c r="AN84" s="62">
        <f ca="1">AVERAGE(OFFSET($AM$3,0,0,'Données projet'!$E$10+1,1))-AVERAGE(OFFSET($H$3,0,0,'Données projet'!$E$10+1,1))</f>
        <v>155.13440282866992</v>
      </c>
      <c r="AO84" s="62">
        <f t="shared" si="90"/>
        <v>229.92235675849565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2.2656877258435162</v>
      </c>
      <c r="AW84" s="23">
        <f>EXP(-LN(2)/2)*AW83+(1-EXP(-LN(2)/2))/(LN(2)/2)*AQ84*AT84*VLOOKUP('Données projet'!$B$10,Paramètres!$A$1:$I$89,3,0)*0.475*44/12</f>
        <v>2.833622975293303E-7</v>
      </c>
      <c r="AX84" s="23">
        <f t="shared" si="60"/>
        <v>2.2656880092058138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165.03551999999985</v>
      </c>
      <c r="BF84" s="14">
        <f t="shared" si="91"/>
        <v>41.976234598846482</v>
      </c>
      <c r="BG84" s="22">
        <f t="shared" si="61"/>
        <v>360.54547259299062</v>
      </c>
      <c r="BH84" s="62">
        <f t="shared" si="62"/>
        <v>653.87880592632393</v>
      </c>
      <c r="BI84" s="62">
        <f ca="1">AVERAGE(OFFSET($BH$3,0,0,'Données projet'!$E$11+1,1))-AVERAGE(OFFSET($H$3,0,0,'Données projet'!$E$11+1,1))</f>
        <v>182.11831308043929</v>
      </c>
      <c r="BJ84" s="62">
        <f t="shared" si="92"/>
        <v>75.532250323368885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-4.5474735088646412E-13</v>
      </c>
      <c r="O85" s="14">
        <f>N85*VLOOKUP('Données projet'!$B$9,Paramètres!$A$1:$I$89,3,0)*VLOOKUP('Données projet'!$B$9,Paramètres!$A$1:$I$89,5,0)</f>
        <v>-2.5420376914553347E-13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320.36162823905426</v>
      </c>
      <c r="T85" s="62">
        <f t="shared" si="88"/>
        <v>284.65760822544792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1.2362423393470552</v>
      </c>
      <c r="AB85" s="23">
        <f>EXP(-LN(2)/2)*AB84+(1-EXP(-LN(2)/2))/(LN(2)/2)*V85*Y85*VLOOKUP('Données projet'!$B$9,Paramètres!$A$1:$I$89,3,0)*0.475*44/12</f>
        <v>2.8362123587709253E-7</v>
      </c>
      <c r="AC85" s="24">
        <f t="shared" si="57"/>
        <v>1.236242622968291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3.1036506698001178E-14</v>
      </c>
      <c r="AK85" s="14">
        <f t="shared" si="89"/>
        <v>5.3428243983771088E-13</v>
      </c>
      <c r="AL85" s="22">
        <f t="shared" si="58"/>
        <v>9.8459716521636505E-13</v>
      </c>
      <c r="AM85" s="62">
        <f t="shared" si="59"/>
        <v>293.33333333333428</v>
      </c>
      <c r="AN85" s="62">
        <f ca="1">AVERAGE(OFFSET($AM$3,0,0,'Données projet'!$E$10+1,1))-AVERAGE(OFFSET($H$3,0,0,'Données projet'!$E$10+1,1))</f>
        <v>155.13440282866992</v>
      </c>
      <c r="AO85" s="62">
        <f t="shared" si="90"/>
        <v>229.92235675849565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2.2037323758329861</v>
      </c>
      <c r="AW85" s="23">
        <f>EXP(-LN(2)/2)*AW84+(1-EXP(-LN(2)/2))/(LN(2)/2)*AQ85*AT85*VLOOKUP('Données projet'!$B$10,Paramètres!$A$1:$I$89,3,0)*0.475*44/12</f>
        <v>2.0036740211558954E-7</v>
      </c>
      <c r="AX85" s="23">
        <f t="shared" si="60"/>
        <v>2.2037325762003883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169.01663999999985</v>
      </c>
      <c r="BF85" s="14">
        <f t="shared" si="91"/>
        <v>42.869709352189631</v>
      </c>
      <c r="BG85" s="22">
        <f t="shared" si="61"/>
        <v>369.03539178839668</v>
      </c>
      <c r="BH85" s="62">
        <f t="shared" si="62"/>
        <v>662.36872512172999</v>
      </c>
      <c r="BI85" s="62">
        <f ca="1">AVERAGE(OFFSET($BH$3,0,0,'Données projet'!$E$11+1,1))-AVERAGE(OFFSET($H$3,0,0,'Données projet'!$E$11+1,1))</f>
        <v>182.11831308043929</v>
      </c>
      <c r="BJ85" s="62">
        <f t="shared" si="92"/>
        <v>75.532250323368885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-4.5474735088646412E-13</v>
      </c>
      <c r="O86" s="14">
        <f>N86*VLOOKUP('Données projet'!$B$9,Paramètres!$A$1:$I$89,3,0)*VLOOKUP('Données projet'!$B$9,Paramètres!$A$1:$I$89,5,0)</f>
        <v>-2.5420376914553347E-13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320.36162823905426</v>
      </c>
      <c r="T86" s="62">
        <f t="shared" si="88"/>
        <v>284.65760822544792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1.2024372275664508</v>
      </c>
      <c r="AB86" s="23">
        <f>EXP(-LN(2)/2)*AB85+(1-EXP(-LN(2)/2))/(LN(2)/2)*V86*Y86*VLOOKUP('Données projet'!$B$9,Paramètres!$A$1:$I$89,3,0)*0.475*44/12</f>
        <v>2.0055049917720145E-7</v>
      </c>
      <c r="AC86" s="24">
        <f t="shared" si="57"/>
        <v>1.2024374281169499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3.1036506698001178E-14</v>
      </c>
      <c r="AK86" s="14">
        <f t="shared" si="89"/>
        <v>5.3428243983771088E-13</v>
      </c>
      <c r="AL86" s="22">
        <f t="shared" si="58"/>
        <v>9.8459716521636505E-13</v>
      </c>
      <c r="AM86" s="62">
        <f t="shared" si="59"/>
        <v>293.33333333333428</v>
      </c>
      <c r="AN86" s="62">
        <f ca="1">AVERAGE(OFFSET($AM$3,0,0,'Données projet'!$E$10+1,1))-AVERAGE(OFFSET($H$3,0,0,'Données projet'!$E$10+1,1))</f>
        <v>155.13440282866992</v>
      </c>
      <c r="AO86" s="62">
        <f t="shared" si="90"/>
        <v>229.92235675849565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2.1434711981265839</v>
      </c>
      <c r="AW86" s="23">
        <f>EXP(-LN(2)/2)*AW85+(1-EXP(-LN(2)/2))/(LN(2)/2)*AQ86*AT86*VLOOKUP('Données projet'!$B$10,Paramètres!$A$1:$I$89,3,0)*0.475*44/12</f>
        <v>1.4168114876466515E-7</v>
      </c>
      <c r="AX86" s="23">
        <f t="shared" si="60"/>
        <v>2.1434713398077325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172.99775999999986</v>
      </c>
      <c r="BF86" s="14">
        <f t="shared" si="91"/>
        <v>43.760737531919567</v>
      </c>
      <c r="BG86" s="22">
        <f t="shared" si="61"/>
        <v>377.52104986809292</v>
      </c>
      <c r="BH86" s="62">
        <f t="shared" si="62"/>
        <v>670.85438320142623</v>
      </c>
      <c r="BI86" s="62">
        <f ca="1">AVERAGE(OFFSET($BH$3,0,0,'Données projet'!$E$11+1,1))-AVERAGE(OFFSET($H$3,0,0,'Données projet'!$E$11+1,1))</f>
        <v>182.11831308043929</v>
      </c>
      <c r="BJ86" s="62">
        <f t="shared" si="92"/>
        <v>75.532250323368885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-4.5474735088646412E-13</v>
      </c>
      <c r="O87" s="14">
        <f>N87*VLOOKUP('Données projet'!$B$9,Paramètres!$A$1:$I$89,3,0)*VLOOKUP('Données projet'!$B$9,Paramètres!$A$1:$I$89,5,0)</f>
        <v>-2.5420376914553347E-13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320.36162823905426</v>
      </c>
      <c r="T87" s="62">
        <f t="shared" si="88"/>
        <v>284.65760822544792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1.1695565183452206</v>
      </c>
      <c r="AB87" s="23">
        <f>EXP(-LN(2)/2)*AB86+(1-EXP(-LN(2)/2))/(LN(2)/2)*V87*Y87*VLOOKUP('Données projet'!$B$9,Paramètres!$A$1:$I$89,3,0)*0.475*44/12</f>
        <v>1.4181061793854627E-7</v>
      </c>
      <c r="AC87" s="24">
        <f t="shared" si="57"/>
        <v>1.1695566601558385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3.1036506698001178E-14</v>
      </c>
      <c r="AK87" s="14">
        <f t="shared" si="89"/>
        <v>5.3428243983771088E-13</v>
      </c>
      <c r="AL87" s="22">
        <f t="shared" si="58"/>
        <v>9.8459716521636505E-13</v>
      </c>
      <c r="AM87" s="62">
        <f t="shared" si="59"/>
        <v>293.33333333333428</v>
      </c>
      <c r="AN87" s="62">
        <f ca="1">AVERAGE(OFFSET($AM$3,0,0,'Données projet'!$E$10+1,1))-AVERAGE(OFFSET($H$3,0,0,'Données projet'!$E$10+1,1))</f>
        <v>155.13440282866992</v>
      </c>
      <c r="AO87" s="62">
        <f t="shared" si="90"/>
        <v>229.92235675849565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2.0848578654935612</v>
      </c>
      <c r="AW87" s="23">
        <f>EXP(-LN(2)/2)*AW86+(1-EXP(-LN(2)/2))/(LN(2)/2)*AQ87*AT87*VLOOKUP('Données projet'!$B$10,Paramètres!$A$1:$I$89,3,0)*0.475*44/12</f>
        <v>1.0018370105779477E-7</v>
      </c>
      <c r="AX87" s="23">
        <f t="shared" si="60"/>
        <v>2.0848579656772621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176.97887999999986</v>
      </c>
      <c r="BF87" s="14">
        <f t="shared" si="91"/>
        <v>44.649381920571734</v>
      </c>
      <c r="BG87" s="22">
        <f t="shared" si="61"/>
        <v>386.0025561783288</v>
      </c>
      <c r="BH87" s="62">
        <f t="shared" si="62"/>
        <v>679.33588951166212</v>
      </c>
      <c r="BI87" s="62">
        <f ca="1">AVERAGE(OFFSET($BH$3,0,0,'Données projet'!$E$11+1,1))-AVERAGE(OFFSET($H$3,0,0,'Données projet'!$E$11+1,1))</f>
        <v>182.11831308043929</v>
      </c>
      <c r="BJ87" s="62">
        <f t="shared" si="92"/>
        <v>75.532250323368885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-4.5474735088646412E-13</v>
      </c>
      <c r="O88" s="14">
        <f>N88*VLOOKUP('Données projet'!$B$9,Paramètres!$A$1:$I$89,3,0)*VLOOKUP('Données projet'!$B$9,Paramètres!$A$1:$I$89,5,0)</f>
        <v>-2.5420376914553347E-13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320.36162823905426</v>
      </c>
      <c r="T88" s="62">
        <f t="shared" si="88"/>
        <v>284.65760822544792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1.1375749338467662</v>
      </c>
      <c r="AB88" s="23">
        <f>EXP(-LN(2)/2)*AB87+(1-EXP(-LN(2)/2))/(LN(2)/2)*V88*Y88*VLOOKUP('Données projet'!$B$9,Paramètres!$A$1:$I$89,3,0)*0.475*44/12</f>
        <v>1.0027524958860073E-7</v>
      </c>
      <c r="AC88" s="24">
        <f t="shared" si="57"/>
        <v>1.1375750341220159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3.1036506698001178E-14</v>
      </c>
      <c r="AK88" s="14">
        <f t="shared" si="89"/>
        <v>5.3428243983771088E-13</v>
      </c>
      <c r="AL88" s="22">
        <f t="shared" si="58"/>
        <v>9.8459716521636505E-13</v>
      </c>
      <c r="AM88" s="62">
        <f t="shared" si="59"/>
        <v>293.33333333333428</v>
      </c>
      <c r="AN88" s="62">
        <f ca="1">AVERAGE(OFFSET($AM$3,0,0,'Données projet'!$E$10+1,1))-AVERAGE(OFFSET($H$3,0,0,'Données projet'!$E$10+1,1))</f>
        <v>155.13440282866992</v>
      </c>
      <c r="AO88" s="62">
        <f t="shared" si="90"/>
        <v>229.92235675849565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2.0278473175237295</v>
      </c>
      <c r="AW88" s="23">
        <f>EXP(-LN(2)/2)*AW87+(1-EXP(-LN(2)/2))/(LN(2)/2)*AQ88*AT88*VLOOKUP('Données projet'!$B$10,Paramètres!$A$1:$I$89,3,0)*0.475*44/12</f>
        <v>7.0840574382332576E-8</v>
      </c>
      <c r="AX88" s="23">
        <f t="shared" si="60"/>
        <v>2.0278473883643038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180.95999999999987</v>
      </c>
      <c r="BF88" s="14">
        <f t="shared" si="91"/>
        <v>45.53570231487172</v>
      </c>
      <c r="BG88" s="22">
        <f t="shared" si="61"/>
        <v>394.48001486506797</v>
      </c>
      <c r="BH88" s="62">
        <f t="shared" si="62"/>
        <v>687.81334819840129</v>
      </c>
      <c r="BI88" s="62">
        <f ca="1">AVERAGE(OFFSET($BH$3,0,0,'Données projet'!$E$11+1,1))-AVERAGE(OFFSET($H$3,0,0,'Données projet'!$E$11+1,1))</f>
        <v>182.11831308043929</v>
      </c>
      <c r="BJ88" s="62">
        <f t="shared" si="92"/>
        <v>75.532250323368885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-4.5474735088646412E-13</v>
      </c>
      <c r="O89" s="14">
        <f>N89*VLOOKUP('Données projet'!$B$9,Paramètres!$A$1:$I$89,3,0)*VLOOKUP('Données projet'!$B$9,Paramètres!$A$1:$I$89,5,0)</f>
        <v>-2.5420376914553347E-13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320.36162823905426</v>
      </c>
      <c r="T89" s="62">
        <f t="shared" si="88"/>
        <v>284.65760822544792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1.1064678874582605</v>
      </c>
      <c r="AB89" s="23">
        <f>EXP(-LN(2)/2)*AB88+(1-EXP(-LN(2)/2))/(LN(2)/2)*V89*Y89*VLOOKUP('Données projet'!$B$9,Paramètres!$A$1:$I$89,3,0)*0.475*44/12</f>
        <v>7.0905308969273133E-8</v>
      </c>
      <c r="AC89" s="24">
        <f t="shared" si="57"/>
        <v>1.1064679583635695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3.1036506698001178E-14</v>
      </c>
      <c r="AK89" s="14">
        <f t="shared" si="89"/>
        <v>5.3428243983771088E-13</v>
      </c>
      <c r="AL89" s="22">
        <f t="shared" si="58"/>
        <v>9.8459716521636505E-13</v>
      </c>
      <c r="AM89" s="62">
        <f t="shared" si="59"/>
        <v>293.33333333333428</v>
      </c>
      <c r="AN89" s="62">
        <f ca="1">AVERAGE(OFFSET($AM$3,0,0,'Données projet'!$E$10+1,1))-AVERAGE(OFFSET($H$3,0,0,'Données projet'!$E$10+1,1))</f>
        <v>155.13440282866992</v>
      </c>
      <c r="AO89" s="62">
        <f t="shared" si="90"/>
        <v>229.92235675849565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1.9723957259861873</v>
      </c>
      <c r="AW89" s="23">
        <f>EXP(-LN(2)/2)*AW88+(1-EXP(-LN(2)/2))/(LN(2)/2)*AQ89*AT89*VLOOKUP('Données projet'!$B$10,Paramètres!$A$1:$I$89,3,0)*0.475*44/12</f>
        <v>5.0091850528897386E-8</v>
      </c>
      <c r="AX89" s="23">
        <f t="shared" si="60"/>
        <v>1.9723957760780377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172.09295999999986</v>
      </c>
      <c r="BF89" s="14">
        <f t="shared" si="91"/>
        <v>43.558442654163606</v>
      </c>
      <c r="BG89" s="22">
        <f t="shared" si="61"/>
        <v>375.59285962266807</v>
      </c>
      <c r="BH89" s="62">
        <f t="shared" si="62"/>
        <v>668.92619295600139</v>
      </c>
      <c r="BI89" s="62">
        <f ca="1">AVERAGE(OFFSET($BH$3,0,0,'Données projet'!$E$11+1,1))-AVERAGE(OFFSET($H$3,0,0,'Données projet'!$E$11+1,1))</f>
        <v>182.11831308043929</v>
      </c>
      <c r="BJ89" s="62">
        <f t="shared" si="92"/>
        <v>75.532250323368885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-4.5474735088646412E-13</v>
      </c>
      <c r="O90" s="14">
        <f>N90*VLOOKUP('Données projet'!$B$9,Paramètres!$A$1:$I$89,3,0)*VLOOKUP('Données projet'!$B$9,Paramètres!$A$1:$I$89,5,0)</f>
        <v>-2.5420376914553347E-13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320.36162823905426</v>
      </c>
      <c r="T90" s="62">
        <f t="shared" si="88"/>
        <v>284.65760822544792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1.076211464889097</v>
      </c>
      <c r="AB90" s="23">
        <f>EXP(-LN(2)/2)*AB89+(1-EXP(-LN(2)/2))/(LN(2)/2)*V90*Y90*VLOOKUP('Données projet'!$B$9,Paramètres!$A$1:$I$89,3,0)*0.475*44/12</f>
        <v>5.0137624794300363E-8</v>
      </c>
      <c r="AC90" s="24">
        <f t="shared" si="57"/>
        <v>1.0762115150267217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3.1036506698001178E-14</v>
      </c>
      <c r="AK90" s="14">
        <f t="shared" si="89"/>
        <v>5.3428243983771088E-13</v>
      </c>
      <c r="AL90" s="22">
        <f t="shared" si="58"/>
        <v>9.8459716521636505E-13</v>
      </c>
      <c r="AM90" s="62">
        <f t="shared" si="59"/>
        <v>293.33333333333428</v>
      </c>
      <c r="AN90" s="62">
        <f ca="1">AVERAGE(OFFSET($AM$3,0,0,'Données projet'!$E$10+1,1))-AVERAGE(OFFSET($H$3,0,0,'Données projet'!$E$10+1,1))</f>
        <v>155.13440282866992</v>
      </c>
      <c r="AO90" s="62">
        <f t="shared" si="90"/>
        <v>229.92235675849565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1.9184604611353118</v>
      </c>
      <c r="AW90" s="23">
        <f>EXP(-LN(2)/2)*AW89+(1-EXP(-LN(2)/2))/(LN(2)/2)*AQ90*AT90*VLOOKUP('Données projet'!$B$10,Paramètres!$A$1:$I$89,3,0)*0.475*44/12</f>
        <v>3.5420287191166288E-8</v>
      </c>
      <c r="AX90" s="23">
        <f t="shared" si="60"/>
        <v>1.9184604965555989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175.89311999999984</v>
      </c>
      <c r="BF90" s="14">
        <f t="shared" si="91"/>
        <v>44.407257302525892</v>
      </c>
      <c r="BG90" s="22">
        <f t="shared" si="61"/>
        <v>383.68982380189891</v>
      </c>
      <c r="BH90" s="62">
        <f t="shared" si="62"/>
        <v>677.02315713523217</v>
      </c>
      <c r="BI90" s="62">
        <f ca="1">AVERAGE(OFFSET($BH$3,0,0,'Données projet'!$E$11+1,1))-AVERAGE(OFFSET($H$3,0,0,'Données projet'!$E$11+1,1))</f>
        <v>182.11831308043929</v>
      </c>
      <c r="BJ90" s="62">
        <f t="shared" si="92"/>
        <v>75.532250323368885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-4.5474735088646412E-13</v>
      </c>
      <c r="O91" s="14">
        <f>N91*VLOOKUP('Données projet'!$B$9,Paramètres!$A$1:$I$89,3,0)*VLOOKUP('Données projet'!$B$9,Paramètres!$A$1:$I$89,5,0)</f>
        <v>-2.5420376914553347E-13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320.36162823905426</v>
      </c>
      <c r="T91" s="62">
        <f t="shared" si="88"/>
        <v>284.65760822544792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1.0467824057862034</v>
      </c>
      <c r="AB91" s="23">
        <f>EXP(-LN(2)/2)*AB90+(1-EXP(-LN(2)/2))/(LN(2)/2)*V91*Y91*VLOOKUP('Données projet'!$B$9,Paramètres!$A$1:$I$89,3,0)*0.475*44/12</f>
        <v>3.5452654484636567E-8</v>
      </c>
      <c r="AC91" s="24">
        <f t="shared" si="57"/>
        <v>1.046782441238858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3.1036506698001178E-14</v>
      </c>
      <c r="AK91" s="14">
        <f t="shared" si="89"/>
        <v>5.3428243983771088E-13</v>
      </c>
      <c r="AL91" s="22">
        <f t="shared" si="58"/>
        <v>9.8459716521636505E-13</v>
      </c>
      <c r="AM91" s="62">
        <f t="shared" si="59"/>
        <v>293.33333333333428</v>
      </c>
      <c r="AN91" s="62">
        <f ca="1">AVERAGE(OFFSET($AM$3,0,0,'Données projet'!$E$10+1,1))-AVERAGE(OFFSET($H$3,0,0,'Données projet'!$E$10+1,1))</f>
        <v>155.13440282866992</v>
      </c>
      <c r="AO91" s="62">
        <f t="shared" si="90"/>
        <v>229.92235675849565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1.8660000589381158</v>
      </c>
      <c r="AW91" s="23">
        <f>EXP(-LN(2)/2)*AW90+(1-EXP(-LN(2)/2))/(LN(2)/2)*AQ91*AT91*VLOOKUP('Données projet'!$B$10,Paramètres!$A$1:$I$89,3,0)*0.475*44/12</f>
        <v>2.5045925264448693E-8</v>
      </c>
      <c r="AX91" s="23">
        <f t="shared" si="60"/>
        <v>1.8660000839840412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179.69327999999985</v>
      </c>
      <c r="BF91" s="14">
        <f t="shared" si="91"/>
        <v>45.253939845742266</v>
      </c>
      <c r="BG91" s="22">
        <f t="shared" si="61"/>
        <v>391.78307456466746</v>
      </c>
      <c r="BH91" s="62">
        <f t="shared" si="62"/>
        <v>685.11640789800072</v>
      </c>
      <c r="BI91" s="62">
        <f ca="1">AVERAGE(OFFSET($BH$3,0,0,'Données projet'!$E$11+1,1))-AVERAGE(OFFSET($H$3,0,0,'Données projet'!$E$11+1,1))</f>
        <v>182.11831308043929</v>
      </c>
      <c r="BJ91" s="62">
        <f t="shared" si="92"/>
        <v>75.532250323368885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-4.5474735088646412E-13</v>
      </c>
      <c r="O92" s="14">
        <f>N92*VLOOKUP('Données projet'!$B$9,Paramètres!$A$1:$I$89,3,0)*VLOOKUP('Données projet'!$B$9,Paramètres!$A$1:$I$89,5,0)</f>
        <v>-2.5420376914553347E-13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320.36162823905426</v>
      </c>
      <c r="T92" s="62">
        <f t="shared" si="88"/>
        <v>284.65760822544792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1.0181580858520853</v>
      </c>
      <c r="AB92" s="23">
        <f>EXP(-LN(2)/2)*AB91+(1-EXP(-LN(2)/2))/(LN(2)/2)*V92*Y92*VLOOKUP('Données projet'!$B$9,Paramètres!$A$1:$I$89,3,0)*0.475*44/12</f>
        <v>2.5068812397150182E-8</v>
      </c>
      <c r="AC92" s="24">
        <f t="shared" si="57"/>
        <v>1.0181581109208977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3.1036506698001178E-14</v>
      </c>
      <c r="AK92" s="14">
        <f t="shared" si="89"/>
        <v>5.3428243983771088E-13</v>
      </c>
      <c r="AL92" s="22">
        <f t="shared" si="58"/>
        <v>9.8459716521636505E-13</v>
      </c>
      <c r="AM92" s="62">
        <f t="shared" si="59"/>
        <v>293.33333333333428</v>
      </c>
      <c r="AN92" s="62">
        <f ca="1">AVERAGE(OFFSET($AM$3,0,0,'Données projet'!$E$10+1,1))-AVERAGE(OFFSET($H$3,0,0,'Données projet'!$E$10+1,1))</f>
        <v>155.13440282866992</v>
      </c>
      <c r="AO92" s="62">
        <f t="shared" si="90"/>
        <v>229.92235675849565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1.8149741891977746</v>
      </c>
      <c r="AW92" s="23">
        <f>EXP(-LN(2)/2)*AW91+(1-EXP(-LN(2)/2))/(LN(2)/2)*AQ92*AT92*VLOOKUP('Données projet'!$B$10,Paramètres!$A$1:$I$89,3,0)*0.475*44/12</f>
        <v>1.7710143595583144E-8</v>
      </c>
      <c r="AX92" s="23">
        <f t="shared" si="60"/>
        <v>1.8149742069079182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183.49343999999982</v>
      </c>
      <c r="BF92" s="14">
        <f t="shared" si="91"/>
        <v>46.098540567769184</v>
      </c>
      <c r="BG92" s="22">
        <f t="shared" si="61"/>
        <v>399.87269948886433</v>
      </c>
      <c r="BH92" s="62">
        <f t="shared" si="62"/>
        <v>693.20603282219759</v>
      </c>
      <c r="BI92" s="62">
        <f ca="1">AVERAGE(OFFSET($BH$3,0,0,'Données projet'!$E$11+1,1))-AVERAGE(OFFSET($H$3,0,0,'Données projet'!$E$11+1,1))</f>
        <v>182.11831308043929</v>
      </c>
      <c r="BJ92" s="62">
        <f t="shared" si="92"/>
        <v>75.532250323368885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-4.5474735088646412E-13</v>
      </c>
      <c r="O93" s="14">
        <f>N93*VLOOKUP('Données projet'!$B$9,Paramètres!$A$1:$I$89,3,0)*VLOOKUP('Données projet'!$B$9,Paramètres!$A$1:$I$89,5,0)</f>
        <v>-2.5420376914553347E-13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320.36162823905426</v>
      </c>
      <c r="T93" s="62">
        <f t="shared" si="88"/>
        <v>284.65760822544792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0.9903164994518534</v>
      </c>
      <c r="AB93" s="23">
        <f>EXP(-LN(2)/2)*AB92+(1-EXP(-LN(2)/2))/(LN(2)/2)*V93*Y93*VLOOKUP('Données projet'!$B$9,Paramètres!$A$1:$I$89,3,0)*0.475*44/12</f>
        <v>1.7726327242318283E-8</v>
      </c>
      <c r="AC93" s="24">
        <f t="shared" si="57"/>
        <v>0.9903165171781807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3.1036506698001178E-14</v>
      </c>
      <c r="AK93" s="14">
        <f t="shared" si="89"/>
        <v>5.3428243983771088E-13</v>
      </c>
      <c r="AL93" s="22">
        <f t="shared" si="58"/>
        <v>9.8459716521636505E-13</v>
      </c>
      <c r="AM93" s="62">
        <f t="shared" si="59"/>
        <v>293.33333333333428</v>
      </c>
      <c r="AN93" s="62">
        <f ca="1">AVERAGE(OFFSET($AM$3,0,0,'Données projet'!$E$10+1,1))-AVERAGE(OFFSET($H$3,0,0,'Données projet'!$E$10+1,1))</f>
        <v>155.13440282866992</v>
      </c>
      <c r="AO93" s="62">
        <f t="shared" si="90"/>
        <v>229.92235675849565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1.765343624548817</v>
      </c>
      <c r="AW93" s="23">
        <f>EXP(-LN(2)/2)*AW92+(1-EXP(-LN(2)/2))/(LN(2)/2)*AQ93*AT93*VLOOKUP('Données projet'!$B$10,Paramètres!$A$1:$I$89,3,0)*0.475*44/12</f>
        <v>1.2522962632224346E-8</v>
      </c>
      <c r="AX93" s="23">
        <f t="shared" si="60"/>
        <v>1.7653436370717797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187.2935999999998</v>
      </c>
      <c r="BF93" s="14">
        <f t="shared" si="91"/>
        <v>46.941107550760378</v>
      </c>
      <c r="BG93" s="22">
        <f t="shared" si="61"/>
        <v>407.95878231757393</v>
      </c>
      <c r="BH93" s="62">
        <f t="shared" si="62"/>
        <v>701.29211565090725</v>
      </c>
      <c r="BI93" s="62">
        <f ca="1">AVERAGE(OFFSET($BH$3,0,0,'Données projet'!$E$11+1,1))-AVERAGE(OFFSET($H$3,0,0,'Données projet'!$E$11+1,1))</f>
        <v>182.11831308043929</v>
      </c>
      <c r="BJ93" s="62">
        <f t="shared" si="92"/>
        <v>75.532250323368885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-4.5474735088646412E-13</v>
      </c>
      <c r="O94" s="14">
        <f>N94*VLOOKUP('Données projet'!$B$9,Paramètres!$A$1:$I$89,3,0)*VLOOKUP('Données projet'!$B$9,Paramètres!$A$1:$I$89,5,0)</f>
        <v>-2.5420376914553347E-13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320.36162823905426</v>
      </c>
      <c r="T94" s="62">
        <f t="shared" si="88"/>
        <v>284.65760822544792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0.96323624269586117</v>
      </c>
      <c r="AB94" s="23">
        <f>EXP(-LN(2)/2)*AB93+(1-EXP(-LN(2)/2))/(LN(2)/2)*V94*Y94*VLOOKUP('Données projet'!$B$9,Paramètres!$A$1:$I$89,3,0)*0.475*44/12</f>
        <v>1.2534406198575091E-8</v>
      </c>
      <c r="AC94" s="24">
        <f t="shared" si="57"/>
        <v>0.96323625523026735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3.1036506698001178E-14</v>
      </c>
      <c r="AK94" s="14">
        <f t="shared" si="89"/>
        <v>5.3428243983771088E-13</v>
      </c>
      <c r="AL94" s="22">
        <f t="shared" si="58"/>
        <v>9.8459716521636505E-13</v>
      </c>
      <c r="AM94" s="62">
        <f t="shared" si="59"/>
        <v>293.33333333333428</v>
      </c>
      <c r="AN94" s="62">
        <f ca="1">AVERAGE(OFFSET($AM$3,0,0,'Données projet'!$E$10+1,1))-AVERAGE(OFFSET($H$3,0,0,'Données projet'!$E$10+1,1))</f>
        <v>155.13440282866992</v>
      </c>
      <c r="AO94" s="62">
        <f t="shared" si="90"/>
        <v>229.92235675849565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1.7170702103001432</v>
      </c>
      <c r="AW94" s="23">
        <f>EXP(-LN(2)/2)*AW93+(1-EXP(-LN(2)/2))/(LN(2)/2)*AQ94*AT94*VLOOKUP('Données projet'!$B$10,Paramètres!$A$1:$I$89,3,0)*0.475*44/12</f>
        <v>8.855071797791572E-9</v>
      </c>
      <c r="AX94" s="23">
        <f t="shared" si="60"/>
        <v>1.717070219155215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178.06463999999983</v>
      </c>
      <c r="BF94" s="14">
        <f t="shared" si="91"/>
        <v>44.891333695477108</v>
      </c>
      <c r="BG94" s="22">
        <f t="shared" si="61"/>
        <v>388.31498751962232</v>
      </c>
      <c r="BH94" s="62">
        <f t="shared" si="62"/>
        <v>681.64832085295564</v>
      </c>
      <c r="BI94" s="62">
        <f ca="1">AVERAGE(OFFSET($BH$3,0,0,'Données projet'!$E$11+1,1))-AVERAGE(OFFSET($H$3,0,0,'Données projet'!$E$11+1,1))</f>
        <v>182.11831308043929</v>
      </c>
      <c r="BJ94" s="62">
        <f t="shared" si="92"/>
        <v>75.532250323368885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-4.5474735088646412E-13</v>
      </c>
      <c r="O95" s="14">
        <f>N95*VLOOKUP('Données projet'!$B$9,Paramètres!$A$1:$I$89,3,0)*VLOOKUP('Données projet'!$B$9,Paramètres!$A$1:$I$89,5,0)</f>
        <v>-2.5420376914553347E-13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320.36162823905426</v>
      </c>
      <c r="T95" s="62">
        <f t="shared" si="88"/>
        <v>284.65760822544792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0.93689649698495037</v>
      </c>
      <c r="AB95" s="23">
        <f>EXP(-LN(2)/2)*AB94+(1-EXP(-LN(2)/2))/(LN(2)/2)*V95*Y95*VLOOKUP('Données projet'!$B$9,Paramètres!$A$1:$I$89,3,0)*0.475*44/12</f>
        <v>8.8631636211591417E-9</v>
      </c>
      <c r="AC95" s="24">
        <f t="shared" si="57"/>
        <v>0.93689650584811401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3.1036506698001178E-14</v>
      </c>
      <c r="AK95" s="14">
        <f t="shared" si="89"/>
        <v>5.3428243983771088E-13</v>
      </c>
      <c r="AL95" s="22">
        <f t="shared" si="58"/>
        <v>9.8459716521636505E-13</v>
      </c>
      <c r="AM95" s="62">
        <f t="shared" si="59"/>
        <v>293.33333333333428</v>
      </c>
      <c r="AN95" s="62">
        <f ca="1">AVERAGE(OFFSET($AM$3,0,0,'Données projet'!$E$10+1,1))-AVERAGE(OFFSET($H$3,0,0,'Données projet'!$E$10+1,1))</f>
        <v>155.13440282866992</v>
      </c>
      <c r="AO95" s="62">
        <f t="shared" si="90"/>
        <v>229.92235675849565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1.6701168351026878</v>
      </c>
      <c r="AW95" s="23">
        <f>EXP(-LN(2)/2)*AW94+(1-EXP(-LN(2)/2))/(LN(2)/2)*AQ95*AT95*VLOOKUP('Données projet'!$B$10,Paramètres!$A$1:$I$89,3,0)*0.475*44/12</f>
        <v>6.2614813161121732E-9</v>
      </c>
      <c r="AX95" s="23">
        <f t="shared" si="60"/>
        <v>1.6701168413641692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181.50287999999983</v>
      </c>
      <c r="BF95" s="14">
        <f t="shared" si="91"/>
        <v>45.656387302784616</v>
      </c>
      <c r="BG95" s="22">
        <f t="shared" si="61"/>
        <v>395.63572388568292</v>
      </c>
      <c r="BH95" s="62">
        <f t="shared" si="62"/>
        <v>688.96905721901624</v>
      </c>
      <c r="BI95" s="62">
        <f ca="1">AVERAGE(OFFSET($BH$3,0,0,'Données projet'!$E$11+1,1))-AVERAGE(OFFSET($H$3,0,0,'Données projet'!$E$11+1,1))</f>
        <v>182.11831308043929</v>
      </c>
      <c r="BJ95" s="62">
        <f t="shared" si="92"/>
        <v>75.532250323368885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-4.5474735088646412E-13</v>
      </c>
      <c r="O96" s="14">
        <f>N96*VLOOKUP('Données projet'!$B$9,Paramètres!$A$1:$I$89,3,0)*VLOOKUP('Données projet'!$B$9,Paramètres!$A$1:$I$89,5,0)</f>
        <v>-2.5420376914553347E-13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320.36162823905426</v>
      </c>
      <c r="T96" s="62">
        <f t="shared" si="88"/>
        <v>284.65760822544792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0.91127701300565145</v>
      </c>
      <c r="AB96" s="23">
        <f>EXP(-LN(2)/2)*AB95+(1-EXP(-LN(2)/2))/(LN(2)/2)*V96*Y96*VLOOKUP('Données projet'!$B$9,Paramètres!$A$1:$I$89,3,0)*0.475*44/12</f>
        <v>6.2672030992875454E-9</v>
      </c>
      <c r="AC96" s="24">
        <f t="shared" si="57"/>
        <v>0.91127701927285454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3.1036506698001178E-14</v>
      </c>
      <c r="AK96" s="14">
        <f t="shared" si="89"/>
        <v>5.3428243983771088E-13</v>
      </c>
      <c r="AL96" s="22">
        <f t="shared" si="58"/>
        <v>9.8459716521636505E-13</v>
      </c>
      <c r="AM96" s="62">
        <f t="shared" si="59"/>
        <v>293.33333333333428</v>
      </c>
      <c r="AN96" s="62">
        <f ca="1">AVERAGE(OFFSET($AM$3,0,0,'Données projet'!$E$10+1,1))-AVERAGE(OFFSET($H$3,0,0,'Données projet'!$E$10+1,1))</f>
        <v>155.13440282866992</v>
      </c>
      <c r="AO96" s="62">
        <f t="shared" si="90"/>
        <v>229.92235675849565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1.6244474024191775</v>
      </c>
      <c r="AW96" s="23">
        <f>EXP(-LN(2)/2)*AW95+(1-EXP(-LN(2)/2))/(LN(2)/2)*AQ96*AT96*VLOOKUP('Données projet'!$B$10,Paramètres!$A$1:$I$89,3,0)*0.475*44/12</f>
        <v>4.427535898895786E-9</v>
      </c>
      <c r="AX96" s="23">
        <f t="shared" si="60"/>
        <v>1.6244474068467134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184.94111999999984</v>
      </c>
      <c r="BF96" s="14">
        <f t="shared" si="91"/>
        <v>46.419755730249435</v>
      </c>
      <c r="BG96" s="22">
        <f t="shared" si="61"/>
        <v>402.95352523018414</v>
      </c>
      <c r="BH96" s="62">
        <f t="shared" si="62"/>
        <v>696.2868585635174</v>
      </c>
      <c r="BI96" s="62">
        <f ca="1">AVERAGE(OFFSET($BH$3,0,0,'Données projet'!$E$11+1,1))-AVERAGE(OFFSET($H$3,0,0,'Données projet'!$E$11+1,1))</f>
        <v>182.11831308043929</v>
      </c>
      <c r="BJ96" s="62">
        <f t="shared" si="92"/>
        <v>75.532250323368885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-4.5474735088646412E-13</v>
      </c>
      <c r="O97" s="14">
        <f>N97*VLOOKUP('Données projet'!$B$9,Paramètres!$A$1:$I$89,3,0)*VLOOKUP('Données projet'!$B$9,Paramètres!$A$1:$I$89,5,0)</f>
        <v>-2.5420376914553347E-13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320.36162823905426</v>
      </c>
      <c r="T97" s="62">
        <f t="shared" si="88"/>
        <v>284.65760822544792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0.88635809516303654</v>
      </c>
      <c r="AB97" s="23">
        <f>EXP(-LN(2)/2)*AB96+(1-EXP(-LN(2)/2))/(LN(2)/2)*V97*Y97*VLOOKUP('Données projet'!$B$9,Paramètres!$A$1:$I$89,3,0)*0.475*44/12</f>
        <v>4.4315818105795708E-9</v>
      </c>
      <c r="AC97" s="24">
        <f t="shared" si="57"/>
        <v>0.88635809959461831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3.1036506698001178E-14</v>
      </c>
      <c r="AK97" s="14">
        <f t="shared" si="89"/>
        <v>5.3428243983771088E-13</v>
      </c>
      <c r="AL97" s="22">
        <f t="shared" si="58"/>
        <v>9.8459716521636505E-13</v>
      </c>
      <c r="AM97" s="62">
        <f t="shared" si="59"/>
        <v>293.33333333333428</v>
      </c>
      <c r="AN97" s="62">
        <f ca="1">AVERAGE(OFFSET($AM$3,0,0,'Données projet'!$E$10+1,1))-AVERAGE(OFFSET($H$3,0,0,'Données projet'!$E$10+1,1))</f>
        <v>155.13440282866992</v>
      </c>
      <c r="AO97" s="62">
        <f t="shared" si="90"/>
        <v>229.92235675849565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1.5800268027740489</v>
      </c>
      <c r="AW97" s="23">
        <f>EXP(-LN(2)/2)*AW96+(1-EXP(-LN(2)/2))/(LN(2)/2)*AQ97*AT97*VLOOKUP('Données projet'!$B$10,Paramètres!$A$1:$I$89,3,0)*0.475*44/12</f>
        <v>3.1307406580560866E-9</v>
      </c>
      <c r="AX97" s="23">
        <f t="shared" si="60"/>
        <v>1.5800268059047895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188.37935999999985</v>
      </c>
      <c r="BF97" s="14">
        <f t="shared" si="91"/>
        <v>47.181473920005871</v>
      </c>
      <c r="BG97" s="22">
        <f t="shared" si="61"/>
        <v>410.26845241067667</v>
      </c>
      <c r="BH97" s="62">
        <f t="shared" si="62"/>
        <v>703.60178574400993</v>
      </c>
      <c r="BI97" s="62">
        <f ca="1">AVERAGE(OFFSET($BH$3,0,0,'Données projet'!$E$11+1,1))-AVERAGE(OFFSET($H$3,0,0,'Données projet'!$E$11+1,1))</f>
        <v>182.11831308043929</v>
      </c>
      <c r="BJ97" s="62">
        <f t="shared" si="92"/>
        <v>75.532250323368885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-4.5474735088646412E-13</v>
      </c>
      <c r="O98" s="14">
        <f>N98*VLOOKUP('Données projet'!$B$9,Paramètres!$A$1:$I$89,3,0)*VLOOKUP('Données projet'!$B$9,Paramètres!$A$1:$I$89,5,0)</f>
        <v>-2.5420376914553347E-13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320.36162823905426</v>
      </c>
      <c r="T98" s="62">
        <f t="shared" si="88"/>
        <v>284.65760822544792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0.86212058643925693</v>
      </c>
      <c r="AB98" s="23">
        <f>EXP(-LN(2)/2)*AB97+(1-EXP(-LN(2)/2))/(LN(2)/2)*V98*Y98*VLOOKUP('Données projet'!$B$9,Paramètres!$A$1:$I$89,3,0)*0.475*44/12</f>
        <v>3.1336015496437727E-9</v>
      </c>
      <c r="AC98" s="24">
        <f t="shared" si="57"/>
        <v>0.86212058957285853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3.1036506698001178E-14</v>
      </c>
      <c r="AK98" s="14">
        <f t="shared" si="89"/>
        <v>5.3428243983771088E-13</v>
      </c>
      <c r="AL98" s="22">
        <f t="shared" si="58"/>
        <v>9.8459716521636505E-13</v>
      </c>
      <c r="AM98" s="62">
        <f t="shared" si="59"/>
        <v>293.33333333333428</v>
      </c>
      <c r="AN98" s="62">
        <f ca="1">AVERAGE(OFFSET($AM$3,0,0,'Données projet'!$E$10+1,1))-AVERAGE(OFFSET($H$3,0,0,'Données projet'!$E$10+1,1))</f>
        <v>155.13440282866992</v>
      </c>
      <c r="AO98" s="62">
        <f t="shared" si="90"/>
        <v>229.92235675849565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1.5368208867621942</v>
      </c>
      <c r="AW98" s="23">
        <f>EXP(-LN(2)/2)*AW97+(1-EXP(-LN(2)/2))/(LN(2)/2)*AQ98*AT98*VLOOKUP('Données projet'!$B$10,Paramètres!$A$1:$I$89,3,0)*0.475*44/12</f>
        <v>2.213767949447893E-9</v>
      </c>
      <c r="AX98" s="23">
        <f t="shared" si="60"/>
        <v>1.5368208889759623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191.81759999999986</v>
      </c>
      <c r="BF98" s="14">
        <f t="shared" si="91"/>
        <v>47.941575465657095</v>
      </c>
      <c r="BG98" s="22">
        <f t="shared" si="61"/>
        <v>417.58056393601919</v>
      </c>
      <c r="BH98" s="62">
        <f t="shared" si="62"/>
        <v>710.91389726935245</v>
      </c>
      <c r="BI98" s="62">
        <f ca="1">AVERAGE(OFFSET($BH$3,0,0,'Données projet'!$E$11+1,1))-AVERAGE(OFFSET($H$3,0,0,'Données projet'!$E$11+1,1))</f>
        <v>182.11831308043929</v>
      </c>
      <c r="BJ98" s="62">
        <f t="shared" si="92"/>
        <v>75.532250323368885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-4.5474735088646412E-13</v>
      </c>
      <c r="O99" s="14">
        <f>N99*VLOOKUP('Données projet'!$B$9,Paramètres!$A$1:$I$89,3,0)*VLOOKUP('Données projet'!$B$9,Paramètres!$A$1:$I$89,5,0)</f>
        <v>-2.5420376914553347E-13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320.36162823905426</v>
      </c>
      <c r="T99" s="62">
        <f t="shared" si="88"/>
        <v>284.65760822544792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0.83854585366612422</v>
      </c>
      <c r="AB99" s="23">
        <f>EXP(-LN(2)/2)*AB98+(1-EXP(-LN(2)/2))/(LN(2)/2)*V99*Y99*VLOOKUP('Données projet'!$B$9,Paramètres!$A$1:$I$89,3,0)*0.475*44/12</f>
        <v>2.2157909052897854E-9</v>
      </c>
      <c r="AC99" s="24">
        <f t="shared" si="57"/>
        <v>0.8385458558819151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3.1036506698001178E-14</v>
      </c>
      <c r="AK99" s="14">
        <f t="shared" si="89"/>
        <v>5.3428243983771088E-13</v>
      </c>
      <c r="AL99" s="22">
        <f t="shared" si="58"/>
        <v>9.8459716521636505E-13</v>
      </c>
      <c r="AM99" s="62">
        <f t="shared" si="59"/>
        <v>293.33333333333428</v>
      </c>
      <c r="AN99" s="62">
        <f ca="1">AVERAGE(OFFSET($AM$3,0,0,'Données projet'!$E$10+1,1))-AVERAGE(OFFSET($H$3,0,0,'Données projet'!$E$10+1,1))</f>
        <v>155.13440282866992</v>
      </c>
      <c r="AO99" s="62">
        <f t="shared" si="90"/>
        <v>229.92235675849565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1.4947964387957839</v>
      </c>
      <c r="AW99" s="23">
        <f>EXP(-LN(2)/2)*AW98+(1-EXP(-LN(2)/2))/(LN(2)/2)*AQ99*AT99*VLOOKUP('Données projet'!$B$10,Paramètres!$A$1:$I$89,3,0)*0.475*44/12</f>
        <v>1.5653703290280433E-9</v>
      </c>
      <c r="AX99" s="23">
        <f t="shared" si="60"/>
        <v>1.4947964403611542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182.40767999999986</v>
      </c>
      <c r="BF99" s="14">
        <f t="shared" si="91"/>
        <v>45.857435663065878</v>
      </c>
      <c r="BG99" s="22">
        <f t="shared" si="61"/>
        <v>397.56174311317278</v>
      </c>
      <c r="BH99" s="62">
        <f t="shared" si="62"/>
        <v>690.8950764465061</v>
      </c>
      <c r="BI99" s="62">
        <f ca="1">AVERAGE(OFFSET($BH$3,0,0,'Données projet'!$E$11+1,1))-AVERAGE(OFFSET($H$3,0,0,'Données projet'!$E$11+1,1))</f>
        <v>182.11831308043929</v>
      </c>
      <c r="BJ99" s="62">
        <f t="shared" si="92"/>
        <v>75.532250323368885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-4.5474735088646412E-13</v>
      </c>
      <c r="O100" s="14">
        <f>N100*VLOOKUP('Données projet'!$B$9,Paramètres!$A$1:$I$89,3,0)*VLOOKUP('Données projet'!$B$9,Paramètres!$A$1:$I$89,5,0)</f>
        <v>-2.5420376914553347E-13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320.36162823905426</v>
      </c>
      <c r="T100" s="62">
        <f t="shared" si="88"/>
        <v>284.65760822544792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0.81561577320041412</v>
      </c>
      <c r="AB100" s="23">
        <f>EXP(-LN(2)/2)*AB99+(1-EXP(-LN(2)/2))/(LN(2)/2)*V100*Y100*VLOOKUP('Données projet'!$B$9,Paramètres!$A$1:$I$89,3,0)*0.475*44/12</f>
        <v>1.5668007748218863E-9</v>
      </c>
      <c r="AC100" s="24">
        <f t="shared" si="57"/>
        <v>0.81561577476721492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3.1036506698001178E-14</v>
      </c>
      <c r="AK100" s="14">
        <f t="shared" si="89"/>
        <v>5.3428243983771088E-13</v>
      </c>
      <c r="AL100" s="22">
        <f t="shared" si="58"/>
        <v>9.8459716521636505E-13</v>
      </c>
      <c r="AM100" s="62">
        <f t="shared" si="59"/>
        <v>293.33333333333428</v>
      </c>
      <c r="AN100" s="62">
        <f ca="1">AVERAGE(OFFSET($AM$3,0,0,'Données projet'!$E$10+1,1))-AVERAGE(OFFSET($H$3,0,0,'Données projet'!$E$10+1,1))</f>
        <v>155.13440282866992</v>
      </c>
      <c r="AO100" s="62">
        <f t="shared" si="90"/>
        <v>229.92235675849565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1.4539211515689849</v>
      </c>
      <c r="AW100" s="23">
        <f>EXP(-LN(2)/2)*AW99+(1-EXP(-LN(2)/2))/(LN(2)/2)*AQ100*AT100*VLOOKUP('Données projet'!$B$10,Paramètres!$A$1:$I$89,3,0)*0.475*44/12</f>
        <v>1.1068839747239465E-9</v>
      </c>
      <c r="AX100" s="23">
        <f t="shared" si="60"/>
        <v>1.4539211526758689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185.66495999999987</v>
      </c>
      <c r="BF100" s="14">
        <f t="shared" si="91"/>
        <v>46.580253447083031</v>
      </c>
      <c r="BG100" s="22">
        <f t="shared" si="61"/>
        <v>404.49374675366943</v>
      </c>
      <c r="BH100" s="62">
        <f t="shared" si="62"/>
        <v>697.82708008700274</v>
      </c>
      <c r="BI100" s="62">
        <f ca="1">AVERAGE(OFFSET($BH$3,0,0,'Données projet'!$E$11+1,1))-AVERAGE(OFFSET($H$3,0,0,'Données projet'!$E$11+1,1))</f>
        <v>182.11831308043929</v>
      </c>
      <c r="BJ100" s="62">
        <f t="shared" si="92"/>
        <v>75.532250323368885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-4.5474735088646412E-13</v>
      </c>
      <c r="O101" s="14">
        <f>N101*VLOOKUP('Données projet'!$B$9,Paramètres!$A$1:$I$89,3,0)*VLOOKUP('Données projet'!$B$9,Paramètres!$A$1:$I$89,5,0)</f>
        <v>-2.5420376914553347E-13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320.36162823905426</v>
      </c>
      <c r="T101" s="62">
        <f t="shared" si="88"/>
        <v>284.65760822544792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0.79331271699087935</v>
      </c>
      <c r="AB101" s="23">
        <f>EXP(-LN(2)/2)*AB100+(1-EXP(-LN(2)/2))/(LN(2)/2)*V101*Y101*VLOOKUP('Données projet'!$B$9,Paramètres!$A$1:$I$89,3,0)*0.475*44/12</f>
        <v>1.1078954526448927E-9</v>
      </c>
      <c r="AC101" s="24">
        <f t="shared" si="57"/>
        <v>0.79331271809877479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3.1036506698001178E-14</v>
      </c>
      <c r="AK101" s="14">
        <f t="shared" si="89"/>
        <v>5.3428243983771088E-13</v>
      </c>
      <c r="AL101" s="22">
        <f t="shared" si="58"/>
        <v>9.8459716521636505E-13</v>
      </c>
      <c r="AM101" s="62">
        <f t="shared" si="59"/>
        <v>293.33333333333428</v>
      </c>
      <c r="AN101" s="62">
        <f ca="1">AVERAGE(OFFSET($AM$3,0,0,'Données projet'!$E$10+1,1))-AVERAGE(OFFSET($H$3,0,0,'Données projet'!$E$10+1,1))</f>
        <v>155.13440282866992</v>
      </c>
      <c r="AO101" s="62">
        <f t="shared" si="90"/>
        <v>229.92235675849565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1.4141636012209406</v>
      </c>
      <c r="AW101" s="23">
        <f>EXP(-LN(2)/2)*AW100+(1-EXP(-LN(2)/2))/(LN(2)/2)*AQ101*AT101*VLOOKUP('Données projet'!$B$10,Paramètres!$A$1:$I$89,3,0)*0.475*44/12</f>
        <v>7.8268516451402165E-10</v>
      </c>
      <c r="AX101" s="23">
        <f t="shared" si="60"/>
        <v>1.4141636020036259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188.92223999999985</v>
      </c>
      <c r="BF101" s="14">
        <f t="shared" si="91"/>
        <v>47.301596587245974</v>
      </c>
      <c r="BG101" s="22">
        <f t="shared" si="61"/>
        <v>411.42318205611974</v>
      </c>
      <c r="BH101" s="62">
        <f t="shared" si="62"/>
        <v>704.75651538945306</v>
      </c>
      <c r="BI101" s="62">
        <f ca="1">AVERAGE(OFFSET($BH$3,0,0,'Données projet'!$E$11+1,1))-AVERAGE(OFFSET($H$3,0,0,'Données projet'!$E$11+1,1))</f>
        <v>182.11831308043929</v>
      </c>
      <c r="BJ101" s="62">
        <f t="shared" si="92"/>
        <v>75.532250323368885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-4.5474735088646412E-13</v>
      </c>
      <c r="O102" s="14">
        <f>N102*VLOOKUP('Données projet'!$B$9,Paramètres!$A$1:$I$89,3,0)*VLOOKUP('Données projet'!$B$9,Paramètres!$A$1:$I$89,5,0)</f>
        <v>-2.5420376914553347E-13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320.36162823905426</v>
      </c>
      <c r="T102" s="62">
        <f t="shared" si="88"/>
        <v>284.65760822544792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0.77161953902626113</v>
      </c>
      <c r="AB102" s="23">
        <f>EXP(-LN(2)/2)*AB101+(1-EXP(-LN(2)/2))/(LN(2)/2)*V102*Y102*VLOOKUP('Données projet'!$B$9,Paramètres!$A$1:$I$89,3,0)*0.475*44/12</f>
        <v>7.8340038741094317E-10</v>
      </c>
      <c r="AC102" s="24">
        <f t="shared" si="57"/>
        <v>0.77161953980966147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3.1036506698001178E-14</v>
      </c>
      <c r="AK102" s="14">
        <f t="shared" si="89"/>
        <v>5.3428243983771088E-13</v>
      </c>
      <c r="AL102" s="22">
        <f t="shared" si="58"/>
        <v>9.8459716521636505E-13</v>
      </c>
      <c r="AM102" s="62">
        <f t="shared" si="59"/>
        <v>293.33333333333428</v>
      </c>
      <c r="AN102" s="62">
        <f ca="1">AVERAGE(OFFSET($AM$3,0,0,'Données projet'!$E$10+1,1))-AVERAGE(OFFSET($H$3,0,0,'Données projet'!$E$10+1,1))</f>
        <v>155.13440282866992</v>
      </c>
      <c r="AO102" s="62">
        <f t="shared" si="90"/>
        <v>229.92235675849565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1.3754932231779224</v>
      </c>
      <c r="AW102" s="23">
        <f>EXP(-LN(2)/2)*AW101+(1-EXP(-LN(2)/2))/(LN(2)/2)*AQ102*AT102*VLOOKUP('Données projet'!$B$10,Paramètres!$A$1:$I$89,3,0)*0.475*44/12</f>
        <v>5.5344198736197325E-10</v>
      </c>
      <c r="AX102" s="23">
        <f t="shared" si="60"/>
        <v>1.3754932237313644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192.17951999999985</v>
      </c>
      <c r="BF102" s="14">
        <f t="shared" si="91"/>
        <v>48.021493442275272</v>
      </c>
      <c r="BG102" s="22">
        <f t="shared" si="61"/>
        <v>418.35009841196251</v>
      </c>
      <c r="BH102" s="62">
        <f t="shared" si="62"/>
        <v>711.68343174529582</v>
      </c>
      <c r="BI102" s="62">
        <f ca="1">AVERAGE(OFFSET($BH$3,0,0,'Données projet'!$E$11+1,1))-AVERAGE(OFFSET($H$3,0,0,'Données projet'!$E$11+1,1))</f>
        <v>182.11831308043929</v>
      </c>
      <c r="BJ102" s="62">
        <f t="shared" si="92"/>
        <v>75.532250323368885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-4.5474735088646412E-13</v>
      </c>
      <c r="O103" s="14">
        <f>N103*VLOOKUP('Données projet'!$B$9,Paramètres!$A$1:$I$89,3,0)*VLOOKUP('Données projet'!$B$9,Paramètres!$A$1:$I$89,5,0)</f>
        <v>-2.5420376914553347E-13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320.36162823905426</v>
      </c>
      <c r="T103" s="62">
        <f t="shared" si="88"/>
        <v>284.65760822544792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0.75051956215388005</v>
      </c>
      <c r="AB103" s="23">
        <f>EXP(-LN(2)/2)*AB102+(1-EXP(-LN(2)/2))/(LN(2)/2)*V103*Y103*VLOOKUP('Données projet'!$B$9,Paramètres!$A$1:$I$89,3,0)*0.475*44/12</f>
        <v>5.5394772632244635E-10</v>
      </c>
      <c r="AC103" s="24">
        <f t="shared" si="57"/>
        <v>0.75051956270782783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3.1036506698001178E-14</v>
      </c>
      <c r="AK103" s="14">
        <f t="shared" si="89"/>
        <v>5.3428243983771088E-13</v>
      </c>
      <c r="AL103" s="22">
        <f t="shared" si="58"/>
        <v>9.8459716521636505E-13</v>
      </c>
      <c r="AM103" s="62">
        <f t="shared" si="59"/>
        <v>293.33333333333428</v>
      </c>
      <c r="AN103" s="62">
        <f ca="1">AVERAGE(OFFSET($AM$3,0,0,'Données projet'!$E$10+1,1))-AVERAGE(OFFSET($H$3,0,0,'Données projet'!$E$10+1,1))</f>
        <v>155.13440282866992</v>
      </c>
      <c r="AO103" s="62">
        <f t="shared" si="90"/>
        <v>229.92235675849565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1.3378802886560772</v>
      </c>
      <c r="AW103" s="23">
        <f>EXP(-LN(2)/2)*AW102+(1-EXP(-LN(2)/2))/(LN(2)/2)*AQ103*AT103*VLOOKUP('Données projet'!$B$10,Paramètres!$A$1:$I$89,3,0)*0.475*44/12</f>
        <v>3.9134258225701083E-10</v>
      </c>
      <c r="AX103" s="23">
        <f t="shared" si="60"/>
        <v>1.3378802890474197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195.43679999999983</v>
      </c>
      <c r="BF103" s="14">
        <f t="shared" si="91"/>
        <v>48.739971354487849</v>
      </c>
      <c r="BG103" s="22">
        <f t="shared" si="61"/>
        <v>425.27454344239936</v>
      </c>
      <c r="BH103" s="62">
        <f t="shared" si="62"/>
        <v>718.60787677573262</v>
      </c>
      <c r="BI103" s="62">
        <f ca="1">AVERAGE(OFFSET($BH$3,0,0,'Données projet'!$E$11+1,1))-AVERAGE(OFFSET($H$3,0,0,'Données projet'!$E$11+1,1))</f>
        <v>182.11831308043929</v>
      </c>
      <c r="BJ103" s="62">
        <f t="shared" si="92"/>
        <v>75.532250323368885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-4.5474735088646412E-13</v>
      </c>
      <c r="O104" s="14">
        <f>N104*VLOOKUP('Données projet'!$B$9,Paramètres!$A$1:$I$89,3,0)*VLOOKUP('Données projet'!$B$9,Paramètres!$A$1:$I$89,5,0)</f>
        <v>-2.5420376914553347E-13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320.36162823905426</v>
      </c>
      <c r="T104" s="62">
        <f t="shared" si="88"/>
        <v>284.65760822544792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0.72999656525867374</v>
      </c>
      <c r="AB104" s="23">
        <f>EXP(-LN(2)/2)*AB103+(1-EXP(-LN(2)/2))/(LN(2)/2)*V104*Y104*VLOOKUP('Données projet'!$B$9,Paramètres!$A$1:$I$89,3,0)*0.475*44/12</f>
        <v>3.9170019370547159E-10</v>
      </c>
      <c r="AC104" s="24">
        <f t="shared" si="57"/>
        <v>0.72999656565037396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3.1036506698001178E-14</v>
      </c>
      <c r="AK104" s="14">
        <f t="shared" si="89"/>
        <v>5.3428243983771088E-13</v>
      </c>
      <c r="AL104" s="22">
        <f t="shared" si="58"/>
        <v>9.8459716521636505E-13</v>
      </c>
      <c r="AM104" s="62">
        <f t="shared" si="59"/>
        <v>293.33333333333428</v>
      </c>
      <c r="AN104" s="62">
        <f ca="1">AVERAGE(OFFSET($AM$3,0,0,'Données projet'!$E$10+1,1))-AVERAGE(OFFSET($H$3,0,0,'Données projet'!$E$10+1,1))</f>
        <v>155.13440282866992</v>
      </c>
      <c r="AO104" s="62">
        <f t="shared" si="90"/>
        <v>229.92235675849565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1.3012958818067102</v>
      </c>
      <c r="AW104" s="23">
        <f>EXP(-LN(2)/2)*AW103+(1-EXP(-LN(2)/2))/(LN(2)/2)*AQ104*AT104*VLOOKUP('Données projet'!$B$10,Paramètres!$A$1:$I$89,3,0)*0.475*44/12</f>
        <v>2.7672099368098662E-10</v>
      </c>
      <c r="AX104" s="23">
        <f t="shared" si="60"/>
        <v>1.3012958820834313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186.75071999999983</v>
      </c>
      <c r="BF104" s="14">
        <f t="shared" si="91"/>
        <v>46.820863587839355</v>
      </c>
      <c r="BG104" s="22">
        <f t="shared" si="61"/>
        <v>406.8038414154866</v>
      </c>
      <c r="BH104" s="62">
        <f t="shared" si="62"/>
        <v>700.13717474881992</v>
      </c>
      <c r="BI104" s="62">
        <f ca="1">AVERAGE(OFFSET($BH$3,0,0,'Données projet'!$E$11+1,1))-AVERAGE(OFFSET($H$3,0,0,'Données projet'!$E$11+1,1))</f>
        <v>182.11831308043929</v>
      </c>
      <c r="BJ104" s="62">
        <f t="shared" si="92"/>
        <v>75.532250323368885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-4.5474735088646412E-13</v>
      </c>
      <c r="O105" s="14">
        <f>N105*VLOOKUP('Données projet'!$B$9,Paramètres!$A$1:$I$89,3,0)*VLOOKUP('Données projet'!$B$9,Paramètres!$A$1:$I$89,5,0)</f>
        <v>-2.5420376914553347E-13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320.36162823905426</v>
      </c>
      <c r="T105" s="62">
        <f t="shared" si="88"/>
        <v>284.65760822544792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0.7100347707928244</v>
      </c>
      <c r="AB105" s="23">
        <f>EXP(-LN(2)/2)*AB104+(1-EXP(-LN(2)/2))/(LN(2)/2)*V105*Y105*VLOOKUP('Données projet'!$B$9,Paramètres!$A$1:$I$89,3,0)*0.475*44/12</f>
        <v>2.7697386316122318E-10</v>
      </c>
      <c r="AC105" s="24">
        <f t="shared" si="57"/>
        <v>0.71003477106979829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3.1036506698001178E-14</v>
      </c>
      <c r="AK105" s="14">
        <f t="shared" si="89"/>
        <v>5.3428243983771088E-13</v>
      </c>
      <c r="AL105" s="22">
        <f t="shared" si="58"/>
        <v>9.8459716521636505E-13</v>
      </c>
      <c r="AM105" s="62">
        <f t="shared" si="59"/>
        <v>293.33333333333428</v>
      </c>
      <c r="AN105" s="62">
        <f ca="1">AVERAGE(OFFSET($AM$3,0,0,'Données projet'!$E$10+1,1))-AVERAGE(OFFSET($H$3,0,0,'Données projet'!$E$10+1,1))</f>
        <v>155.13440282866992</v>
      </c>
      <c r="AO105" s="62">
        <f t="shared" si="90"/>
        <v>229.92235675849565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1.2657118774865295</v>
      </c>
      <c r="AW105" s="23">
        <f>EXP(-LN(2)/2)*AW104+(1-EXP(-LN(2)/2))/(LN(2)/2)*AQ105*AT105*VLOOKUP('Données projet'!$B$10,Paramètres!$A$1:$I$89,3,0)*0.475*44/12</f>
        <v>1.9567129112850541E-10</v>
      </c>
      <c r="AX105" s="23">
        <f t="shared" si="60"/>
        <v>1.2657118776822007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189.82703999999984</v>
      </c>
      <c r="BF105" s="14">
        <f t="shared" si="91"/>
        <v>47.50171182434773</v>
      </c>
      <c r="BG105" s="22">
        <f t="shared" si="61"/>
        <v>413.34757609407194</v>
      </c>
      <c r="BH105" s="62">
        <f t="shared" si="62"/>
        <v>706.68090942740525</v>
      </c>
      <c r="BI105" s="62">
        <f ca="1">AVERAGE(OFFSET($BH$3,0,0,'Données projet'!$E$11+1,1))-AVERAGE(OFFSET($H$3,0,0,'Données projet'!$E$11+1,1))</f>
        <v>182.11831308043929</v>
      </c>
      <c r="BJ105" s="62">
        <f t="shared" si="92"/>
        <v>75.532250323368885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-4.5474735088646412E-13</v>
      </c>
      <c r="O106" s="14">
        <f>N106*VLOOKUP('Données projet'!$B$9,Paramètres!$A$1:$I$89,3,0)*VLOOKUP('Données projet'!$B$9,Paramètres!$A$1:$I$89,5,0)</f>
        <v>-2.5420376914553347E-13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320.36162823905426</v>
      </c>
      <c r="T106" s="62">
        <f t="shared" si="88"/>
        <v>284.65760822544792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0.69061883264638879</v>
      </c>
      <c r="AB106" s="23">
        <f>EXP(-LN(2)/2)*AB105+(1-EXP(-LN(2)/2))/(LN(2)/2)*V106*Y106*VLOOKUP('Données projet'!$B$9,Paramètres!$A$1:$I$89,3,0)*0.475*44/12</f>
        <v>1.9585009685273579E-10</v>
      </c>
      <c r="AC106" s="24">
        <f t="shared" si="57"/>
        <v>0.69061883284223891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3.1036506698001178E-14</v>
      </c>
      <c r="AK106" s="14">
        <f t="shared" si="89"/>
        <v>5.3428243983771088E-13</v>
      </c>
      <c r="AL106" s="22">
        <f t="shared" si="58"/>
        <v>9.8459716521636505E-13</v>
      </c>
      <c r="AM106" s="62">
        <f t="shared" si="59"/>
        <v>293.33333333333428</v>
      </c>
      <c r="AN106" s="62">
        <f ca="1">AVERAGE(OFFSET($AM$3,0,0,'Données projet'!$E$10+1,1))-AVERAGE(OFFSET($H$3,0,0,'Données projet'!$E$10+1,1))</f>
        <v>155.13440282866992</v>
      </c>
      <c r="AO106" s="62">
        <f t="shared" si="90"/>
        <v>229.92235675849565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1.2311009196357654</v>
      </c>
      <c r="AW106" s="23">
        <f>EXP(-LN(2)/2)*AW105+(1-EXP(-LN(2)/2))/(LN(2)/2)*AQ106*AT106*VLOOKUP('Données projet'!$B$10,Paramètres!$A$1:$I$89,3,0)*0.475*44/12</f>
        <v>1.3836049684049331E-10</v>
      </c>
      <c r="AX106" s="23">
        <f t="shared" si="60"/>
        <v>1.2311009197741258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192.90335999999985</v>
      </c>
      <c r="BF106" s="14">
        <f t="shared" si="91"/>
        <v>48.181276881765257</v>
      </c>
      <c r="BG106" s="22">
        <f t="shared" si="61"/>
        <v>419.88907590240751</v>
      </c>
      <c r="BH106" s="62">
        <f t="shared" si="62"/>
        <v>713.22240923574077</v>
      </c>
      <c r="BI106" s="62">
        <f ca="1">AVERAGE(OFFSET($BH$3,0,0,'Données projet'!$E$11+1,1))-AVERAGE(OFFSET($H$3,0,0,'Données projet'!$E$11+1,1))</f>
        <v>182.11831308043929</v>
      </c>
      <c r="BJ106" s="62">
        <f t="shared" si="92"/>
        <v>75.532250323368885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-4.5474735088646412E-13</v>
      </c>
      <c r="O107" s="14">
        <f>N107*VLOOKUP('Données projet'!$B$9,Paramètres!$A$1:$I$89,3,0)*VLOOKUP('Données projet'!$B$9,Paramètres!$A$1:$I$89,5,0)</f>
        <v>-2.5420376914553347E-13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320.36162823905426</v>
      </c>
      <c r="T107" s="62">
        <f t="shared" si="88"/>
        <v>284.65760822544792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0.67173382434960727</v>
      </c>
      <c r="AB107" s="23">
        <f>EXP(-LN(2)/2)*AB106+(1-EXP(-LN(2)/2))/(LN(2)/2)*V107*Y107*VLOOKUP('Données projet'!$B$9,Paramètres!$A$1:$I$89,3,0)*0.475*44/12</f>
        <v>1.3848693158061159E-10</v>
      </c>
      <c r="AC107" s="24">
        <f t="shared" si="57"/>
        <v>0.67173382448809416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3.1036506698001178E-14</v>
      </c>
      <c r="AK107" s="14">
        <f t="shared" si="89"/>
        <v>5.3428243983771088E-13</v>
      </c>
      <c r="AL107" s="22">
        <f t="shared" si="58"/>
        <v>9.8459716521636505E-13</v>
      </c>
      <c r="AM107" s="62">
        <f t="shared" si="59"/>
        <v>293.33333333333428</v>
      </c>
      <c r="AN107" s="62">
        <f ca="1">AVERAGE(OFFSET($AM$3,0,0,'Données projet'!$E$10+1,1))-AVERAGE(OFFSET($H$3,0,0,'Données projet'!$E$10+1,1))</f>
        <v>155.13440282866992</v>
      </c>
      <c r="AO107" s="62">
        <f t="shared" si="90"/>
        <v>229.92235675849565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1.1974364002475417</v>
      </c>
      <c r="AW107" s="23">
        <f>EXP(-LN(2)/2)*AW106+(1-EXP(-LN(2)/2))/(LN(2)/2)*AQ107*AT107*VLOOKUP('Données projet'!$B$10,Paramètres!$A$1:$I$89,3,0)*0.475*44/12</f>
        <v>9.7835645564252707E-11</v>
      </c>
      <c r="AX107" s="23">
        <f t="shared" si="60"/>
        <v>1.1974364003453775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195.97967999999986</v>
      </c>
      <c r="BF107" s="14">
        <f t="shared" si="91"/>
        <v>48.859581586252943</v>
      </c>
      <c r="BG107" s="22">
        <f t="shared" si="61"/>
        <v>426.42838059605697</v>
      </c>
      <c r="BH107" s="62">
        <f t="shared" si="62"/>
        <v>719.76171392939023</v>
      </c>
      <c r="BI107" s="62">
        <f ca="1">AVERAGE(OFFSET($BH$3,0,0,'Données projet'!$E$11+1,1))-AVERAGE(OFFSET($H$3,0,0,'Données projet'!$E$11+1,1))</f>
        <v>182.11831308043929</v>
      </c>
      <c r="BJ107" s="62">
        <f t="shared" si="92"/>
        <v>75.532250323368885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-4.5474735088646412E-13</v>
      </c>
      <c r="O108" s="14">
        <f>N108*VLOOKUP('Données projet'!$B$9,Paramètres!$A$1:$I$89,3,0)*VLOOKUP('Données projet'!$B$9,Paramètres!$A$1:$I$89,5,0)</f>
        <v>-2.5420376914553347E-13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320.36162823905426</v>
      </c>
      <c r="T108" s="62">
        <f t="shared" si="88"/>
        <v>284.65760822544792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0.65336522759782067</v>
      </c>
      <c r="AB108" s="23">
        <f>EXP(-LN(2)/2)*AB107+(1-EXP(-LN(2)/2))/(LN(2)/2)*V108*Y108*VLOOKUP('Données projet'!$B$9,Paramètres!$A$1:$I$89,3,0)*0.475*44/12</f>
        <v>9.7925048426367897E-11</v>
      </c>
      <c r="AC108" s="24">
        <f t="shared" si="57"/>
        <v>0.65336522769574568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3.1036506698001178E-14</v>
      </c>
      <c r="AK108" s="14">
        <f t="shared" si="89"/>
        <v>5.3428243983771088E-13</v>
      </c>
      <c r="AL108" s="22">
        <f t="shared" si="58"/>
        <v>9.8459716521636505E-13</v>
      </c>
      <c r="AM108" s="62">
        <f t="shared" si="59"/>
        <v>293.33333333333428</v>
      </c>
      <c r="AN108" s="62">
        <f ca="1">AVERAGE(OFFSET($AM$3,0,0,'Données projet'!$E$10+1,1))-AVERAGE(OFFSET($H$3,0,0,'Données projet'!$E$10+1,1))</f>
        <v>155.13440282866992</v>
      </c>
      <c r="AO108" s="62">
        <f t="shared" si="90"/>
        <v>229.92235675849565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1.1646924389123292</v>
      </c>
      <c r="AW108" s="23">
        <f>EXP(-LN(2)/2)*AW107+(1-EXP(-LN(2)/2))/(LN(2)/2)*AQ108*AT108*VLOOKUP('Données projet'!$B$10,Paramètres!$A$1:$I$89,3,0)*0.475*44/12</f>
        <v>6.9180248420246656E-11</v>
      </c>
      <c r="AX108" s="23">
        <f t="shared" si="60"/>
        <v>1.1646924389815094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199.05599999999987</v>
      </c>
      <c r="BF108" s="14">
        <f t="shared" si="91"/>
        <v>49.536648006253891</v>
      </c>
      <c r="BG108" s="22">
        <f t="shared" si="61"/>
        <v>432.96552861089191</v>
      </c>
      <c r="BH108" s="62">
        <f t="shared" si="62"/>
        <v>726.29886194422522</v>
      </c>
      <c r="BI108" s="62">
        <f ca="1">AVERAGE(OFFSET($BH$3,0,0,'Données projet'!$E$11+1,1))-AVERAGE(OFFSET($H$3,0,0,'Données projet'!$E$11+1,1))</f>
        <v>182.11831308043929</v>
      </c>
      <c r="BJ108" s="62">
        <f t="shared" si="92"/>
        <v>75.532250323368885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-2.5420376914553347E-13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320.36162823905426</v>
      </c>
      <c r="T109" s="62">
        <f t="shared" si="88"/>
        <v>284.65760822544792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0.63549892109017425</v>
      </c>
      <c r="AB109" s="23">
        <f>EXP(-LN(2)/2)*AB108+(1-EXP(-LN(2)/2))/(LN(2)/2)*V109*Y109*VLOOKUP('Données projet'!$B$9,Paramètres!$A$1:$I$89,3,0)*0.475*44/12</f>
        <v>6.9243465790305794E-11</v>
      </c>
      <c r="AC109" s="24">
        <f t="shared" si="57"/>
        <v>0.63549892115941775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3.1036506698001178E-14</v>
      </c>
      <c r="AK109" s="14">
        <f t="shared" si="89"/>
        <v>5.3428243983771088E-13</v>
      </c>
      <c r="AL109" s="22">
        <f t="shared" si="58"/>
        <v>9.8459716521636505E-13</v>
      </c>
      <c r="AM109" s="62">
        <f t="shared" si="59"/>
        <v>293.33333333333428</v>
      </c>
      <c r="AN109" s="62">
        <f ca="1">AVERAGE(OFFSET($AM$3,0,0,'Données projet'!$E$10+1,1))-AVERAGE(OFFSET($H$3,0,0,'Données projet'!$E$10+1,1))</f>
        <v>155.13440282866992</v>
      </c>
      <c r="AO109" s="62">
        <f t="shared" si="90"/>
        <v>229.92235675849565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1.1328438629217581</v>
      </c>
      <c r="AW109" s="23">
        <f>EXP(-LN(2)/2)*AW108+(1-EXP(-LN(2)/2))/(LN(2)/2)*AQ109*AT109*VLOOKUP('Données projet'!$B$10,Paramètres!$A$1:$I$89,3,0)*0.475*44/12</f>
        <v>4.8917822782126353E-11</v>
      </c>
      <c r="AX109" s="23">
        <f t="shared" si="60"/>
        <v>1.1328438629706759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190.00799999999987</v>
      </c>
      <c r="BF109" s="14">
        <f t="shared" si="91"/>
        <v>47.541721533308163</v>
      </c>
      <c r="BG109" s="22">
        <f t="shared" si="61"/>
        <v>413.73243167051146</v>
      </c>
      <c r="BH109" s="62">
        <f t="shared" si="62"/>
        <v>707.06576500384472</v>
      </c>
      <c r="BI109" s="62">
        <f ca="1">AVERAGE(OFFSET($BH$3,0,0,'Données projet'!$E$11+1,1))-AVERAGE(OFFSET($H$3,0,0,'Données projet'!$E$11+1,1))</f>
        <v>182.11831308043929</v>
      </c>
      <c r="BJ109" s="62">
        <f t="shared" si="92"/>
        <v>75.532250323368885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-2.5420376914553347E-13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320.36162823905426</v>
      </c>
      <c r="T110" s="62">
        <f t="shared" si="88"/>
        <v>284.65760822544792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0.61812116967352759</v>
      </c>
      <c r="AB110" s="23">
        <f>EXP(-LN(2)/2)*AB109+(1-EXP(-LN(2)/2))/(LN(2)/2)*V110*Y110*VLOOKUP('Données projet'!$B$9,Paramètres!$A$1:$I$89,3,0)*0.475*44/12</f>
        <v>4.8962524213183948E-11</v>
      </c>
      <c r="AC110" s="24">
        <f t="shared" si="57"/>
        <v>0.61812116972249009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3.1036506698001178E-14</v>
      </c>
      <c r="AK110" s="14">
        <f t="shared" si="89"/>
        <v>5.3428243983771088E-13</v>
      </c>
      <c r="AL110" s="22">
        <f t="shared" si="58"/>
        <v>9.8459716521636505E-13</v>
      </c>
      <c r="AM110" s="62">
        <f t="shared" si="59"/>
        <v>293.33333333333428</v>
      </c>
      <c r="AN110" s="62">
        <f ca="1">AVERAGE(OFFSET($AM$3,0,0,'Données projet'!$E$10+1,1))-AVERAGE(OFFSET($H$3,0,0,'Données projet'!$E$10+1,1))</f>
        <v>155.13440282866992</v>
      </c>
      <c r="AO110" s="62">
        <f t="shared" si="90"/>
        <v>229.92235675849565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1.101866187916493</v>
      </c>
      <c r="AW110" s="23">
        <f>EXP(-LN(2)/2)*AW109+(1-EXP(-LN(2)/2))/(LN(2)/2)*AQ110*AT110*VLOOKUP('Données projet'!$B$10,Paramètres!$A$1:$I$89,3,0)*0.475*44/12</f>
        <v>3.4590124210123328E-11</v>
      </c>
      <c r="AX110" s="23">
        <f t="shared" si="60"/>
        <v>1.1018661879510832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192.72239999999985</v>
      </c>
      <c r="BF110" s="14">
        <f t="shared" si="91"/>
        <v>48.141337574630832</v>
      </c>
      <c r="BG110" s="22">
        <f t="shared" si="61"/>
        <v>419.50434294248174</v>
      </c>
      <c r="BH110" s="62">
        <f t="shared" si="62"/>
        <v>712.83767627581506</v>
      </c>
      <c r="BI110" s="62">
        <f ca="1">AVERAGE(OFFSET($BH$3,0,0,'Données projet'!$E$11+1,1))-AVERAGE(OFFSET($H$3,0,0,'Données projet'!$E$11+1,1))</f>
        <v>182.11831308043929</v>
      </c>
      <c r="BJ110" s="62">
        <f t="shared" si="92"/>
        <v>75.532250323368885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-2.5420376914553347E-13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320.36162823905426</v>
      </c>
      <c r="T111" s="62">
        <f t="shared" si="88"/>
        <v>284.65760822544792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0.60121861378322539</v>
      </c>
      <c r="AB111" s="23">
        <f>EXP(-LN(2)/2)*AB110+(1-EXP(-LN(2)/2))/(LN(2)/2)*V111*Y111*VLOOKUP('Données projet'!$B$9,Paramètres!$A$1:$I$89,3,0)*0.475*44/12</f>
        <v>3.4621732895152897E-11</v>
      </c>
      <c r="AC111" s="24">
        <f t="shared" si="57"/>
        <v>0.60121861381784714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3.1036506698001178E-14</v>
      </c>
      <c r="AK111" s="14">
        <f t="shared" si="89"/>
        <v>5.3428243983771088E-13</v>
      </c>
      <c r="AL111" s="22">
        <f t="shared" si="58"/>
        <v>9.8459716521636505E-13</v>
      </c>
      <c r="AM111" s="62">
        <f t="shared" si="59"/>
        <v>293.33333333333428</v>
      </c>
      <c r="AN111" s="62">
        <f ca="1">AVERAGE(OFFSET($AM$3,0,0,'Données projet'!$E$10+1,1))-AVERAGE(OFFSET($H$3,0,0,'Données projet'!$E$10+1,1))</f>
        <v>155.13440282866992</v>
      </c>
      <c r="AO111" s="62">
        <f t="shared" si="90"/>
        <v>229.92235675849565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1.071735599063292</v>
      </c>
      <c r="AW111" s="23">
        <f>EXP(-LN(2)/2)*AW110+(1-EXP(-LN(2)/2))/(LN(2)/2)*AQ111*AT111*VLOOKUP('Données projet'!$B$10,Paramètres!$A$1:$I$89,3,0)*0.475*44/12</f>
        <v>2.4458911391063177E-11</v>
      </c>
      <c r="AX111" s="23">
        <f t="shared" si="60"/>
        <v>1.0717355990877508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195.43679999999986</v>
      </c>
      <c r="BF111" s="14">
        <f t="shared" si="91"/>
        <v>48.739971354487849</v>
      </c>
      <c r="BG111" s="22">
        <f t="shared" si="61"/>
        <v>425.27454344239936</v>
      </c>
      <c r="BH111" s="62">
        <f t="shared" si="62"/>
        <v>718.60787677573262</v>
      </c>
      <c r="BI111" s="62">
        <f ca="1">AVERAGE(OFFSET($BH$3,0,0,'Données projet'!$E$11+1,1))-AVERAGE(OFFSET($H$3,0,0,'Données projet'!$E$11+1,1))</f>
        <v>182.11831308043929</v>
      </c>
      <c r="BJ111" s="62">
        <f t="shared" si="92"/>
        <v>75.532250323368885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-2.5420376914553347E-13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320.36162823905426</v>
      </c>
      <c r="T112" s="62">
        <f t="shared" si="88"/>
        <v>284.65760822544792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0.58477825917261028</v>
      </c>
      <c r="AB112" s="23">
        <f>EXP(-LN(2)/2)*AB111+(1-EXP(-LN(2)/2))/(LN(2)/2)*V112*Y112*VLOOKUP('Données projet'!$B$9,Paramètres!$A$1:$I$89,3,0)*0.475*44/12</f>
        <v>2.4481262106591974E-11</v>
      </c>
      <c r="AC112" s="24">
        <f t="shared" si="57"/>
        <v>0.58477825919709159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3.1036506698001178E-14</v>
      </c>
      <c r="AK112" s="14">
        <f t="shared" si="89"/>
        <v>5.3428243983771088E-13</v>
      </c>
      <c r="AL112" s="22">
        <f t="shared" si="58"/>
        <v>9.8459716521636505E-13</v>
      </c>
      <c r="AM112" s="62">
        <f t="shared" si="59"/>
        <v>293.33333333333428</v>
      </c>
      <c r="AN112" s="62">
        <f ca="1">AVERAGE(OFFSET($AM$3,0,0,'Données projet'!$E$10+1,1))-AVERAGE(OFFSET($H$3,0,0,'Données projet'!$E$10+1,1))</f>
        <v>155.13440282866992</v>
      </c>
      <c r="AO112" s="62">
        <f t="shared" si="90"/>
        <v>229.92235675849565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1.0424289327467806</v>
      </c>
      <c r="AW112" s="23">
        <f>EXP(-LN(2)/2)*AW111+(1-EXP(-LN(2)/2))/(LN(2)/2)*AQ112*AT112*VLOOKUP('Données projet'!$B$10,Paramètres!$A$1:$I$89,3,0)*0.475*44/12</f>
        <v>1.7295062105061664E-11</v>
      </c>
      <c r="AX112" s="23">
        <f t="shared" si="60"/>
        <v>1.0424289327640757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198.15119999999987</v>
      </c>
      <c r="BF112" s="14">
        <f t="shared" si="91"/>
        <v>49.337638092068914</v>
      </c>
      <c r="BG112" s="22">
        <f t="shared" si="61"/>
        <v>431.04305967701976</v>
      </c>
      <c r="BH112" s="62">
        <f t="shared" si="62"/>
        <v>724.37639301035301</v>
      </c>
      <c r="BI112" s="62">
        <f ca="1">AVERAGE(OFFSET($BH$3,0,0,'Données projet'!$E$11+1,1))-AVERAGE(OFFSET($H$3,0,0,'Données projet'!$E$11+1,1))</f>
        <v>182.11831308043929</v>
      </c>
      <c r="BJ112" s="62">
        <f t="shared" si="92"/>
        <v>75.532250323368885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-2.5420376914553347E-13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320.36162823905426</v>
      </c>
      <c r="T113" s="62">
        <f t="shared" si="88"/>
        <v>284.65760822544792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0.56878746692338311</v>
      </c>
      <c r="AB113" s="23">
        <f>EXP(-LN(2)/2)*AB112+(1-EXP(-LN(2)/2))/(LN(2)/2)*V113*Y113*VLOOKUP('Données projet'!$B$9,Paramètres!$A$1:$I$89,3,0)*0.475*44/12</f>
        <v>1.7310866447576449E-11</v>
      </c>
      <c r="AC113" s="24">
        <f t="shared" si="57"/>
        <v>0.56878746694069393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3.1036506698001178E-14</v>
      </c>
      <c r="AK113" s="14">
        <f t="shared" si="89"/>
        <v>5.3428243983771088E-13</v>
      </c>
      <c r="AL113" s="22">
        <f t="shared" si="58"/>
        <v>9.8459716521636505E-13</v>
      </c>
      <c r="AM113" s="62">
        <f t="shared" si="59"/>
        <v>293.33333333333428</v>
      </c>
      <c r="AN113" s="62">
        <f ca="1">AVERAGE(OFFSET($AM$3,0,0,'Données projet'!$E$10+1,1))-AVERAGE(OFFSET($H$3,0,0,'Données projet'!$E$10+1,1))</f>
        <v>155.13440282866992</v>
      </c>
      <c r="AO113" s="62">
        <f t="shared" si="90"/>
        <v>229.92235675849565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1.0139236587618647</v>
      </c>
      <c r="AW113" s="23">
        <f>EXP(-LN(2)/2)*AW112+(1-EXP(-LN(2)/2))/(LN(2)/2)*AQ113*AT113*VLOOKUP('Données projet'!$B$10,Paramètres!$A$1:$I$89,3,0)*0.475*44/12</f>
        <v>1.2229455695531588E-11</v>
      </c>
      <c r="AX113" s="23">
        <f t="shared" si="60"/>
        <v>1.0139236587740943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200.86559999999986</v>
      </c>
      <c r="BF113" s="14">
        <f t="shared" si="91"/>
        <v>49.934352565642911</v>
      </c>
      <c r="BG113" s="22">
        <f t="shared" si="61"/>
        <v>436.8099173851611</v>
      </c>
      <c r="BH113" s="62">
        <f t="shared" si="62"/>
        <v>730.14325071849441</v>
      </c>
      <c r="BI113" s="62">
        <f ca="1">AVERAGE(OFFSET($BH$3,0,0,'Données projet'!$E$11+1,1))-AVERAGE(OFFSET($H$3,0,0,'Données projet'!$E$11+1,1))</f>
        <v>182.11831308043929</v>
      </c>
      <c r="BJ113" s="62">
        <f t="shared" si="92"/>
        <v>75.532250323368885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-2.5420376914553347E-13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320.36162823905426</v>
      </c>
      <c r="T114" s="62">
        <f t="shared" si="88"/>
        <v>284.65760822544792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0.55323394372913026</v>
      </c>
      <c r="AB114" s="23">
        <f>EXP(-LN(2)/2)*AB113+(1-EXP(-LN(2)/2))/(LN(2)/2)*V114*Y114*VLOOKUP('Données projet'!$B$9,Paramètres!$A$1:$I$89,3,0)*0.475*44/12</f>
        <v>1.2240631053295987E-11</v>
      </c>
      <c r="AC114" s="24">
        <f t="shared" si="57"/>
        <v>0.55323394374137091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3.1036506698001178E-14</v>
      </c>
      <c r="AK114" s="14">
        <f t="shared" si="89"/>
        <v>5.3428243983771088E-13</v>
      </c>
      <c r="AL114" s="22">
        <f t="shared" si="58"/>
        <v>9.8459716521636505E-13</v>
      </c>
      <c r="AM114" s="62">
        <f t="shared" si="59"/>
        <v>293.33333333333428</v>
      </c>
      <c r="AN114" s="62">
        <f ca="1">AVERAGE(OFFSET($AM$3,0,0,'Données projet'!$E$10+1,1))-AVERAGE(OFFSET($H$3,0,0,'Données projet'!$E$10+1,1))</f>
        <v>155.13440282866992</v>
      </c>
      <c r="AO114" s="62">
        <f t="shared" si="90"/>
        <v>229.92235675849565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0.98619786299309364</v>
      </c>
      <c r="AW114" s="23">
        <f>EXP(-LN(2)/2)*AW113+(1-EXP(-LN(2)/2))/(LN(2)/2)*AQ114*AT114*VLOOKUP('Données projet'!$B$10,Paramètres!$A$1:$I$89,3,0)*0.475*44/12</f>
        <v>8.647531052530832E-12</v>
      </c>
      <c r="AX114" s="23">
        <f t="shared" si="60"/>
        <v>0.98619786300174117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191.63663999999986</v>
      </c>
      <c r="BF114" s="14">
        <f t="shared" si="91"/>
        <v>47.901609897009187</v>
      </c>
      <c r="BG114" s="22">
        <f t="shared" si="61"/>
        <v>417.19578523729075</v>
      </c>
      <c r="BH114" s="62">
        <f t="shared" si="62"/>
        <v>710.52911857062406</v>
      </c>
      <c r="BI114" s="62">
        <f ca="1">AVERAGE(OFFSET($BH$3,0,0,'Données projet'!$E$11+1,1))-AVERAGE(OFFSET($H$3,0,0,'Données projet'!$E$11+1,1))</f>
        <v>182.11831308043929</v>
      </c>
      <c r="BJ114" s="62">
        <f t="shared" si="92"/>
        <v>75.532250323368885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-2.5420376914553347E-13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320.36162823905426</v>
      </c>
      <c r="T115" s="62">
        <f t="shared" si="88"/>
        <v>284.65760822544792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0.53810573244454851</v>
      </c>
      <c r="AB115" s="23">
        <f>EXP(-LN(2)/2)*AB114+(1-EXP(-LN(2)/2))/(LN(2)/2)*V115*Y115*VLOOKUP('Données projet'!$B$9,Paramètres!$A$1:$I$89,3,0)*0.475*44/12</f>
        <v>8.6554332237882243E-12</v>
      </c>
      <c r="AC115" s="24">
        <f t="shared" si="57"/>
        <v>0.53810573245320392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3.1036506698001178E-14</v>
      </c>
      <c r="AK115" s="14">
        <f t="shared" si="89"/>
        <v>5.3428243983771088E-13</v>
      </c>
      <c r="AL115" s="22">
        <f t="shared" si="58"/>
        <v>9.8459716521636505E-13</v>
      </c>
      <c r="AM115" s="62">
        <f t="shared" si="59"/>
        <v>293.33333333333428</v>
      </c>
      <c r="AN115" s="62">
        <f ca="1">AVERAGE(OFFSET($AM$3,0,0,'Données projet'!$E$10+1,1))-AVERAGE(OFFSET($H$3,0,0,'Données projet'!$E$10+1,1))</f>
        <v>155.13440282866992</v>
      </c>
      <c r="AO115" s="62">
        <f t="shared" si="90"/>
        <v>229.92235675849565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0.95923023056765588</v>
      </c>
      <c r="AW115" s="23">
        <f>EXP(-LN(2)/2)*AW114+(1-EXP(-LN(2)/2))/(LN(2)/2)*AQ115*AT115*VLOOKUP('Données projet'!$B$10,Paramètres!$A$1:$I$89,3,0)*0.475*44/12</f>
        <v>6.1147278477657942E-12</v>
      </c>
      <c r="AX115" s="23">
        <f t="shared" si="60"/>
        <v>0.95923023057377066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194.17007999999987</v>
      </c>
      <c r="BF115" s="14">
        <f t="shared" si="91"/>
        <v>48.460730182351035</v>
      </c>
      <c r="BG115" s="22">
        <f t="shared" si="61"/>
        <v>422.58199440092784</v>
      </c>
      <c r="BH115" s="62">
        <f t="shared" si="62"/>
        <v>715.91532773426115</v>
      </c>
      <c r="BI115" s="62">
        <f ca="1">AVERAGE(OFFSET($BH$3,0,0,'Données projet'!$E$11+1,1))-AVERAGE(OFFSET($H$3,0,0,'Données projet'!$E$11+1,1))</f>
        <v>182.11831308043929</v>
      </c>
      <c r="BJ115" s="62">
        <f t="shared" si="92"/>
        <v>75.532250323368885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-2.5420376914553347E-13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320.36162823905426</v>
      </c>
      <c r="T116" s="62">
        <f t="shared" si="88"/>
        <v>284.65760822544792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0.5233912028931017</v>
      </c>
      <c r="AB116" s="23">
        <f>EXP(-LN(2)/2)*AB115+(1-EXP(-LN(2)/2))/(LN(2)/2)*V116*Y116*VLOOKUP('Données projet'!$B$9,Paramètres!$A$1:$I$89,3,0)*0.475*44/12</f>
        <v>6.1203155266479935E-12</v>
      </c>
      <c r="AC116" s="24">
        <f t="shared" si="57"/>
        <v>0.52339120289922203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3.1036506698001178E-14</v>
      </c>
      <c r="AK116" s="14">
        <f t="shared" si="89"/>
        <v>5.3428243983771088E-13</v>
      </c>
      <c r="AL116" s="22">
        <f t="shared" si="58"/>
        <v>9.8459716521636505E-13</v>
      </c>
      <c r="AM116" s="62">
        <f t="shared" si="59"/>
        <v>293.33333333333428</v>
      </c>
      <c r="AN116" s="62">
        <f ca="1">AVERAGE(OFFSET($AM$3,0,0,'Données projet'!$E$10+1,1))-AVERAGE(OFFSET($H$3,0,0,'Données projet'!$E$10+1,1))</f>
        <v>155.13440282866992</v>
      </c>
      <c r="AO116" s="62">
        <f t="shared" si="90"/>
        <v>229.92235675849565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0.93300002946905791</v>
      </c>
      <c r="AW116" s="23">
        <f>EXP(-LN(2)/2)*AW115+(1-EXP(-LN(2)/2))/(LN(2)/2)*AQ116*AT116*VLOOKUP('Données projet'!$B$10,Paramètres!$A$1:$I$89,3,0)*0.475*44/12</f>
        <v>4.323765526265416E-12</v>
      </c>
      <c r="AX116" s="23">
        <f t="shared" si="60"/>
        <v>0.93300002947338168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196.70351999999988</v>
      </c>
      <c r="BF116" s="14">
        <f t="shared" si="91"/>
        <v>49.019001932564066</v>
      </c>
      <c r="BG116" s="22">
        <f t="shared" si="61"/>
        <v>427.96672569921549</v>
      </c>
      <c r="BH116" s="62">
        <f t="shared" si="62"/>
        <v>721.3000590325488</v>
      </c>
      <c r="BI116" s="62">
        <f ca="1">AVERAGE(OFFSET($BH$3,0,0,'Données projet'!$E$11+1,1))-AVERAGE(OFFSET($H$3,0,0,'Données projet'!$E$11+1,1))</f>
        <v>182.11831308043929</v>
      </c>
      <c r="BJ116" s="62">
        <f t="shared" si="92"/>
        <v>75.532250323368885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-2.5420376914553347E-13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320.36162823905426</v>
      </c>
      <c r="T117" s="62">
        <f t="shared" si="88"/>
        <v>284.65760822544792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0.50907904292604267</v>
      </c>
      <c r="AB117" s="23">
        <f>EXP(-LN(2)/2)*AB116+(1-EXP(-LN(2)/2))/(LN(2)/2)*V117*Y117*VLOOKUP('Données projet'!$B$9,Paramètres!$A$1:$I$89,3,0)*0.475*44/12</f>
        <v>4.3277166118941121E-12</v>
      </c>
      <c r="AC117" s="24">
        <f t="shared" si="57"/>
        <v>0.50907904293037043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3.1036506698001178E-14</v>
      </c>
      <c r="AK117" s="14">
        <f t="shared" si="89"/>
        <v>5.3428243983771088E-13</v>
      </c>
      <c r="AL117" s="22">
        <f t="shared" si="58"/>
        <v>9.8459716521636505E-13</v>
      </c>
      <c r="AM117" s="62">
        <f t="shared" si="59"/>
        <v>293.33333333333428</v>
      </c>
      <c r="AN117" s="62">
        <f ca="1">AVERAGE(OFFSET($AM$3,0,0,'Données projet'!$E$10+1,1))-AVERAGE(OFFSET($H$3,0,0,'Données projet'!$E$10+1,1))</f>
        <v>155.13440282866992</v>
      </c>
      <c r="AO117" s="62">
        <f t="shared" si="90"/>
        <v>229.92235675849565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0.90748709459888732</v>
      </c>
      <c r="AW117" s="23">
        <f>EXP(-LN(2)/2)*AW116+(1-EXP(-LN(2)/2))/(LN(2)/2)*AQ117*AT117*VLOOKUP('Données projet'!$B$10,Paramètres!$A$1:$I$89,3,0)*0.475*44/12</f>
        <v>3.0573639238828971E-12</v>
      </c>
      <c r="AX117" s="23">
        <f t="shared" si="60"/>
        <v>0.90748709460194465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199.2369599999999</v>
      </c>
      <c r="BF117" s="14">
        <f t="shared" si="91"/>
        <v>49.576437339980899</v>
      </c>
      <c r="BG117" s="22">
        <f t="shared" si="61"/>
        <v>433.35000036713313</v>
      </c>
      <c r="BH117" s="62">
        <f t="shared" si="62"/>
        <v>726.68333370046639</v>
      </c>
      <c r="BI117" s="62">
        <f ca="1">AVERAGE(OFFSET($BH$3,0,0,'Données projet'!$E$11+1,1))-AVERAGE(OFFSET($H$3,0,0,'Données projet'!$E$11+1,1))</f>
        <v>182.11831308043929</v>
      </c>
      <c r="BJ117" s="62">
        <f t="shared" si="92"/>
        <v>75.532250323368885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-2.5420376914553347E-13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320.36162823905426</v>
      </c>
      <c r="T118" s="62">
        <f t="shared" si="88"/>
        <v>284.65760822544792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0.4951582497259267</v>
      </c>
      <c r="AB118" s="23">
        <f>EXP(-LN(2)/2)*AB117+(1-EXP(-LN(2)/2))/(LN(2)/2)*V118*Y118*VLOOKUP('Données projet'!$B$9,Paramètres!$A$1:$I$89,3,0)*0.475*44/12</f>
        <v>3.0601577633239968E-12</v>
      </c>
      <c r="AC118" s="24">
        <f t="shared" si="57"/>
        <v>0.49515824972898687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3.1036506698001178E-14</v>
      </c>
      <c r="AK118" s="14">
        <f t="shared" si="89"/>
        <v>5.3428243983771088E-13</v>
      </c>
      <c r="AL118" s="22">
        <f t="shared" si="58"/>
        <v>9.8459716521636505E-13</v>
      </c>
      <c r="AM118" s="62">
        <f t="shared" si="59"/>
        <v>293.33333333333428</v>
      </c>
      <c r="AN118" s="62">
        <f ca="1">AVERAGE(OFFSET($AM$3,0,0,'Données projet'!$E$10+1,1))-AVERAGE(OFFSET($H$3,0,0,'Données projet'!$E$10+1,1))</f>
        <v>155.13440282866992</v>
      </c>
      <c r="AO118" s="62">
        <f t="shared" si="90"/>
        <v>229.92235675849565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0.8826718122744085</v>
      </c>
      <c r="AW118" s="23">
        <f>EXP(-LN(2)/2)*AW117+(1-EXP(-LN(2)/2))/(LN(2)/2)*AQ118*AT118*VLOOKUP('Données projet'!$B$10,Paramètres!$A$1:$I$89,3,0)*0.475*44/12</f>
        <v>2.161882763132708E-12</v>
      </c>
      <c r="AX118" s="23">
        <f t="shared" si="60"/>
        <v>0.88267181227657043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201.77039999999991</v>
      </c>
      <c r="BF118" s="14">
        <f t="shared" si="91"/>
        <v>50.133048269036053</v>
      </c>
      <c r="BG118" s="22">
        <f t="shared" si="61"/>
        <v>438.73183906857093</v>
      </c>
      <c r="BH118" s="62">
        <f t="shared" si="62"/>
        <v>732.06517240190419</v>
      </c>
      <c r="BI118" s="62">
        <f ca="1">AVERAGE(OFFSET($BH$3,0,0,'Données projet'!$E$11+1,1))-AVERAGE(OFFSET($H$3,0,0,'Données projet'!$E$11+1,1))</f>
        <v>182.11831308043929</v>
      </c>
      <c r="BJ118" s="62">
        <f t="shared" si="92"/>
        <v>75.532250323368885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-2.5420376914553347E-13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320.36162823905426</v>
      </c>
      <c r="T119" s="62">
        <f t="shared" si="88"/>
        <v>284.65760822544792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0.48161812134793058</v>
      </c>
      <c r="AB119" s="23">
        <f>EXP(-LN(2)/2)*AB118+(1-EXP(-LN(2)/2))/(LN(2)/2)*V119*Y119*VLOOKUP('Données projet'!$B$9,Paramètres!$A$1:$I$89,3,0)*0.475*44/12</f>
        <v>2.1638583059470561E-12</v>
      </c>
      <c r="AC119" s="24">
        <f t="shared" si="57"/>
        <v>0.48161812135009446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3.1036506698001178E-14</v>
      </c>
      <c r="AK119" s="14">
        <f t="shared" si="89"/>
        <v>5.3428243983771088E-13</v>
      </c>
      <c r="AL119" s="22">
        <f t="shared" si="58"/>
        <v>9.8459716521636505E-13</v>
      </c>
      <c r="AM119" s="62">
        <f t="shared" si="59"/>
        <v>293.33333333333428</v>
      </c>
      <c r="AN119" s="62">
        <f ca="1">AVERAGE(OFFSET($AM$3,0,0,'Données projet'!$E$10+1,1))-AVERAGE(OFFSET($H$3,0,0,'Données projet'!$E$10+1,1))</f>
        <v>155.13440282866992</v>
      </c>
      <c r="AO119" s="62">
        <f t="shared" si="90"/>
        <v>229.92235675849565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0.85853510515007159</v>
      </c>
      <c r="AW119" s="23">
        <f>EXP(-LN(2)/2)*AW118+(1-EXP(-LN(2)/2))/(LN(2)/2)*AQ119*AT119*VLOOKUP('Données projet'!$B$10,Paramètres!$A$1:$I$89,3,0)*0.475*44/12</f>
        <v>1.5286819619414485E-12</v>
      </c>
      <c r="AX119" s="23">
        <f t="shared" si="60"/>
        <v>0.85853510515160025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192.17951999999994</v>
      </c>
      <c r="BF119" s="14">
        <f t="shared" si="91"/>
        <v>48.021493442275315</v>
      </c>
      <c r="BG119" s="22">
        <f t="shared" si="61"/>
        <v>418.35009841196273</v>
      </c>
      <c r="BH119" s="62">
        <f t="shared" si="62"/>
        <v>711.68343174529605</v>
      </c>
      <c r="BI119" s="62">
        <f ca="1">AVERAGE(OFFSET($BH$3,0,0,'Données projet'!$E$11+1,1))-AVERAGE(OFFSET($H$3,0,0,'Données projet'!$E$11+1,1))</f>
        <v>182.11831308043929</v>
      </c>
      <c r="BJ119" s="62">
        <f t="shared" si="92"/>
        <v>75.532250323368885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-2.5420376914553347E-13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320.36162823905426</v>
      </c>
      <c r="T120" s="62">
        <f t="shared" si="88"/>
        <v>284.65760822544792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0.46844824849247518</v>
      </c>
      <c r="AB120" s="23">
        <f>EXP(-LN(2)/2)*AB119+(1-EXP(-LN(2)/2))/(LN(2)/2)*V120*Y120*VLOOKUP('Données projet'!$B$9,Paramètres!$A$1:$I$89,3,0)*0.475*44/12</f>
        <v>1.5300788816619984E-12</v>
      </c>
      <c r="AC120" s="24">
        <f t="shared" si="57"/>
        <v>0.46844824849400524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3.1036506698001178E-14</v>
      </c>
      <c r="AK120" s="14">
        <f t="shared" si="89"/>
        <v>5.3428243983771088E-13</v>
      </c>
      <c r="AL120" s="22">
        <f t="shared" si="58"/>
        <v>9.8459716521636505E-13</v>
      </c>
      <c r="AM120" s="62">
        <f t="shared" si="59"/>
        <v>293.33333333333428</v>
      </c>
      <c r="AN120" s="62">
        <f ca="1">AVERAGE(OFFSET($AM$3,0,0,'Données projet'!$E$10+1,1))-AVERAGE(OFFSET($H$3,0,0,'Données projet'!$E$10+1,1))</f>
        <v>155.13440282866992</v>
      </c>
      <c r="AO120" s="62">
        <f t="shared" si="90"/>
        <v>229.92235675849565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0.83505841755134391</v>
      </c>
      <c r="AW120" s="23">
        <f>EXP(-LN(2)/2)*AW119+(1-EXP(-LN(2)/2))/(LN(2)/2)*AQ120*AT120*VLOOKUP('Données projet'!$B$10,Paramètres!$A$1:$I$89,3,0)*0.475*44/12</f>
        <v>1.080941381566354E-12</v>
      </c>
      <c r="AX120" s="23">
        <f t="shared" si="60"/>
        <v>0.83505841755242483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194.35103999999993</v>
      </c>
      <c r="BF120" s="14">
        <f t="shared" si="91"/>
        <v>48.500634729810159</v>
      </c>
      <c r="BG120" s="22">
        <f t="shared" si="61"/>
        <v>422.96666682108594</v>
      </c>
      <c r="BH120" s="62">
        <f t="shared" si="62"/>
        <v>716.30000015441919</v>
      </c>
      <c r="BI120" s="62">
        <f ca="1">AVERAGE(OFFSET($BH$3,0,0,'Données projet'!$E$11+1,1))-AVERAGE(OFFSET($H$3,0,0,'Données projet'!$E$11+1,1))</f>
        <v>182.11831308043929</v>
      </c>
      <c r="BJ120" s="62">
        <f t="shared" si="92"/>
        <v>75.532250323368885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-2.5420376914553347E-13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320.36162823905426</v>
      </c>
      <c r="T121" s="62">
        <f t="shared" si="88"/>
        <v>284.65760822544792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0.45563850650282572</v>
      </c>
      <c r="AB121" s="23">
        <f>EXP(-LN(2)/2)*AB120+(1-EXP(-LN(2)/2))/(LN(2)/2)*V121*Y121*VLOOKUP('Données projet'!$B$9,Paramètres!$A$1:$I$89,3,0)*0.475*44/12</f>
        <v>1.081929152973528E-12</v>
      </c>
      <c r="AC121" s="24">
        <f t="shared" si="57"/>
        <v>0.45563850650390764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3.1036506698001178E-14</v>
      </c>
      <c r="AK121" s="14">
        <f t="shared" si="89"/>
        <v>5.3428243983771088E-13</v>
      </c>
      <c r="AL121" s="22">
        <f t="shared" si="58"/>
        <v>9.8459716521636505E-13</v>
      </c>
      <c r="AM121" s="62">
        <f t="shared" si="59"/>
        <v>293.33333333333428</v>
      </c>
      <c r="AN121" s="62">
        <f ca="1">AVERAGE(OFFSET($AM$3,0,0,'Données projet'!$E$10+1,1))-AVERAGE(OFFSET($H$3,0,0,'Données projet'!$E$10+1,1))</f>
        <v>155.13440282866992</v>
      </c>
      <c r="AO121" s="62">
        <f t="shared" si="90"/>
        <v>229.92235675849565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0.81222370120958876</v>
      </c>
      <c r="AW121" s="23">
        <f>EXP(-LN(2)/2)*AW120+(1-EXP(-LN(2)/2))/(LN(2)/2)*AQ121*AT121*VLOOKUP('Données projet'!$B$10,Paramètres!$A$1:$I$89,3,0)*0.475*44/12</f>
        <v>7.6434098097072427E-13</v>
      </c>
      <c r="AX121" s="23">
        <f t="shared" si="60"/>
        <v>0.81222370121035314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196.52255999999994</v>
      </c>
      <c r="BF121" s="14">
        <f t="shared" si="91"/>
        <v>48.979153257338155</v>
      </c>
      <c r="BG121" s="22">
        <f t="shared" si="61"/>
        <v>427.58215058986383</v>
      </c>
      <c r="BH121" s="62">
        <f t="shared" si="62"/>
        <v>720.91548392319714</v>
      </c>
      <c r="BI121" s="62">
        <f ca="1">AVERAGE(OFFSET($BH$3,0,0,'Données projet'!$E$11+1,1))-AVERAGE(OFFSET($H$3,0,0,'Données projet'!$E$11+1,1))</f>
        <v>182.11831308043929</v>
      </c>
      <c r="BJ121" s="62">
        <f t="shared" si="92"/>
        <v>75.532250323368885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-2.5420376914553347E-13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320.36162823905426</v>
      </c>
      <c r="T122" s="62">
        <f t="shared" si="88"/>
        <v>284.65760822544792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0.44317904758151827</v>
      </c>
      <c r="AB122" s="23">
        <f>EXP(-LN(2)/2)*AB121+(1-EXP(-LN(2)/2))/(LN(2)/2)*V122*Y122*VLOOKUP('Données projet'!$B$9,Paramètres!$A$1:$I$89,3,0)*0.475*44/12</f>
        <v>7.6503944083099919E-13</v>
      </c>
      <c r="AC122" s="24">
        <f t="shared" si="57"/>
        <v>0.44317904758228333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3.1036506698001178E-14</v>
      </c>
      <c r="AK122" s="14">
        <f t="shared" si="89"/>
        <v>5.3428243983771088E-13</v>
      </c>
      <c r="AL122" s="22">
        <f t="shared" si="58"/>
        <v>9.8459716521636505E-13</v>
      </c>
      <c r="AM122" s="62">
        <f t="shared" si="59"/>
        <v>293.33333333333428</v>
      </c>
      <c r="AN122" s="62">
        <f ca="1">AVERAGE(OFFSET($AM$3,0,0,'Données projet'!$E$10+1,1))-AVERAGE(OFFSET($H$3,0,0,'Données projet'!$E$10+1,1))</f>
        <v>155.13440282866992</v>
      </c>
      <c r="AO122" s="62">
        <f t="shared" si="90"/>
        <v>229.92235675849565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0.79001340138702447</v>
      </c>
      <c r="AW122" s="23">
        <f>EXP(-LN(2)/2)*AW121+(1-EXP(-LN(2)/2))/(LN(2)/2)*AQ122*AT122*VLOOKUP('Données projet'!$B$10,Paramètres!$A$1:$I$89,3,0)*0.475*44/12</f>
        <v>5.40470690783177E-13</v>
      </c>
      <c r="AX122" s="23">
        <f t="shared" si="60"/>
        <v>0.79001340138756493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198.69407999999993</v>
      </c>
      <c r="BF122" s="14">
        <f t="shared" si="91"/>
        <v>49.457056702547348</v>
      </c>
      <c r="BG122" s="22">
        <f t="shared" si="61"/>
        <v>432.19656309026982</v>
      </c>
      <c r="BH122" s="62">
        <f t="shared" si="62"/>
        <v>725.52989642360308</v>
      </c>
      <c r="BI122" s="62">
        <f ca="1">AVERAGE(OFFSET($BH$3,0,0,'Données projet'!$E$11+1,1))-AVERAGE(OFFSET($H$3,0,0,'Données projet'!$E$11+1,1))</f>
        <v>182.11831308043929</v>
      </c>
      <c r="BJ122" s="62">
        <f t="shared" si="92"/>
        <v>75.532250323368885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-2.5420376914553347E-13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320.36162823905426</v>
      </c>
      <c r="T123" s="62">
        <f t="shared" si="88"/>
        <v>284.65760822544792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0.43106029321962847</v>
      </c>
      <c r="AB123" s="23">
        <f>EXP(-LN(2)/2)*AB122+(1-EXP(-LN(2)/2))/(LN(2)/2)*V123*Y123*VLOOKUP('Données projet'!$B$9,Paramètres!$A$1:$I$89,3,0)*0.475*44/12</f>
        <v>5.4096457648676402E-13</v>
      </c>
      <c r="AC123" s="24">
        <f t="shared" si="57"/>
        <v>0.43106029322016942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3.1036506698001178E-14</v>
      </c>
      <c r="AK123" s="14">
        <f t="shared" si="89"/>
        <v>5.3428243983771088E-13</v>
      </c>
      <c r="AL123" s="22">
        <f t="shared" si="58"/>
        <v>9.8459716521636505E-13</v>
      </c>
      <c r="AM123" s="62">
        <f t="shared" si="59"/>
        <v>293.33333333333428</v>
      </c>
      <c r="AN123" s="62">
        <f ca="1">AVERAGE(OFFSET($AM$3,0,0,'Données projet'!$E$10+1,1))-AVERAGE(OFFSET($H$3,0,0,'Données projet'!$E$10+1,1))</f>
        <v>155.13440282866992</v>
      </c>
      <c r="AO123" s="62">
        <f t="shared" si="90"/>
        <v>229.92235675849565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0.7684104433810971</v>
      </c>
      <c r="AW123" s="23">
        <f>EXP(-LN(2)/2)*AW122+(1-EXP(-LN(2)/2))/(LN(2)/2)*AQ123*AT123*VLOOKUP('Données projet'!$B$10,Paramètres!$A$1:$I$89,3,0)*0.475*44/12</f>
        <v>3.8217049048536214E-13</v>
      </c>
      <c r="AX123" s="23">
        <f t="shared" si="60"/>
        <v>0.76841044338147924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200.86559999999994</v>
      </c>
      <c r="BF123" s="14">
        <f t="shared" si="91"/>
        <v>49.934352565642911</v>
      </c>
      <c r="BG123" s="22">
        <f t="shared" si="61"/>
        <v>436.80991738516127</v>
      </c>
      <c r="BH123" s="62">
        <f t="shared" si="62"/>
        <v>730.14325071849453</v>
      </c>
      <c r="BI123" s="62">
        <f ca="1">AVERAGE(OFFSET($BH$3,0,0,'Données projet'!$E$11+1,1))-AVERAGE(OFFSET($H$3,0,0,'Données projet'!$E$11+1,1))</f>
        <v>182.11831308043929</v>
      </c>
      <c r="BJ123" s="62">
        <f t="shared" si="92"/>
        <v>75.532250323368885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-2.5420376914553347E-13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320.36162823905426</v>
      </c>
      <c r="T124" s="62">
        <f t="shared" si="88"/>
        <v>284.65760822544792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0.41927292683306211</v>
      </c>
      <c r="AB124" s="23">
        <f>EXP(-LN(2)/2)*AB123+(1-EXP(-LN(2)/2))/(LN(2)/2)*V124*Y124*VLOOKUP('Données projet'!$B$9,Paramètres!$A$1:$I$89,3,0)*0.475*44/12</f>
        <v>3.825197204154996E-13</v>
      </c>
      <c r="AC124" s="24">
        <f t="shared" si="57"/>
        <v>0.41927292683344464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3.1036506698001178E-14</v>
      </c>
      <c r="AK124" s="14">
        <f t="shared" si="89"/>
        <v>5.3428243983771088E-13</v>
      </c>
      <c r="AL124" s="22">
        <f t="shared" si="58"/>
        <v>9.8459716521636505E-13</v>
      </c>
      <c r="AM124" s="62">
        <f t="shared" si="59"/>
        <v>293.33333333333428</v>
      </c>
      <c r="AN124" s="62">
        <f ca="1">AVERAGE(OFFSET($AM$3,0,0,'Données projet'!$E$10+1,1))-AVERAGE(OFFSET($H$3,0,0,'Données projet'!$E$10+1,1))</f>
        <v>155.13440282866992</v>
      </c>
      <c r="AO124" s="62">
        <f t="shared" si="90"/>
        <v>229.92235675849565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0.74739821939789197</v>
      </c>
      <c r="AW124" s="23">
        <f>EXP(-LN(2)/2)*AW123+(1-EXP(-LN(2)/2))/(LN(2)/2)*AQ124*AT124*VLOOKUP('Données projet'!$B$10,Paramètres!$A$1:$I$89,3,0)*0.475*44/12</f>
        <v>2.702353453915885E-13</v>
      </c>
      <c r="AX124" s="23">
        <f t="shared" si="60"/>
        <v>0.7473982193981622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-5.1431925385259088E-14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182.11831308043929</v>
      </c>
      <c r="BJ124" s="62">
        <f t="shared" si="92"/>
        <v>75.532250323368885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-2.5420376914553347E-13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320.36162823905426</v>
      </c>
      <c r="T125" s="62">
        <f t="shared" si="88"/>
        <v>284.65760822544792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0.40780788660020706</v>
      </c>
      <c r="AB125" s="23">
        <f>EXP(-LN(2)/2)*AB124+(1-EXP(-LN(2)/2))/(LN(2)/2)*V125*Y125*VLOOKUP('Données projet'!$B$9,Paramètres!$A$1:$I$89,3,0)*0.475*44/12</f>
        <v>2.7048228824338201E-13</v>
      </c>
      <c r="AC125" s="24">
        <f t="shared" si="57"/>
        <v>0.40780788660047756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3.1036506698001178E-14</v>
      </c>
      <c r="AK125" s="14">
        <f t="shared" si="89"/>
        <v>5.3428243983771088E-13</v>
      </c>
      <c r="AL125" s="22">
        <f t="shared" si="58"/>
        <v>9.8459716521636505E-13</v>
      </c>
      <c r="AM125" s="62">
        <f t="shared" si="59"/>
        <v>293.33333333333428</v>
      </c>
      <c r="AN125" s="62">
        <f ca="1">AVERAGE(OFFSET($AM$3,0,0,'Données projet'!$E$10+1,1))-AVERAGE(OFFSET($H$3,0,0,'Données projet'!$E$10+1,1))</f>
        <v>155.13440282866992</v>
      </c>
      <c r="AO125" s="62">
        <f t="shared" si="90"/>
        <v>229.92235675849565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0.72696057578449247</v>
      </c>
      <c r="AW125" s="23">
        <f>EXP(-LN(2)/2)*AW124+(1-EXP(-LN(2)/2))/(LN(2)/2)*AQ125*AT125*VLOOKUP('Données projet'!$B$10,Paramètres!$A$1:$I$89,3,0)*0.475*44/12</f>
        <v>1.9108524524268107E-13</v>
      </c>
      <c r="AX125" s="23">
        <f t="shared" si="60"/>
        <v>0.72696057578468354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-5.1431925385259088E-14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182.11831308043929</v>
      </c>
      <c r="BJ125" s="62">
        <f t="shared" si="92"/>
        <v>75.532250323368885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-2.5420376914553347E-13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320.36162823905426</v>
      </c>
      <c r="T126" s="62">
        <f t="shared" si="88"/>
        <v>284.65760822544792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0.39665635849543968</v>
      </c>
      <c r="AB126" s="23">
        <f>EXP(-LN(2)/2)*AB125+(1-EXP(-LN(2)/2))/(LN(2)/2)*V126*Y126*VLOOKUP('Données projet'!$B$9,Paramètres!$A$1:$I$89,3,0)*0.475*44/12</f>
        <v>1.912598602077498E-13</v>
      </c>
      <c r="AC126" s="24">
        <f t="shared" si="57"/>
        <v>0.39665635849563091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3.1036506698001178E-14</v>
      </c>
      <c r="AK126" s="14">
        <f t="shared" si="89"/>
        <v>5.3428243983771088E-13</v>
      </c>
      <c r="AL126" s="22">
        <f t="shared" si="58"/>
        <v>9.8459716521636505E-13</v>
      </c>
      <c r="AM126" s="62">
        <f t="shared" si="59"/>
        <v>293.33333333333428</v>
      </c>
      <c r="AN126" s="62">
        <f ca="1">AVERAGE(OFFSET($AM$3,0,0,'Données projet'!$E$10+1,1))-AVERAGE(OFFSET($H$3,0,0,'Données projet'!$E$10+1,1))</f>
        <v>155.13440282866992</v>
      </c>
      <c r="AO126" s="62">
        <f t="shared" si="90"/>
        <v>229.92235675849565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0.70708180061047032</v>
      </c>
      <c r="AW126" s="23">
        <f>EXP(-LN(2)/2)*AW125+(1-EXP(-LN(2)/2))/(LN(2)/2)*AQ126*AT126*VLOOKUP('Données projet'!$B$10,Paramètres!$A$1:$I$89,3,0)*0.475*44/12</f>
        <v>1.3511767269579425E-13</v>
      </c>
      <c r="AX126" s="23">
        <f t="shared" si="60"/>
        <v>0.70708180061060544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-5.1431925385259088E-14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182.11831308043929</v>
      </c>
      <c r="BJ126" s="62">
        <f t="shared" si="92"/>
        <v>75.532250323368885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-2.5420376914553347E-13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320.36162823905426</v>
      </c>
      <c r="T127" s="62">
        <f t="shared" si="88"/>
        <v>284.65760822544792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0.38580976951313056</v>
      </c>
      <c r="AB127" s="23">
        <f>EXP(-LN(2)/2)*AB126+(1-EXP(-LN(2)/2))/(LN(2)/2)*V127*Y127*VLOOKUP('Données projet'!$B$9,Paramètres!$A$1:$I$89,3,0)*0.475*44/12</f>
        <v>1.35241144121691E-13</v>
      </c>
      <c r="AC127" s="24">
        <f t="shared" si="57"/>
        <v>0.38580976951326579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3.1036506698001178E-14</v>
      </c>
      <c r="AK127" s="14">
        <f t="shared" si="89"/>
        <v>5.3428243983771088E-13</v>
      </c>
      <c r="AL127" s="22">
        <f t="shared" si="58"/>
        <v>9.8459716521636505E-13</v>
      </c>
      <c r="AM127" s="62">
        <f t="shared" si="59"/>
        <v>293.33333333333428</v>
      </c>
      <c r="AN127" s="62">
        <f ca="1">AVERAGE(OFFSET($AM$3,0,0,'Données projet'!$E$10+1,1))-AVERAGE(OFFSET($H$3,0,0,'Données projet'!$E$10+1,1))</f>
        <v>155.13440282866992</v>
      </c>
      <c r="AO127" s="62">
        <f t="shared" si="90"/>
        <v>229.92235675849565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0.68774661158896122</v>
      </c>
      <c r="AW127" s="23">
        <f>EXP(-LN(2)/2)*AW126+(1-EXP(-LN(2)/2))/(LN(2)/2)*AQ127*AT127*VLOOKUP('Données projet'!$B$10,Paramètres!$A$1:$I$89,3,0)*0.475*44/12</f>
        <v>9.5542622621340534E-14</v>
      </c>
      <c r="AX127" s="23">
        <f t="shared" si="60"/>
        <v>0.68774661158905681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-5.1431925385259088E-14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182.11831308043929</v>
      </c>
      <c r="BJ127" s="62">
        <f t="shared" si="92"/>
        <v>75.532250323368885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-2.5420376914553347E-13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320.36162823905426</v>
      </c>
      <c r="T128" s="62">
        <f t="shared" si="88"/>
        <v>284.65760822544792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0.37525978107694002</v>
      </c>
      <c r="AB128" s="23">
        <f>EXP(-LN(2)/2)*AB127+(1-EXP(-LN(2)/2))/(LN(2)/2)*V128*Y128*VLOOKUP('Données projet'!$B$9,Paramètres!$A$1:$I$89,3,0)*0.475*44/12</f>
        <v>9.5629930103874899E-14</v>
      </c>
      <c r="AC128" s="24">
        <f t="shared" si="57"/>
        <v>0.37525978107703567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3.1036506698001178E-14</v>
      </c>
      <c r="AK128" s="14">
        <f t="shared" si="89"/>
        <v>5.3428243983771088E-13</v>
      </c>
      <c r="AL128" s="22">
        <f t="shared" si="58"/>
        <v>9.8459716521636505E-13</v>
      </c>
      <c r="AM128" s="62">
        <f t="shared" si="59"/>
        <v>293.33333333333428</v>
      </c>
      <c r="AN128" s="62">
        <f ca="1">AVERAGE(OFFSET($AM$3,0,0,'Données projet'!$E$10+1,1))-AVERAGE(OFFSET($H$3,0,0,'Données projet'!$E$10+1,1))</f>
        <v>155.13440282866992</v>
      </c>
      <c r="AO128" s="62">
        <f t="shared" si="90"/>
        <v>229.92235675849565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0.66894014432803861</v>
      </c>
      <c r="AW128" s="23">
        <f>EXP(-LN(2)/2)*AW127+(1-EXP(-LN(2)/2))/(LN(2)/2)*AQ128*AT128*VLOOKUP('Données projet'!$B$10,Paramètres!$A$1:$I$89,3,0)*0.475*44/12</f>
        <v>6.7558836347897125E-14</v>
      </c>
      <c r="AX128" s="23">
        <f t="shared" si="60"/>
        <v>0.66894014432810622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-5.1431925385259088E-14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182.11831308043929</v>
      </c>
      <c r="BJ128" s="62">
        <f t="shared" si="92"/>
        <v>75.532250323368885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-2.5420376914553347E-13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320.36162823905426</v>
      </c>
      <c r="T129" s="62">
        <f t="shared" si="88"/>
        <v>284.65760822544792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0.36499828262933687</v>
      </c>
      <c r="AB129" s="23">
        <f>EXP(-LN(2)/2)*AB128+(1-EXP(-LN(2)/2))/(LN(2)/2)*V129*Y129*VLOOKUP('Données projet'!$B$9,Paramètres!$A$1:$I$89,3,0)*0.475*44/12</f>
        <v>6.7620572060845502E-14</v>
      </c>
      <c r="AC129" s="24">
        <f t="shared" si="57"/>
        <v>0.36499828262940448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3.1036506698001178E-14</v>
      </c>
      <c r="AK129" s="14">
        <f t="shared" si="89"/>
        <v>5.3428243983771088E-13</v>
      </c>
      <c r="AL129" s="22">
        <f t="shared" si="58"/>
        <v>9.8459716521636505E-13</v>
      </c>
      <c r="AM129" s="62">
        <f t="shared" si="59"/>
        <v>293.33333333333428</v>
      </c>
      <c r="AN129" s="62">
        <f ca="1">AVERAGE(OFFSET($AM$3,0,0,'Données projet'!$E$10+1,1))-AVERAGE(OFFSET($H$3,0,0,'Données projet'!$E$10+1,1))</f>
        <v>155.13440282866992</v>
      </c>
      <c r="AO129" s="62">
        <f t="shared" si="90"/>
        <v>229.92235675849565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0.65064794090335509</v>
      </c>
      <c r="AW129" s="23">
        <f>EXP(-LN(2)/2)*AW128+(1-EXP(-LN(2)/2))/(LN(2)/2)*AQ129*AT129*VLOOKUP('Données projet'!$B$10,Paramètres!$A$1:$I$89,3,0)*0.475*44/12</f>
        <v>4.7771311310670267E-14</v>
      </c>
      <c r="AX129" s="23">
        <f t="shared" si="60"/>
        <v>0.65064794090340283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-5.1431925385259088E-14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182.11831308043929</v>
      </c>
      <c r="BJ129" s="62">
        <f t="shared" si="92"/>
        <v>75.532250323368885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-2.5420376914553347E-13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320.36162823905426</v>
      </c>
      <c r="T130" s="62">
        <f t="shared" si="88"/>
        <v>284.65760822544792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0.3550173853964122</v>
      </c>
      <c r="AB130" s="23">
        <f>EXP(-LN(2)/2)*AB129+(1-EXP(-LN(2)/2))/(LN(2)/2)*V130*Y130*VLOOKUP('Données projet'!$B$9,Paramètres!$A$1:$I$89,3,0)*0.475*44/12</f>
        <v>4.781496505193745E-14</v>
      </c>
      <c r="AC130" s="24">
        <f t="shared" si="57"/>
        <v>0.35501738539645999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3.1036506698001178E-14</v>
      </c>
      <c r="AK130" s="14">
        <f t="shared" si="89"/>
        <v>5.3428243983771088E-13</v>
      </c>
      <c r="AL130" s="22">
        <f t="shared" si="58"/>
        <v>9.8459716521636505E-13</v>
      </c>
      <c r="AM130" s="62">
        <f t="shared" si="59"/>
        <v>293.33333333333428</v>
      </c>
      <c r="AN130" s="62">
        <f ca="1">AVERAGE(OFFSET($AM$3,0,0,'Données projet'!$E$10+1,1))-AVERAGE(OFFSET($H$3,0,0,'Données projet'!$E$10+1,1))</f>
        <v>155.13440282866992</v>
      </c>
      <c r="AO130" s="62">
        <f t="shared" si="90"/>
        <v>229.92235675849565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0.63285593874326473</v>
      </c>
      <c r="AW130" s="23">
        <f>EXP(-LN(2)/2)*AW129+(1-EXP(-LN(2)/2))/(LN(2)/2)*AQ130*AT130*VLOOKUP('Données projet'!$B$10,Paramètres!$A$1:$I$89,3,0)*0.475*44/12</f>
        <v>3.3779418173948562E-14</v>
      </c>
      <c r="AX130" s="23">
        <f t="shared" si="60"/>
        <v>0.63285593874329849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-5.1431925385259088E-14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182.11831308043929</v>
      </c>
      <c r="BJ130" s="62">
        <f t="shared" si="92"/>
        <v>75.532250323368885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-2.5420376914553347E-13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320.36162823905426</v>
      </c>
      <c r="T131" s="62">
        <f t="shared" si="88"/>
        <v>284.65760822544792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0.3453094163231944</v>
      </c>
      <c r="AB131" s="23">
        <f>EXP(-LN(2)/2)*AB130+(1-EXP(-LN(2)/2))/(LN(2)/2)*V131*Y131*VLOOKUP('Données projet'!$B$9,Paramètres!$A$1:$I$89,3,0)*0.475*44/12</f>
        <v>3.3810286030422751E-14</v>
      </c>
      <c r="AC131" s="24">
        <f t="shared" si="57"/>
        <v>0.3453094163232282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3.1036506698001178E-14</v>
      </c>
      <c r="AK131" s="14">
        <f t="shared" si="89"/>
        <v>5.3428243983771088E-13</v>
      </c>
      <c r="AL131" s="22">
        <f t="shared" si="58"/>
        <v>9.8459716521636505E-13</v>
      </c>
      <c r="AM131" s="62">
        <f t="shared" si="59"/>
        <v>293.33333333333428</v>
      </c>
      <c r="AN131" s="62">
        <f ca="1">AVERAGE(OFFSET($AM$3,0,0,'Données projet'!$E$10+1,1))-AVERAGE(OFFSET($H$3,0,0,'Données projet'!$E$10+1,1))</f>
        <v>155.13440282866992</v>
      </c>
      <c r="AO131" s="62">
        <f t="shared" si="90"/>
        <v>229.92235675849565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0.6155504598178827</v>
      </c>
      <c r="AW131" s="23">
        <f>EXP(-LN(2)/2)*AW130+(1-EXP(-LN(2)/2))/(LN(2)/2)*AQ131*AT131*VLOOKUP('Données projet'!$B$10,Paramètres!$A$1:$I$89,3,0)*0.475*44/12</f>
        <v>2.3885655655335133E-14</v>
      </c>
      <c r="AX131" s="23">
        <f t="shared" si="60"/>
        <v>0.61555045981790657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-5.1431925385259088E-14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182.11831308043929</v>
      </c>
      <c r="BJ131" s="62">
        <f t="shared" si="92"/>
        <v>75.532250323368885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-2.5420376914553347E-13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320.36162823905426</v>
      </c>
      <c r="T132" s="62">
        <f t="shared" si="88"/>
        <v>284.65760822544792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0.33586691217480363</v>
      </c>
      <c r="AB132" s="23">
        <f>EXP(-LN(2)/2)*AB131+(1-EXP(-LN(2)/2))/(LN(2)/2)*V132*Y132*VLOOKUP('Données projet'!$B$9,Paramètres!$A$1:$I$89,3,0)*0.475*44/12</f>
        <v>2.3907482525968725E-14</v>
      </c>
      <c r="AC132" s="24">
        <f t="shared" ref="AC132:AC153" si="111">SUM(Z132:AB132)</f>
        <v>0.33586691217482756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3.1036506698001178E-14</v>
      </c>
      <c r="AK132" s="14">
        <f t="shared" si="89"/>
        <v>5.3428243983771088E-13</v>
      </c>
      <c r="AL132" s="22">
        <f t="shared" ref="AL132:AL153" si="112">(AJ132+AK132)*0.475*44/12</f>
        <v>9.8459716521636505E-13</v>
      </c>
      <c r="AM132" s="62">
        <f t="shared" ref="AM132:AM195" si="113">AL132+(AD132+AE132)*44/12</f>
        <v>293.33333333333428</v>
      </c>
      <c r="AN132" s="62">
        <f ca="1">AVERAGE(OFFSET($AM$3,0,0,'Données projet'!$E$10+1,1))-AVERAGE(OFFSET($H$3,0,0,'Données projet'!$E$10+1,1))</f>
        <v>155.13440282866992</v>
      </c>
      <c r="AO132" s="62">
        <f t="shared" si="90"/>
        <v>229.92235675849565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0.59871820012377086</v>
      </c>
      <c r="AW132" s="23">
        <f>EXP(-LN(2)/2)*AW131+(1-EXP(-LN(2)/2))/(LN(2)/2)*AQ132*AT132*VLOOKUP('Données projet'!$B$10,Paramètres!$A$1:$I$89,3,0)*0.475*44/12</f>
        <v>1.6889709086974281E-14</v>
      </c>
      <c r="AX132" s="23">
        <f t="shared" ref="AX132:AX153" si="114">SUM(AU132:AW132)</f>
        <v>0.59871820012378774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-5.1431925385259088E-14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182.11831308043929</v>
      </c>
      <c r="BJ132" s="62">
        <f t="shared" si="92"/>
        <v>75.532250323368885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-2.5420376914553347E-13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320.36162823905426</v>
      </c>
      <c r="T133" s="62">
        <f t="shared" ref="T133:T196" si="142">$T$3</f>
        <v>284.65760822544792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0.32668261379891034</v>
      </c>
      <c r="AB133" s="23">
        <f>EXP(-LN(2)/2)*AB132+(1-EXP(-LN(2)/2))/(LN(2)/2)*V133*Y133*VLOOKUP('Données projet'!$B$9,Paramètres!$A$1:$I$89,3,0)*0.475*44/12</f>
        <v>1.6905143015211376E-14</v>
      </c>
      <c r="AC133" s="24">
        <f t="shared" si="111"/>
        <v>0.32668261379892727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3.1036506698001178E-14</v>
      </c>
      <c r="AK133" s="14">
        <f t="shared" ref="AK133:AK153" si="143">EXP(-1.0587+0.8836*LN(AJ133)+0.284)</f>
        <v>5.3428243983771088E-13</v>
      </c>
      <c r="AL133" s="22">
        <f t="shared" si="112"/>
        <v>9.8459716521636505E-13</v>
      </c>
      <c r="AM133" s="62">
        <f t="shared" si="113"/>
        <v>293.33333333333428</v>
      </c>
      <c r="AN133" s="62">
        <f ca="1">AVERAGE(OFFSET($AM$3,0,0,'Données projet'!$E$10+1,1))-AVERAGE(OFFSET($H$3,0,0,'Données projet'!$E$10+1,1))</f>
        <v>155.13440282866992</v>
      </c>
      <c r="AO133" s="62">
        <f t="shared" ref="AO133:AO196" si="144">$AO$3</f>
        <v>229.92235675849565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0.5823462194561646</v>
      </c>
      <c r="AW133" s="23">
        <f>EXP(-LN(2)/2)*AW132+(1-EXP(-LN(2)/2))/(LN(2)/2)*AQ133*AT133*VLOOKUP('Données projet'!$B$10,Paramètres!$A$1:$I$89,3,0)*0.475*44/12</f>
        <v>1.1942827827667567E-14</v>
      </c>
      <c r="AX133" s="23">
        <f t="shared" si="114"/>
        <v>0.58234621945617659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-5.1431925385259088E-14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182.11831308043929</v>
      </c>
      <c r="BJ133" s="62">
        <f t="shared" ref="BJ133:BJ196" si="146">$BJ$3</f>
        <v>75.532250323368885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-2.5420376914553347E-13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320.36162823905426</v>
      </c>
      <c r="T134" s="62">
        <f t="shared" si="142"/>
        <v>284.65760822544792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0.31774946054508713</v>
      </c>
      <c r="AB134" s="23">
        <f>EXP(-LN(2)/2)*AB133+(1-EXP(-LN(2)/2))/(LN(2)/2)*V134*Y134*VLOOKUP('Données projet'!$B$9,Paramètres!$A$1:$I$89,3,0)*0.475*44/12</f>
        <v>1.1953741262984362E-14</v>
      </c>
      <c r="AC134" s="24">
        <f t="shared" si="111"/>
        <v>0.31774946054509906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3.1036506698001178E-14</v>
      </c>
      <c r="AK134" s="14">
        <f t="shared" si="143"/>
        <v>5.3428243983771088E-13</v>
      </c>
      <c r="AL134" s="22">
        <f t="shared" si="112"/>
        <v>9.8459716521636505E-13</v>
      </c>
      <c r="AM134" s="62">
        <f t="shared" si="113"/>
        <v>293.33333333333428</v>
      </c>
      <c r="AN134" s="62">
        <f ca="1">AVERAGE(OFFSET($AM$3,0,0,'Données projet'!$E$10+1,1))-AVERAGE(OFFSET($H$3,0,0,'Données projet'!$E$10+1,1))</f>
        <v>155.13440282866992</v>
      </c>
      <c r="AO134" s="62">
        <f t="shared" si="144"/>
        <v>229.92235675849565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0.56642193146087905</v>
      </c>
      <c r="AW134" s="23">
        <f>EXP(-LN(2)/2)*AW133+(1-EXP(-LN(2)/2))/(LN(2)/2)*AQ134*AT134*VLOOKUP('Données projet'!$B$10,Paramètres!$A$1:$I$89,3,0)*0.475*44/12</f>
        <v>8.4448545434871406E-15</v>
      </c>
      <c r="AX134" s="23">
        <f t="shared" si="114"/>
        <v>0.56642193146088748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-5.1431925385259088E-14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182.11831308043929</v>
      </c>
      <c r="BJ134" s="62">
        <f t="shared" si="146"/>
        <v>75.532250323368885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-2.5420376914553347E-13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320.36162823905426</v>
      </c>
      <c r="T135" s="62">
        <f t="shared" si="142"/>
        <v>284.65760822544792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0.3090605848367638</v>
      </c>
      <c r="AB135" s="23">
        <f>EXP(-LN(2)/2)*AB134+(1-EXP(-LN(2)/2))/(LN(2)/2)*V135*Y135*VLOOKUP('Données projet'!$B$9,Paramètres!$A$1:$I$89,3,0)*0.475*44/12</f>
        <v>8.4525715076056878E-15</v>
      </c>
      <c r="AC135" s="24">
        <f t="shared" si="111"/>
        <v>0.30906058483677223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3.1036506698001178E-14</v>
      </c>
      <c r="AK135" s="14">
        <f t="shared" si="143"/>
        <v>5.3428243983771088E-13</v>
      </c>
      <c r="AL135" s="22">
        <f t="shared" si="112"/>
        <v>9.8459716521636505E-13</v>
      </c>
      <c r="AM135" s="62">
        <f t="shared" si="113"/>
        <v>293.33333333333428</v>
      </c>
      <c r="AN135" s="62">
        <f ca="1">AVERAGE(OFFSET($AM$3,0,0,'Données projet'!$E$10+1,1))-AVERAGE(OFFSET($H$3,0,0,'Données projet'!$E$10+1,1))</f>
        <v>155.13440282866992</v>
      </c>
      <c r="AO135" s="62">
        <f t="shared" si="144"/>
        <v>229.92235675849565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0.55093309395824652</v>
      </c>
      <c r="AW135" s="23">
        <f>EXP(-LN(2)/2)*AW134+(1-EXP(-LN(2)/2))/(LN(2)/2)*AQ135*AT135*VLOOKUP('Données projet'!$B$10,Paramètres!$A$1:$I$89,3,0)*0.475*44/12</f>
        <v>5.9714139138337834E-15</v>
      </c>
      <c r="AX135" s="23">
        <f t="shared" si="114"/>
        <v>0.55093309395825252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-5.1431925385259088E-14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182.11831308043929</v>
      </c>
      <c r="BJ135" s="62">
        <f t="shared" si="146"/>
        <v>75.532250323368885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-2.5420376914553347E-13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320.36162823905426</v>
      </c>
      <c r="T136" s="62">
        <f t="shared" si="142"/>
        <v>284.65760822544792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0.30060930689161269</v>
      </c>
      <c r="AB136" s="23">
        <f>EXP(-LN(2)/2)*AB135+(1-EXP(-LN(2)/2))/(LN(2)/2)*V136*Y136*VLOOKUP('Données projet'!$B$9,Paramètres!$A$1:$I$89,3,0)*0.475*44/12</f>
        <v>5.9768706314921812E-15</v>
      </c>
      <c r="AC136" s="24">
        <f t="shared" si="111"/>
        <v>0.30060930689161869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3.1036506698001178E-14</v>
      </c>
      <c r="AK136" s="14">
        <f t="shared" si="143"/>
        <v>5.3428243983771088E-13</v>
      </c>
      <c r="AL136" s="22">
        <f t="shared" si="112"/>
        <v>9.8459716521636505E-13</v>
      </c>
      <c r="AM136" s="62">
        <f t="shared" si="113"/>
        <v>293.33333333333428</v>
      </c>
      <c r="AN136" s="62">
        <f ca="1">AVERAGE(OFFSET($AM$3,0,0,'Données projet'!$E$10+1,1))-AVERAGE(OFFSET($H$3,0,0,'Données projet'!$E$10+1,1))</f>
        <v>155.13440282866992</v>
      </c>
      <c r="AO136" s="62">
        <f t="shared" si="144"/>
        <v>229.92235675849565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0.53586779953164598</v>
      </c>
      <c r="AW136" s="23">
        <f>EXP(-LN(2)/2)*AW135+(1-EXP(-LN(2)/2))/(LN(2)/2)*AQ136*AT136*VLOOKUP('Données projet'!$B$10,Paramètres!$A$1:$I$89,3,0)*0.475*44/12</f>
        <v>4.2224272717435703E-15</v>
      </c>
      <c r="AX136" s="23">
        <f t="shared" si="114"/>
        <v>0.5358677995316502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-5.1431925385259088E-14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182.11831308043929</v>
      </c>
      <c r="BJ136" s="62">
        <f t="shared" si="146"/>
        <v>75.532250323368885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-2.5420376914553347E-13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320.36162823905426</v>
      </c>
      <c r="T137" s="62">
        <f t="shared" si="142"/>
        <v>284.65760822544792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0.29238912958630514</v>
      </c>
      <c r="AB137" s="23">
        <f>EXP(-LN(2)/2)*AB136+(1-EXP(-LN(2)/2))/(LN(2)/2)*V137*Y137*VLOOKUP('Données projet'!$B$9,Paramètres!$A$1:$I$89,3,0)*0.475*44/12</f>
        <v>4.2262857538028439E-15</v>
      </c>
      <c r="AC137" s="24">
        <f t="shared" si="111"/>
        <v>0.29238912958630936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3.1036506698001178E-14</v>
      </c>
      <c r="AK137" s="14">
        <f t="shared" si="143"/>
        <v>5.3428243983771088E-13</v>
      </c>
      <c r="AL137" s="22">
        <f t="shared" si="112"/>
        <v>9.8459716521636505E-13</v>
      </c>
      <c r="AM137" s="62">
        <f t="shared" si="113"/>
        <v>293.33333333333428</v>
      </c>
      <c r="AN137" s="62">
        <f ca="1">AVERAGE(OFFSET($AM$3,0,0,'Données projet'!$E$10+1,1))-AVERAGE(OFFSET($H$3,0,0,'Données projet'!$E$10+1,1))</f>
        <v>155.13440282866992</v>
      </c>
      <c r="AO137" s="62">
        <f t="shared" si="144"/>
        <v>229.92235675849565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0.52121446637339031</v>
      </c>
      <c r="AW137" s="23">
        <f>EXP(-LN(2)/2)*AW136+(1-EXP(-LN(2)/2))/(LN(2)/2)*AQ137*AT137*VLOOKUP('Données projet'!$B$10,Paramètres!$A$1:$I$89,3,0)*0.475*44/12</f>
        <v>2.9857069569168917E-15</v>
      </c>
      <c r="AX137" s="23">
        <f t="shared" si="114"/>
        <v>0.5212144663733933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-5.1431925385259088E-14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182.11831308043929</v>
      </c>
      <c r="BJ137" s="62">
        <f t="shared" si="146"/>
        <v>75.532250323368885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-2.5420376914553347E-13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320.36162823905426</v>
      </c>
      <c r="T138" s="62">
        <f t="shared" si="142"/>
        <v>284.65760822544792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0.28439373346169156</v>
      </c>
      <c r="AB138" s="23">
        <f>EXP(-LN(2)/2)*AB137+(1-EXP(-LN(2)/2))/(LN(2)/2)*V138*Y138*VLOOKUP('Données projet'!$B$9,Paramètres!$A$1:$I$89,3,0)*0.475*44/12</f>
        <v>2.9884353157460906E-15</v>
      </c>
      <c r="AC138" s="24">
        <f t="shared" si="111"/>
        <v>0.28439373346169455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3.1036506698001178E-14</v>
      </c>
      <c r="AK138" s="14">
        <f t="shared" si="143"/>
        <v>5.3428243983771088E-13</v>
      </c>
      <c r="AL138" s="22">
        <f t="shared" si="112"/>
        <v>9.8459716521636505E-13</v>
      </c>
      <c r="AM138" s="62">
        <f t="shared" si="113"/>
        <v>293.33333333333428</v>
      </c>
      <c r="AN138" s="62">
        <f ca="1">AVERAGE(OFFSET($AM$3,0,0,'Données projet'!$E$10+1,1))-AVERAGE(OFFSET($H$3,0,0,'Données projet'!$E$10+1,1))</f>
        <v>155.13440282866992</v>
      </c>
      <c r="AO138" s="62">
        <f t="shared" si="144"/>
        <v>229.92235675849565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0.50696182938093237</v>
      </c>
      <c r="AW138" s="23">
        <f>EXP(-LN(2)/2)*AW137+(1-EXP(-LN(2)/2))/(LN(2)/2)*AQ138*AT138*VLOOKUP('Données projet'!$B$10,Paramètres!$A$1:$I$89,3,0)*0.475*44/12</f>
        <v>2.1112136358717852E-15</v>
      </c>
      <c r="AX138" s="23">
        <f t="shared" si="114"/>
        <v>0.50696182938093448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-5.1431925385259088E-14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182.11831308043929</v>
      </c>
      <c r="BJ138" s="62">
        <f t="shared" si="146"/>
        <v>75.532250323368885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-2.5420376914553347E-13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320.36162823905426</v>
      </c>
      <c r="T139" s="62">
        <f t="shared" si="142"/>
        <v>284.65760822544792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0.27661697186456513</v>
      </c>
      <c r="AB139" s="23">
        <f>EXP(-LN(2)/2)*AB138+(1-EXP(-LN(2)/2))/(LN(2)/2)*V139*Y139*VLOOKUP('Données projet'!$B$9,Paramètres!$A$1:$I$89,3,0)*0.475*44/12</f>
        <v>2.1131428769014219E-15</v>
      </c>
      <c r="AC139" s="24">
        <f t="shared" si="111"/>
        <v>0.27661697186456724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3.1036506698001178E-14</v>
      </c>
      <c r="AK139" s="14">
        <f t="shared" si="143"/>
        <v>5.3428243983771088E-13</v>
      </c>
      <c r="AL139" s="22">
        <f t="shared" si="112"/>
        <v>9.8459716521636505E-13</v>
      </c>
      <c r="AM139" s="62">
        <f t="shared" si="113"/>
        <v>293.33333333333428</v>
      </c>
      <c r="AN139" s="62">
        <f ca="1">AVERAGE(OFFSET($AM$3,0,0,'Données projet'!$E$10+1,1))-AVERAGE(OFFSET($H$3,0,0,'Données projet'!$E$10+1,1))</f>
        <v>155.13440282866992</v>
      </c>
      <c r="AO139" s="62">
        <f t="shared" si="144"/>
        <v>229.92235675849565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0.49309893149654682</v>
      </c>
      <c r="AW139" s="23">
        <f>EXP(-LN(2)/2)*AW138+(1-EXP(-LN(2)/2))/(LN(2)/2)*AQ139*AT139*VLOOKUP('Données projet'!$B$10,Paramètres!$A$1:$I$89,3,0)*0.475*44/12</f>
        <v>1.4928534784584458E-15</v>
      </c>
      <c r="AX139" s="23">
        <f t="shared" si="114"/>
        <v>0.49309893149654832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-5.1431925385259088E-14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182.11831308043929</v>
      </c>
      <c r="BJ139" s="62">
        <f t="shared" si="146"/>
        <v>75.532250323368885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-2.5420376914553347E-13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320.36162823905426</v>
      </c>
      <c r="T140" s="62">
        <f t="shared" si="142"/>
        <v>284.65760822544792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0.26905286622227426</v>
      </c>
      <c r="AB140" s="23">
        <f>EXP(-LN(2)/2)*AB139+(1-EXP(-LN(2)/2))/(LN(2)/2)*V140*Y140*VLOOKUP('Données projet'!$B$9,Paramètres!$A$1:$I$89,3,0)*0.475*44/12</f>
        <v>1.4942176578730453E-15</v>
      </c>
      <c r="AC140" s="24">
        <f t="shared" si="111"/>
        <v>0.26905286622227575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3.1036506698001178E-14</v>
      </c>
      <c r="AK140" s="14">
        <f t="shared" si="143"/>
        <v>5.3428243983771088E-13</v>
      </c>
      <c r="AL140" s="22">
        <f t="shared" si="112"/>
        <v>9.8459716521636505E-13</v>
      </c>
      <c r="AM140" s="62">
        <f t="shared" si="113"/>
        <v>293.33333333333428</v>
      </c>
      <c r="AN140" s="62">
        <f ca="1">AVERAGE(OFFSET($AM$3,0,0,'Données projet'!$E$10+1,1))-AVERAGE(OFFSET($H$3,0,0,'Données projet'!$E$10+1,1))</f>
        <v>155.13440282866992</v>
      </c>
      <c r="AO140" s="62">
        <f t="shared" si="144"/>
        <v>229.92235675849565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0.47961511528382794</v>
      </c>
      <c r="AW140" s="23">
        <f>EXP(-LN(2)/2)*AW139+(1-EXP(-LN(2)/2))/(LN(2)/2)*AQ140*AT140*VLOOKUP('Données projet'!$B$10,Paramètres!$A$1:$I$89,3,0)*0.475*44/12</f>
        <v>1.0556068179358926E-15</v>
      </c>
      <c r="AX140" s="23">
        <f t="shared" si="114"/>
        <v>0.479615115283829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-5.1431925385259088E-14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182.11831308043929</v>
      </c>
      <c r="BJ140" s="62">
        <f t="shared" si="146"/>
        <v>75.532250323368885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-2.5420376914553347E-13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320.36162823905426</v>
      </c>
      <c r="T141" s="62">
        <f t="shared" si="142"/>
        <v>284.65760822544792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0.26169560144655085</v>
      </c>
      <c r="AB141" s="23">
        <f>EXP(-LN(2)/2)*AB140+(1-EXP(-LN(2)/2))/(LN(2)/2)*V141*Y141*VLOOKUP('Données projet'!$B$9,Paramètres!$A$1:$I$89,3,0)*0.475*44/12</f>
        <v>1.056571438450711E-15</v>
      </c>
      <c r="AC141" s="24">
        <f t="shared" si="111"/>
        <v>0.26169560144655191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3.1036506698001178E-14</v>
      </c>
      <c r="AK141" s="14">
        <f t="shared" si="143"/>
        <v>5.3428243983771088E-13</v>
      </c>
      <c r="AL141" s="22">
        <f t="shared" si="112"/>
        <v>9.8459716521636505E-13</v>
      </c>
      <c r="AM141" s="62">
        <f t="shared" si="113"/>
        <v>293.33333333333428</v>
      </c>
      <c r="AN141" s="62">
        <f ca="1">AVERAGE(OFFSET($AM$3,0,0,'Données projet'!$E$10+1,1))-AVERAGE(OFFSET($H$3,0,0,'Données projet'!$E$10+1,1))</f>
        <v>155.13440282866992</v>
      </c>
      <c r="AO141" s="62">
        <f t="shared" si="144"/>
        <v>229.92235675849565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0.46650001473452896</v>
      </c>
      <c r="AW141" s="23">
        <f>EXP(-LN(2)/2)*AW140+(1-EXP(-LN(2)/2))/(LN(2)/2)*AQ141*AT141*VLOOKUP('Données projet'!$B$10,Paramètres!$A$1:$I$89,3,0)*0.475*44/12</f>
        <v>7.4642673922922292E-16</v>
      </c>
      <c r="AX141" s="23">
        <f t="shared" si="114"/>
        <v>0.46650001473452968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-5.1431925385259088E-14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182.11831308043929</v>
      </c>
      <c r="BJ141" s="62">
        <f t="shared" si="146"/>
        <v>75.532250323368885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-2.5420376914553347E-13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320.36162823905426</v>
      </c>
      <c r="T142" s="62">
        <f t="shared" si="142"/>
        <v>284.65760822544792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0.25453952146302133</v>
      </c>
      <c r="AB142" s="23">
        <f>EXP(-LN(2)/2)*AB141+(1-EXP(-LN(2)/2))/(LN(2)/2)*V142*Y142*VLOOKUP('Données projet'!$B$9,Paramètres!$A$1:$I$89,3,0)*0.475*44/12</f>
        <v>7.4710882893652265E-16</v>
      </c>
      <c r="AC142" s="24">
        <f t="shared" si="111"/>
        <v>0.25453952146302206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3.1036506698001178E-14</v>
      </c>
      <c r="AK142" s="14">
        <f t="shared" si="143"/>
        <v>5.3428243983771088E-13</v>
      </c>
      <c r="AL142" s="22">
        <f t="shared" si="112"/>
        <v>9.8459716521636505E-13</v>
      </c>
      <c r="AM142" s="62">
        <f t="shared" si="113"/>
        <v>293.33333333333428</v>
      </c>
      <c r="AN142" s="62">
        <f ca="1">AVERAGE(OFFSET($AM$3,0,0,'Données projet'!$E$10+1,1))-AVERAGE(OFFSET($H$3,0,0,'Données projet'!$E$10+1,1))</f>
        <v>155.13440282866992</v>
      </c>
      <c r="AO142" s="62">
        <f t="shared" si="144"/>
        <v>229.92235675849565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0.45374354729944366</v>
      </c>
      <c r="AW142" s="23">
        <f>EXP(-LN(2)/2)*AW141+(1-EXP(-LN(2)/2))/(LN(2)/2)*AQ142*AT142*VLOOKUP('Données projet'!$B$10,Paramètres!$A$1:$I$89,3,0)*0.475*44/12</f>
        <v>5.2780340896794629E-16</v>
      </c>
      <c r="AX142" s="23">
        <f t="shared" si="114"/>
        <v>0.45374354729944422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-5.1431925385259088E-14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182.11831308043929</v>
      </c>
      <c r="BJ142" s="62">
        <f t="shared" si="146"/>
        <v>75.532250323368885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-2.5420376914553347E-13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320.36162823905426</v>
      </c>
      <c r="T143" s="62">
        <f t="shared" si="142"/>
        <v>284.65760822544792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0.24757912486296335</v>
      </c>
      <c r="AB143" s="23">
        <f>EXP(-LN(2)/2)*AB142+(1-EXP(-LN(2)/2))/(LN(2)/2)*V143*Y143*VLOOKUP('Données projet'!$B$9,Paramètres!$A$1:$I$89,3,0)*0.475*44/12</f>
        <v>5.2828571922535549E-16</v>
      </c>
      <c r="AC143" s="24">
        <f t="shared" si="111"/>
        <v>0.24757912486296388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3.1036506698001178E-14</v>
      </c>
      <c r="AK143" s="14">
        <f t="shared" si="143"/>
        <v>5.3428243983771088E-13</v>
      </c>
      <c r="AL143" s="22">
        <f t="shared" si="112"/>
        <v>9.8459716521636505E-13</v>
      </c>
      <c r="AM143" s="62">
        <f t="shared" si="113"/>
        <v>293.33333333333428</v>
      </c>
      <c r="AN143" s="62">
        <f ca="1">AVERAGE(OFFSET($AM$3,0,0,'Données projet'!$E$10+1,1))-AVERAGE(OFFSET($H$3,0,0,'Données projet'!$E$10+1,1))</f>
        <v>155.13440282866992</v>
      </c>
      <c r="AO143" s="62">
        <f t="shared" si="144"/>
        <v>229.92235675849565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0.44133590613720425</v>
      </c>
      <c r="AW143" s="23">
        <f>EXP(-LN(2)/2)*AW142+(1-EXP(-LN(2)/2))/(LN(2)/2)*AQ143*AT143*VLOOKUP('Données projet'!$B$10,Paramètres!$A$1:$I$89,3,0)*0.475*44/12</f>
        <v>3.7321336961461146E-16</v>
      </c>
      <c r="AX143" s="23">
        <f t="shared" si="114"/>
        <v>0.44133590613720464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-5.1431925385259088E-14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182.11831308043929</v>
      </c>
      <c r="BJ143" s="62">
        <f t="shared" si="146"/>
        <v>75.532250323368885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-2.5420376914553347E-13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320.36162823905426</v>
      </c>
      <c r="T144" s="62">
        <f t="shared" si="142"/>
        <v>284.65760822544792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0.24080906067396529</v>
      </c>
      <c r="AB144" s="23">
        <f>EXP(-LN(2)/2)*AB143+(1-EXP(-LN(2)/2))/(LN(2)/2)*V144*Y144*VLOOKUP('Données projet'!$B$9,Paramètres!$A$1:$I$89,3,0)*0.475*44/12</f>
        <v>3.7355441446826132E-16</v>
      </c>
      <c r="AC144" s="24">
        <f t="shared" si="111"/>
        <v>0.24080906067396565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3.1036506698001178E-14</v>
      </c>
      <c r="AK144" s="14">
        <f t="shared" si="143"/>
        <v>5.3428243983771088E-13</v>
      </c>
      <c r="AL144" s="22">
        <f t="shared" si="112"/>
        <v>9.8459716521636505E-13</v>
      </c>
      <c r="AM144" s="62">
        <f t="shared" si="113"/>
        <v>293.33333333333428</v>
      </c>
      <c r="AN144" s="62">
        <f ca="1">AVERAGE(OFFSET($AM$3,0,0,'Données projet'!$E$10+1,1))-AVERAGE(OFFSET($H$3,0,0,'Données projet'!$E$10+1,1))</f>
        <v>155.13440282866992</v>
      </c>
      <c r="AO144" s="62">
        <f t="shared" si="144"/>
        <v>229.92235675849565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0.42926755257503579</v>
      </c>
      <c r="AW144" s="23">
        <f>EXP(-LN(2)/2)*AW143+(1-EXP(-LN(2)/2))/(LN(2)/2)*AQ144*AT144*VLOOKUP('Données projet'!$B$10,Paramètres!$A$1:$I$89,3,0)*0.475*44/12</f>
        <v>2.6390170448397314E-16</v>
      </c>
      <c r="AX144" s="23">
        <f t="shared" si="114"/>
        <v>0.42926755257503607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-5.1431925385259088E-14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182.11831308043929</v>
      </c>
      <c r="BJ144" s="62">
        <f t="shared" si="146"/>
        <v>75.532250323368885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-2.5420376914553347E-13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320.36162823905426</v>
      </c>
      <c r="T145" s="62">
        <f t="shared" si="142"/>
        <v>284.65760822544792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0.23422412424623759</v>
      </c>
      <c r="AB145" s="23">
        <f>EXP(-LN(2)/2)*AB144+(1-EXP(-LN(2)/2))/(LN(2)/2)*V145*Y145*VLOOKUP('Données projet'!$B$9,Paramètres!$A$1:$I$89,3,0)*0.475*44/12</f>
        <v>2.6414285961267774E-16</v>
      </c>
      <c r="AC145" s="24">
        <f t="shared" si="111"/>
        <v>0.23422412424623787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3.1036506698001178E-14</v>
      </c>
      <c r="AK145" s="14">
        <f t="shared" si="143"/>
        <v>5.3428243983771088E-13</v>
      </c>
      <c r="AL145" s="22">
        <f t="shared" si="112"/>
        <v>9.8459716521636505E-13</v>
      </c>
      <c r="AM145" s="62">
        <f t="shared" si="113"/>
        <v>293.33333333333428</v>
      </c>
      <c r="AN145" s="62">
        <f ca="1">AVERAGE(OFFSET($AM$3,0,0,'Données projet'!$E$10+1,1))-AVERAGE(OFFSET($H$3,0,0,'Données projet'!$E$10+1,1))</f>
        <v>155.13440282866992</v>
      </c>
      <c r="AO145" s="62">
        <f t="shared" si="144"/>
        <v>229.92235675849565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0.41752920877567196</v>
      </c>
      <c r="AW145" s="23">
        <f>EXP(-LN(2)/2)*AW144+(1-EXP(-LN(2)/2))/(LN(2)/2)*AQ145*AT145*VLOOKUP('Données projet'!$B$10,Paramètres!$A$1:$I$89,3,0)*0.475*44/12</f>
        <v>1.8660668480730573E-16</v>
      </c>
      <c r="AX145" s="23">
        <f t="shared" si="114"/>
        <v>0.41752920877567212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-5.1431925385259088E-14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182.11831308043929</v>
      </c>
      <c r="BJ145" s="62">
        <f t="shared" si="146"/>
        <v>75.532250323368885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-2.5420376914553347E-13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320.36162823905426</v>
      </c>
      <c r="T146" s="62">
        <f t="shared" si="142"/>
        <v>284.65760822544792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0.22781925325141286</v>
      </c>
      <c r="AB146" s="23">
        <f>EXP(-LN(2)/2)*AB145+(1-EXP(-LN(2)/2))/(LN(2)/2)*V146*Y146*VLOOKUP('Données projet'!$B$9,Paramètres!$A$1:$I$89,3,0)*0.475*44/12</f>
        <v>1.8677720723413066E-16</v>
      </c>
      <c r="AC146" s="24">
        <f t="shared" si="111"/>
        <v>0.22781925325141306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3.1036506698001178E-14</v>
      </c>
      <c r="AK146" s="14">
        <f t="shared" si="143"/>
        <v>5.3428243983771088E-13</v>
      </c>
      <c r="AL146" s="22">
        <f t="shared" si="112"/>
        <v>9.8459716521636505E-13</v>
      </c>
      <c r="AM146" s="62">
        <f t="shared" si="113"/>
        <v>293.33333333333428</v>
      </c>
      <c r="AN146" s="62">
        <f ca="1">AVERAGE(OFFSET($AM$3,0,0,'Données projet'!$E$10+1,1))-AVERAGE(OFFSET($H$3,0,0,'Données projet'!$E$10+1,1))</f>
        <v>155.13440282866992</v>
      </c>
      <c r="AO146" s="62">
        <f t="shared" si="144"/>
        <v>229.92235675849565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0.40611185060479438</v>
      </c>
      <c r="AW146" s="23">
        <f>EXP(-LN(2)/2)*AW145+(1-EXP(-LN(2)/2))/(LN(2)/2)*AQ146*AT146*VLOOKUP('Données projet'!$B$10,Paramètres!$A$1:$I$89,3,0)*0.475*44/12</f>
        <v>1.3195085224198657E-16</v>
      </c>
      <c r="AX146" s="23">
        <f t="shared" si="114"/>
        <v>0.40611185060479449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-5.1431925385259088E-14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182.11831308043929</v>
      </c>
      <c r="BJ146" s="62">
        <f t="shared" si="146"/>
        <v>75.532250323368885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-2.5420376914553347E-13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320.36162823905426</v>
      </c>
      <c r="T147" s="62">
        <f t="shared" si="142"/>
        <v>284.65760822544792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0.22158952379075914</v>
      </c>
      <c r="AB147" s="23">
        <f>EXP(-LN(2)/2)*AB146+(1-EXP(-LN(2)/2))/(LN(2)/2)*V147*Y147*VLOOKUP('Données projet'!$B$9,Paramètres!$A$1:$I$89,3,0)*0.475*44/12</f>
        <v>1.3207142980633887E-16</v>
      </c>
      <c r="AC147" s="24">
        <f t="shared" si="111"/>
        <v>0.22158952379075927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3.1036506698001178E-14</v>
      </c>
      <c r="AK147" s="14">
        <f t="shared" si="143"/>
        <v>5.3428243983771088E-13</v>
      </c>
      <c r="AL147" s="22">
        <f t="shared" si="112"/>
        <v>9.8459716521636505E-13</v>
      </c>
      <c r="AM147" s="62">
        <f t="shared" si="113"/>
        <v>293.33333333333428</v>
      </c>
      <c r="AN147" s="62">
        <f ca="1">AVERAGE(OFFSET($AM$3,0,0,'Données projet'!$E$10+1,1))-AVERAGE(OFFSET($H$3,0,0,'Données projet'!$E$10+1,1))</f>
        <v>155.13440282866992</v>
      </c>
      <c r="AO147" s="62">
        <f t="shared" si="144"/>
        <v>229.92235675849565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0.39500670069351224</v>
      </c>
      <c r="AW147" s="23">
        <f>EXP(-LN(2)/2)*AW146+(1-EXP(-LN(2)/2))/(LN(2)/2)*AQ147*AT147*VLOOKUP('Données projet'!$B$10,Paramètres!$A$1:$I$89,3,0)*0.475*44/12</f>
        <v>9.3303342403652865E-17</v>
      </c>
      <c r="AX147" s="23">
        <f t="shared" si="114"/>
        <v>0.39500670069351235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-5.1431925385259088E-14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182.11831308043929</v>
      </c>
      <c r="BJ147" s="62">
        <f t="shared" si="146"/>
        <v>75.532250323368885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-2.5420376914553347E-13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320.36162823905426</v>
      </c>
      <c r="T148" s="62">
        <f t="shared" si="142"/>
        <v>284.65760822544792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0.21553014660981423</v>
      </c>
      <c r="AB148" s="23">
        <f>EXP(-LN(2)/2)*AB147+(1-EXP(-LN(2)/2))/(LN(2)/2)*V148*Y148*VLOOKUP('Données projet'!$B$9,Paramètres!$A$1:$I$89,3,0)*0.475*44/12</f>
        <v>9.3388603617065331E-17</v>
      </c>
      <c r="AC148" s="24">
        <f t="shared" si="111"/>
        <v>0.21553014660981432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3.1036506698001178E-14</v>
      </c>
      <c r="AK148" s="14">
        <f t="shared" si="143"/>
        <v>5.3428243983771088E-13</v>
      </c>
      <c r="AL148" s="22">
        <f t="shared" si="112"/>
        <v>9.8459716521636505E-13</v>
      </c>
      <c r="AM148" s="62">
        <f t="shared" si="113"/>
        <v>293.33333333333428</v>
      </c>
      <c r="AN148" s="62">
        <f ca="1">AVERAGE(OFFSET($AM$3,0,0,'Données projet'!$E$10+1,1))-AVERAGE(OFFSET($H$3,0,0,'Données projet'!$E$10+1,1))</f>
        <v>155.13440282866992</v>
      </c>
      <c r="AO148" s="62">
        <f t="shared" si="144"/>
        <v>229.92235675849565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0.38420522169054855</v>
      </c>
      <c r="AW148" s="23">
        <f>EXP(-LN(2)/2)*AW147+(1-EXP(-LN(2)/2))/(LN(2)/2)*AQ148*AT148*VLOOKUP('Données projet'!$B$10,Paramètres!$A$1:$I$89,3,0)*0.475*44/12</f>
        <v>6.5975426120993286E-17</v>
      </c>
      <c r="AX148" s="23">
        <f t="shared" si="114"/>
        <v>0.3842052216905486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-5.1431925385259088E-14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182.11831308043929</v>
      </c>
      <c r="BJ148" s="62">
        <f t="shared" si="146"/>
        <v>75.532250323368885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-2.5420376914553347E-13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320.36162823905426</v>
      </c>
      <c r="T149" s="62">
        <f t="shared" si="142"/>
        <v>284.65760822544792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0.20963646341653105</v>
      </c>
      <c r="AB149" s="23">
        <f>EXP(-LN(2)/2)*AB148+(1-EXP(-LN(2)/2))/(LN(2)/2)*V149*Y149*VLOOKUP('Données projet'!$B$9,Paramètres!$A$1:$I$89,3,0)*0.475*44/12</f>
        <v>6.6035714903169436E-17</v>
      </c>
      <c r="AC149" s="24">
        <f t="shared" si="111"/>
        <v>0.20963646341653111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3.1036506698001178E-14</v>
      </c>
      <c r="AK149" s="14">
        <f t="shared" si="143"/>
        <v>5.3428243983771088E-13</v>
      </c>
      <c r="AL149" s="22">
        <f t="shared" si="112"/>
        <v>9.8459716521636505E-13</v>
      </c>
      <c r="AM149" s="62">
        <f t="shared" si="113"/>
        <v>293.33333333333428</v>
      </c>
      <c r="AN149" s="62">
        <f ca="1">AVERAGE(OFFSET($AM$3,0,0,'Données projet'!$E$10+1,1))-AVERAGE(OFFSET($H$3,0,0,'Données projet'!$E$10+1,1))</f>
        <v>155.13440282866992</v>
      </c>
      <c r="AO149" s="62">
        <f t="shared" si="144"/>
        <v>229.92235675849565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0.37369910969894599</v>
      </c>
      <c r="AW149" s="23">
        <f>EXP(-LN(2)/2)*AW148+(1-EXP(-LN(2)/2))/(LN(2)/2)*AQ149*AT149*VLOOKUP('Données projet'!$B$10,Paramètres!$A$1:$I$89,3,0)*0.475*44/12</f>
        <v>4.6651671201826432E-17</v>
      </c>
      <c r="AX149" s="23">
        <f t="shared" si="114"/>
        <v>0.37369910969894604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-5.1431925385259088E-14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182.11831308043929</v>
      </c>
      <c r="BJ149" s="62">
        <f t="shared" si="146"/>
        <v>75.532250323368885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-2.5420376914553347E-13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320.36162823905426</v>
      </c>
      <c r="T150" s="62">
        <f t="shared" si="142"/>
        <v>284.65760822544792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0.20390394330010353</v>
      </c>
      <c r="AB150" s="23">
        <f>EXP(-LN(2)/2)*AB149+(1-EXP(-LN(2)/2))/(LN(2)/2)*V150*Y150*VLOOKUP('Données projet'!$B$9,Paramètres!$A$1:$I$89,3,0)*0.475*44/12</f>
        <v>4.6694301808532666E-17</v>
      </c>
      <c r="AC150" s="24">
        <f t="shared" si="111"/>
        <v>0.20390394330010359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3.1036506698001178E-14</v>
      </c>
      <c r="AK150" s="14">
        <f t="shared" si="143"/>
        <v>5.3428243983771088E-13</v>
      </c>
      <c r="AL150" s="22">
        <f t="shared" si="112"/>
        <v>9.8459716521636505E-13</v>
      </c>
      <c r="AM150" s="62">
        <f t="shared" si="113"/>
        <v>293.33333333333428</v>
      </c>
      <c r="AN150" s="62">
        <f ca="1">AVERAGE(OFFSET($AM$3,0,0,'Données projet'!$E$10+1,1))-AVERAGE(OFFSET($H$3,0,0,'Données projet'!$E$10+1,1))</f>
        <v>155.13440282866992</v>
      </c>
      <c r="AO150" s="62">
        <f t="shared" si="144"/>
        <v>229.92235675849565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0.36348028789224623</v>
      </c>
      <c r="AW150" s="23">
        <f>EXP(-LN(2)/2)*AW149+(1-EXP(-LN(2)/2))/(LN(2)/2)*AQ150*AT150*VLOOKUP('Données projet'!$B$10,Paramètres!$A$1:$I$89,3,0)*0.475*44/12</f>
        <v>3.2987713060496643E-17</v>
      </c>
      <c r="AX150" s="23">
        <f t="shared" si="114"/>
        <v>0.36348028789224629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-5.1431925385259088E-14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182.11831308043929</v>
      </c>
      <c r="BJ150" s="62">
        <f t="shared" si="146"/>
        <v>75.532250323368885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-2.5420376914553347E-13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320.36162823905426</v>
      </c>
      <c r="T151" s="62">
        <f t="shared" si="142"/>
        <v>284.65760822544792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0.19832817924771984</v>
      </c>
      <c r="AB151" s="23">
        <f>EXP(-LN(2)/2)*AB150+(1-EXP(-LN(2)/2))/(LN(2)/2)*V151*Y151*VLOOKUP('Données projet'!$B$9,Paramètres!$A$1:$I$89,3,0)*0.475*44/12</f>
        <v>3.3017857451584718E-17</v>
      </c>
      <c r="AC151" s="24">
        <f t="shared" si="111"/>
        <v>0.19832817924771987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3.1036506698001178E-14</v>
      </c>
      <c r="AK151" s="14">
        <f t="shared" si="143"/>
        <v>5.3428243983771088E-13</v>
      </c>
      <c r="AL151" s="22">
        <f t="shared" si="112"/>
        <v>9.8459716521636505E-13</v>
      </c>
      <c r="AM151" s="62">
        <f t="shared" si="113"/>
        <v>293.33333333333428</v>
      </c>
      <c r="AN151" s="62">
        <f ca="1">AVERAGE(OFFSET($AM$3,0,0,'Données projet'!$E$10+1,1))-AVERAGE(OFFSET($H$3,0,0,'Données projet'!$E$10+1,1))</f>
        <v>155.13440282866992</v>
      </c>
      <c r="AO151" s="62">
        <f t="shared" si="144"/>
        <v>229.92235675849565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0.35354090030523516</v>
      </c>
      <c r="AW151" s="23">
        <f>EXP(-LN(2)/2)*AW150+(1-EXP(-LN(2)/2))/(LN(2)/2)*AQ151*AT151*VLOOKUP('Données projet'!$B$10,Paramètres!$A$1:$I$89,3,0)*0.475*44/12</f>
        <v>2.3325835600913216E-17</v>
      </c>
      <c r="AX151" s="23">
        <f t="shared" si="114"/>
        <v>0.35354090030523516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-5.1431925385259088E-14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182.11831308043929</v>
      </c>
      <c r="BJ151" s="62">
        <f t="shared" si="146"/>
        <v>75.532250323368885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-2.5420376914553347E-13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320.36162823905426</v>
      </c>
      <c r="T152" s="62">
        <f t="shared" si="142"/>
        <v>284.65760822544792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0.19290488475656528</v>
      </c>
      <c r="AB152" s="23">
        <f>EXP(-LN(2)/2)*AB151+(1-EXP(-LN(2)/2))/(LN(2)/2)*V152*Y152*VLOOKUP('Données projet'!$B$9,Paramètres!$A$1:$I$89,3,0)*0.475*44/12</f>
        <v>2.3347150904266333E-17</v>
      </c>
      <c r="AC152" s="24">
        <f t="shared" si="111"/>
        <v>0.19290488475656531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3.1036506698001178E-14</v>
      </c>
      <c r="AK152" s="14">
        <f t="shared" si="143"/>
        <v>5.3428243983771088E-13</v>
      </c>
      <c r="AL152" s="22">
        <f t="shared" si="112"/>
        <v>9.8459716521636505E-13</v>
      </c>
      <c r="AM152" s="62">
        <f t="shared" si="113"/>
        <v>293.33333333333428</v>
      </c>
      <c r="AN152" s="62">
        <f ca="1">AVERAGE(OFFSET($AM$3,0,0,'Données projet'!$E$10+1,1))-AVERAGE(OFFSET($H$3,0,0,'Données projet'!$E$10+1,1))</f>
        <v>155.13440282866992</v>
      </c>
      <c r="AO152" s="62">
        <f t="shared" si="144"/>
        <v>229.92235675849565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0.34387330579448061</v>
      </c>
      <c r="AW152" s="23">
        <f>EXP(-LN(2)/2)*AW151+(1-EXP(-LN(2)/2))/(LN(2)/2)*AQ152*AT152*VLOOKUP('Données projet'!$B$10,Paramètres!$A$1:$I$89,3,0)*0.475*44/12</f>
        <v>1.6493856530248322E-17</v>
      </c>
      <c r="AX152" s="23">
        <f t="shared" si="114"/>
        <v>0.34387330579448061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-5.1431925385259088E-14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182.11831308043929</v>
      </c>
      <c r="BJ152" s="62">
        <f t="shared" si="146"/>
        <v>75.532250323368885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-2.5420376914553347E-13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320.36162823905426</v>
      </c>
      <c r="T153" s="62">
        <f t="shared" si="142"/>
        <v>284.65760822544792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0.18762989053847001</v>
      </c>
      <c r="AB153" s="23">
        <f>EXP(-LN(2)/2)*AB152+(1-EXP(-LN(2)/2))/(LN(2)/2)*V153*Y153*VLOOKUP('Données projet'!$B$9,Paramètres!$A$1:$I$89,3,0)*0.475*44/12</f>
        <v>1.6508928725792359E-17</v>
      </c>
      <c r="AC153" s="24">
        <f t="shared" si="111"/>
        <v>0.18762989053847004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3.1036506698001178E-14</v>
      </c>
      <c r="AK153" s="14">
        <f t="shared" si="143"/>
        <v>5.3428243983771088E-13</v>
      </c>
      <c r="AL153" s="22">
        <f t="shared" si="112"/>
        <v>9.8459716521636505E-13</v>
      </c>
      <c r="AM153" s="62">
        <f t="shared" si="113"/>
        <v>293.33333333333428</v>
      </c>
      <c r="AN153" s="62">
        <f ca="1">AVERAGE(OFFSET($AM$3,0,0,'Données projet'!$E$10+1,1))-AVERAGE(OFFSET($H$3,0,0,'Données projet'!$E$10+1,1))</f>
        <v>155.13440282866992</v>
      </c>
      <c r="AO153" s="62">
        <f t="shared" si="144"/>
        <v>229.92235675849565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0.33447007216401931</v>
      </c>
      <c r="AW153" s="23">
        <f>EXP(-LN(2)/2)*AW152+(1-EXP(-LN(2)/2))/(LN(2)/2)*AQ153*AT153*VLOOKUP('Données projet'!$B$10,Paramètres!$A$1:$I$89,3,0)*0.475*44/12</f>
        <v>1.1662917800456608E-17</v>
      </c>
      <c r="AX153" s="23">
        <f t="shared" si="114"/>
        <v>0.33447007216401931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-5.1431925385259088E-14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182.11831308043929</v>
      </c>
      <c r="BJ153" s="62">
        <f t="shared" si="146"/>
        <v>75.532250323368885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-2.5420376914553347E-13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320.36162823905426</v>
      </c>
      <c r="T154" s="62">
        <f t="shared" si="142"/>
        <v>284.65760822544792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0.18249914131466843</v>
      </c>
      <c r="AB154" s="23">
        <f>EXP(-LN(2)/2)*AB153+(1-EXP(-LN(2)/2))/(LN(2)/2)*V154*Y154*VLOOKUP('Données projet'!$B$9,Paramètres!$A$1:$I$89,3,0)*0.475*44/12</f>
        <v>1.1673575452133166E-17</v>
      </c>
      <c r="AC154" s="24">
        <f t="shared" ref="AC154:AC203" si="163">SUM(Z154:AB154)</f>
        <v>0.18249914131466843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3.1036506698001178E-14</v>
      </c>
      <c r="AK154" s="14">
        <f t="shared" ref="AK154:AK203" si="164">EXP(-1.0587+0.8836*LN(AJ154)+0.284)</f>
        <v>5.3428243983771088E-13</v>
      </c>
      <c r="AL154" s="22">
        <f t="shared" ref="AL154:AL203" si="165">(AJ154+AK154)*0.475*44/12</f>
        <v>9.8459716521636505E-13</v>
      </c>
      <c r="AM154" s="62">
        <f t="shared" si="113"/>
        <v>293.33333333333428</v>
      </c>
      <c r="AN154" s="62">
        <f ca="1">AVERAGE(OFFSET($AM$3,0,0,'Données projet'!$E$10+1,1))-AVERAGE(OFFSET($H$3,0,0,'Données projet'!$E$10+1,1))</f>
        <v>155.13440282866992</v>
      </c>
      <c r="AO154" s="62">
        <f t="shared" si="144"/>
        <v>229.92235675849565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0.32532397045167755</v>
      </c>
      <c r="AW154" s="23">
        <f>EXP(-LN(2)/2)*AW153+(1-EXP(-LN(2)/2))/(LN(2)/2)*AQ154*AT154*VLOOKUP('Données projet'!$B$10,Paramètres!$A$1:$I$89,3,0)*0.475*44/12</f>
        <v>8.2469282651241608E-18</v>
      </c>
      <c r="AX154" s="23">
        <f t="shared" ref="AX154:AX203" si="166">SUM(AU154:AW154)</f>
        <v>0.32532397045167755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-5.1431925385259088E-14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182.11831308043929</v>
      </c>
      <c r="BJ154" s="62">
        <f t="shared" si="146"/>
        <v>75.532250323368885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-2.5420376914553347E-13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320.36162823905426</v>
      </c>
      <c r="T155" s="62">
        <f t="shared" si="142"/>
        <v>284.65760822544792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0.1775086926982061</v>
      </c>
      <c r="AB155" s="23">
        <f>EXP(-LN(2)/2)*AB154+(1-EXP(-LN(2)/2))/(LN(2)/2)*V155*Y155*VLOOKUP('Données projet'!$B$9,Paramètres!$A$1:$I$89,3,0)*0.475*44/12</f>
        <v>8.2544643628961795E-18</v>
      </c>
      <c r="AC155" s="24">
        <f t="shared" si="163"/>
        <v>0.1775086926982061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3.1036506698001178E-14</v>
      </c>
      <c r="AK155" s="14">
        <f t="shared" si="164"/>
        <v>5.3428243983771088E-13</v>
      </c>
      <c r="AL155" s="22">
        <f t="shared" si="165"/>
        <v>9.8459716521636505E-13</v>
      </c>
      <c r="AM155" s="62">
        <f t="shared" si="113"/>
        <v>293.33333333333428</v>
      </c>
      <c r="AN155" s="62">
        <f ca="1">AVERAGE(OFFSET($AM$3,0,0,'Données projet'!$E$10+1,1))-AVERAGE(OFFSET($H$3,0,0,'Données projet'!$E$10+1,1))</f>
        <v>155.13440282866992</v>
      </c>
      <c r="AO155" s="62">
        <f t="shared" si="144"/>
        <v>229.92235675849565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0.31642796937163237</v>
      </c>
      <c r="AW155" s="23">
        <f>EXP(-LN(2)/2)*AW154+(1-EXP(-LN(2)/2))/(LN(2)/2)*AQ155*AT155*VLOOKUP('Données projet'!$B$10,Paramètres!$A$1:$I$89,3,0)*0.475*44/12</f>
        <v>5.8314589002283041E-18</v>
      </c>
      <c r="AX155" s="23">
        <f t="shared" si="166"/>
        <v>0.31642796937163237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-5.1431925385259088E-14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182.11831308043929</v>
      </c>
      <c r="BJ155" s="62">
        <f t="shared" si="146"/>
        <v>75.532250323368885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-2.5420376914553347E-13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320.36162823905426</v>
      </c>
      <c r="T156" s="62">
        <f t="shared" si="142"/>
        <v>284.65760822544792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0.1726547081615972</v>
      </c>
      <c r="AB156" s="23">
        <f>EXP(-LN(2)/2)*AB155+(1-EXP(-LN(2)/2))/(LN(2)/2)*V156*Y156*VLOOKUP('Données projet'!$B$9,Paramètres!$A$1:$I$89,3,0)*0.475*44/12</f>
        <v>5.8367877260665832E-18</v>
      </c>
      <c r="AC156" s="24">
        <f t="shared" si="163"/>
        <v>0.1726547081615972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3.1036506698001178E-14</v>
      </c>
      <c r="AK156" s="14">
        <f t="shared" si="164"/>
        <v>5.3428243983771088E-13</v>
      </c>
      <c r="AL156" s="22">
        <f t="shared" si="165"/>
        <v>9.8459716521636505E-13</v>
      </c>
      <c r="AM156" s="62">
        <f t="shared" si="113"/>
        <v>293.33333333333428</v>
      </c>
      <c r="AN156" s="62">
        <f ca="1">AVERAGE(OFFSET($AM$3,0,0,'Données projet'!$E$10+1,1))-AVERAGE(OFFSET($H$3,0,0,'Données projet'!$E$10+1,1))</f>
        <v>155.13440282866992</v>
      </c>
      <c r="AO156" s="62">
        <f t="shared" si="144"/>
        <v>229.92235675849565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0.30777522990894135</v>
      </c>
      <c r="AW156" s="23">
        <f>EXP(-LN(2)/2)*AW155+(1-EXP(-LN(2)/2))/(LN(2)/2)*AQ156*AT156*VLOOKUP('Données projet'!$B$10,Paramètres!$A$1:$I$89,3,0)*0.475*44/12</f>
        <v>4.1234641325620804E-18</v>
      </c>
      <c r="AX156" s="23">
        <f t="shared" si="166"/>
        <v>0.30777522990894135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-5.1431925385259088E-14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182.11831308043929</v>
      </c>
      <c r="BJ156" s="62">
        <f t="shared" si="146"/>
        <v>75.532250323368885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-2.5420376914553347E-13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320.36162823905426</v>
      </c>
      <c r="T157" s="62">
        <f t="shared" si="142"/>
        <v>284.65760822544792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0.16793345608740182</v>
      </c>
      <c r="AB157" s="23">
        <f>EXP(-LN(2)/2)*AB156+(1-EXP(-LN(2)/2))/(LN(2)/2)*V157*Y157*VLOOKUP('Données projet'!$B$9,Paramètres!$A$1:$I$89,3,0)*0.475*44/12</f>
        <v>4.1272321814480897E-18</v>
      </c>
      <c r="AC157" s="24">
        <f t="shared" si="163"/>
        <v>0.16793345608740182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3.1036506698001178E-14</v>
      </c>
      <c r="AK157" s="14">
        <f t="shared" si="164"/>
        <v>5.3428243983771088E-13</v>
      </c>
      <c r="AL157" s="22">
        <f t="shared" si="165"/>
        <v>9.8459716521636505E-13</v>
      </c>
      <c r="AM157" s="62">
        <f t="shared" si="113"/>
        <v>293.33333333333428</v>
      </c>
      <c r="AN157" s="62">
        <f ca="1">AVERAGE(OFFSET($AM$3,0,0,'Données projet'!$E$10+1,1))-AVERAGE(OFFSET($H$3,0,0,'Données projet'!$E$10+1,1))</f>
        <v>155.13440282866992</v>
      </c>
      <c r="AO157" s="62">
        <f t="shared" si="144"/>
        <v>229.92235675849565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0.29935910006188543</v>
      </c>
      <c r="AW157" s="23">
        <f>EXP(-LN(2)/2)*AW156+(1-EXP(-LN(2)/2))/(LN(2)/2)*AQ157*AT157*VLOOKUP('Données projet'!$B$10,Paramètres!$A$1:$I$89,3,0)*0.475*44/12</f>
        <v>2.915729450114152E-18</v>
      </c>
      <c r="AX157" s="23">
        <f t="shared" si="166"/>
        <v>0.29935910006188543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-5.1431925385259088E-14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182.11831308043929</v>
      </c>
      <c r="BJ157" s="62">
        <f t="shared" si="146"/>
        <v>75.532250323368885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-2.5420376914553347E-13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320.36162823905426</v>
      </c>
      <c r="T158" s="62">
        <f t="shared" si="142"/>
        <v>284.65760822544792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0.16334130689945517</v>
      </c>
      <c r="AB158" s="23">
        <f>EXP(-LN(2)/2)*AB157+(1-EXP(-LN(2)/2))/(LN(2)/2)*V158*Y158*VLOOKUP('Données projet'!$B$9,Paramètres!$A$1:$I$89,3,0)*0.475*44/12</f>
        <v>2.9183938630332916E-18</v>
      </c>
      <c r="AC158" s="24">
        <f t="shared" si="163"/>
        <v>0.16334130689945517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3.1036506698001178E-14</v>
      </c>
      <c r="AK158" s="14">
        <f t="shared" si="164"/>
        <v>5.3428243983771088E-13</v>
      </c>
      <c r="AL158" s="22">
        <f t="shared" si="165"/>
        <v>9.8459716521636505E-13</v>
      </c>
      <c r="AM158" s="62">
        <f t="shared" si="113"/>
        <v>293.33333333333428</v>
      </c>
      <c r="AN158" s="62">
        <f ca="1">AVERAGE(OFFSET($AM$3,0,0,'Données projet'!$E$10+1,1))-AVERAGE(OFFSET($H$3,0,0,'Données projet'!$E$10+1,1))</f>
        <v>155.13440282866992</v>
      </c>
      <c r="AO158" s="62">
        <f t="shared" si="144"/>
        <v>229.92235675849565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0.2911731097280823</v>
      </c>
      <c r="AW158" s="23">
        <f>EXP(-LN(2)/2)*AW157+(1-EXP(-LN(2)/2))/(LN(2)/2)*AQ158*AT158*VLOOKUP('Données projet'!$B$10,Paramètres!$A$1:$I$89,3,0)*0.475*44/12</f>
        <v>2.0617320662810402E-18</v>
      </c>
      <c r="AX158" s="23">
        <f t="shared" si="166"/>
        <v>0.2911731097280823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-5.1431925385259088E-14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182.11831308043929</v>
      </c>
      <c r="BJ158" s="62">
        <f t="shared" si="146"/>
        <v>75.532250323368885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-2.5420376914553347E-13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320.36162823905426</v>
      </c>
      <c r="T159" s="62">
        <f t="shared" si="142"/>
        <v>284.65760822544792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0.15887473027254356</v>
      </c>
      <c r="AB159" s="23">
        <f>EXP(-LN(2)/2)*AB158+(1-EXP(-LN(2)/2))/(LN(2)/2)*V159*Y159*VLOOKUP('Données projet'!$B$9,Paramètres!$A$1:$I$89,3,0)*0.475*44/12</f>
        <v>2.0636160907240449E-18</v>
      </c>
      <c r="AC159" s="24">
        <f t="shared" si="163"/>
        <v>0.15887473027254356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3.1036506698001178E-14</v>
      </c>
      <c r="AK159" s="14">
        <f t="shared" si="164"/>
        <v>5.3428243983771088E-13</v>
      </c>
      <c r="AL159" s="22">
        <f t="shared" si="165"/>
        <v>9.8459716521636505E-13</v>
      </c>
      <c r="AM159" s="62">
        <f t="shared" si="113"/>
        <v>293.33333333333428</v>
      </c>
      <c r="AN159" s="62">
        <f ca="1">AVERAGE(OFFSET($AM$3,0,0,'Données projet'!$E$10+1,1))-AVERAGE(OFFSET($H$3,0,0,'Données projet'!$E$10+1,1))</f>
        <v>155.13440282866992</v>
      </c>
      <c r="AO159" s="62">
        <f t="shared" si="144"/>
        <v>229.92235675849565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0.28321096573043952</v>
      </c>
      <c r="AW159" s="23">
        <f>EXP(-LN(2)/2)*AW158+(1-EXP(-LN(2)/2))/(LN(2)/2)*AQ159*AT159*VLOOKUP('Données projet'!$B$10,Paramètres!$A$1:$I$89,3,0)*0.475*44/12</f>
        <v>1.457864725057076E-18</v>
      </c>
      <c r="AX159" s="23">
        <f t="shared" si="166"/>
        <v>0.28321096573043952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-5.1431925385259088E-14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182.11831308043929</v>
      </c>
      <c r="BJ159" s="62">
        <f t="shared" si="146"/>
        <v>75.532250323368885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-2.5420376914553347E-13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320.36162823905426</v>
      </c>
      <c r="T160" s="62">
        <f t="shared" si="142"/>
        <v>284.65760822544792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0.1545302924183819</v>
      </c>
      <c r="AB160" s="23">
        <f>EXP(-LN(2)/2)*AB159+(1-EXP(-LN(2)/2))/(LN(2)/2)*V160*Y160*VLOOKUP('Données projet'!$B$9,Paramètres!$A$1:$I$89,3,0)*0.475*44/12</f>
        <v>1.4591969315166458E-18</v>
      </c>
      <c r="AC160" s="24">
        <f t="shared" si="163"/>
        <v>0.1545302924183819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3.1036506698001178E-14</v>
      </c>
      <c r="AK160" s="14">
        <f t="shared" si="164"/>
        <v>5.3428243983771088E-13</v>
      </c>
      <c r="AL160" s="22">
        <f t="shared" si="165"/>
        <v>9.8459716521636505E-13</v>
      </c>
      <c r="AM160" s="62">
        <f t="shared" si="113"/>
        <v>293.33333333333428</v>
      </c>
      <c r="AN160" s="62">
        <f ca="1">AVERAGE(OFFSET($AM$3,0,0,'Données projet'!$E$10+1,1))-AVERAGE(OFFSET($H$3,0,0,'Données projet'!$E$10+1,1))</f>
        <v>155.13440282866992</v>
      </c>
      <c r="AO160" s="62">
        <f t="shared" si="144"/>
        <v>229.92235675849565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0.27546654697912326</v>
      </c>
      <c r="AW160" s="23">
        <f>EXP(-LN(2)/2)*AW159+(1-EXP(-LN(2)/2))/(LN(2)/2)*AQ160*AT160*VLOOKUP('Données projet'!$B$10,Paramètres!$A$1:$I$89,3,0)*0.475*44/12</f>
        <v>1.0308660331405201E-18</v>
      </c>
      <c r="AX160" s="23">
        <f t="shared" si="166"/>
        <v>0.27546654697912326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-5.1431925385259088E-14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182.11831308043929</v>
      </c>
      <c r="BJ160" s="62">
        <f t="shared" si="146"/>
        <v>75.532250323368885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-2.5420376914553347E-13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320.36162823905426</v>
      </c>
      <c r="T161" s="62">
        <f t="shared" si="142"/>
        <v>284.65760822544792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0.15030465344580635</v>
      </c>
      <c r="AB161" s="23">
        <f>EXP(-LN(2)/2)*AB160+(1-EXP(-LN(2)/2))/(LN(2)/2)*V161*Y161*VLOOKUP('Données projet'!$B$9,Paramètres!$A$1:$I$89,3,0)*0.475*44/12</f>
        <v>1.0318080453620224E-18</v>
      </c>
      <c r="AC161" s="24">
        <f t="shared" si="163"/>
        <v>0.15030465344580635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3.1036506698001178E-14</v>
      </c>
      <c r="AK161" s="14">
        <f t="shared" si="164"/>
        <v>5.3428243983771088E-13</v>
      </c>
      <c r="AL161" s="22">
        <f t="shared" si="165"/>
        <v>9.8459716521636505E-13</v>
      </c>
      <c r="AM161" s="62">
        <f t="shared" si="113"/>
        <v>293.33333333333428</v>
      </c>
      <c r="AN161" s="62">
        <f ca="1">AVERAGE(OFFSET($AM$3,0,0,'Données projet'!$E$10+1,1))-AVERAGE(OFFSET($H$3,0,0,'Données projet'!$E$10+1,1))</f>
        <v>155.13440282866992</v>
      </c>
      <c r="AO161" s="62">
        <f t="shared" si="144"/>
        <v>229.92235675849565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0.26793389976582299</v>
      </c>
      <c r="AW161" s="23">
        <f>EXP(-LN(2)/2)*AW160+(1-EXP(-LN(2)/2))/(LN(2)/2)*AQ161*AT161*VLOOKUP('Données projet'!$B$10,Paramètres!$A$1:$I$89,3,0)*0.475*44/12</f>
        <v>7.2893236252853801E-19</v>
      </c>
      <c r="AX161" s="23">
        <f t="shared" si="166"/>
        <v>0.26793389976582299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-5.1431925385259088E-14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182.11831308043929</v>
      </c>
      <c r="BJ161" s="62">
        <f t="shared" si="146"/>
        <v>75.532250323368885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-2.5420376914553347E-13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320.36162823905426</v>
      </c>
      <c r="T162" s="62">
        <f t="shared" si="142"/>
        <v>284.65760822544792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0.14619456479315257</v>
      </c>
      <c r="AB162" s="23">
        <f>EXP(-LN(2)/2)*AB161+(1-EXP(-LN(2)/2))/(LN(2)/2)*V162*Y162*VLOOKUP('Données projet'!$B$9,Paramètres!$A$1:$I$89,3,0)*0.475*44/12</f>
        <v>7.295984657583229E-19</v>
      </c>
      <c r="AC162" s="24">
        <f t="shared" si="163"/>
        <v>0.14619456479315257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3.1036506698001178E-14</v>
      </c>
      <c r="AK162" s="14">
        <f t="shared" si="164"/>
        <v>5.3428243983771088E-13</v>
      </c>
      <c r="AL162" s="22">
        <f t="shared" si="165"/>
        <v>9.8459716521636505E-13</v>
      </c>
      <c r="AM162" s="62">
        <f t="shared" si="113"/>
        <v>293.33333333333428</v>
      </c>
      <c r="AN162" s="62">
        <f ca="1">AVERAGE(OFFSET($AM$3,0,0,'Données projet'!$E$10+1,1))-AVERAGE(OFFSET($H$3,0,0,'Données projet'!$E$10+1,1))</f>
        <v>155.13440282866992</v>
      </c>
      <c r="AO162" s="62">
        <f t="shared" si="144"/>
        <v>229.92235675849565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0.26060723318669515</v>
      </c>
      <c r="AW162" s="23">
        <f>EXP(-LN(2)/2)*AW161+(1-EXP(-LN(2)/2))/(LN(2)/2)*AQ162*AT162*VLOOKUP('Données projet'!$B$10,Paramètres!$A$1:$I$89,3,0)*0.475*44/12</f>
        <v>5.1543301657026005E-19</v>
      </c>
      <c r="AX162" s="23">
        <f t="shared" si="166"/>
        <v>0.26060723318669515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-5.1431925385259088E-14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182.11831308043929</v>
      </c>
      <c r="BJ162" s="62">
        <f t="shared" si="146"/>
        <v>75.532250323368885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-2.5420376914553347E-13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320.36162823905426</v>
      </c>
      <c r="T163" s="62">
        <f t="shared" si="142"/>
        <v>284.65760822544792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0.14219686673084578</v>
      </c>
      <c r="AB163" s="23">
        <f>EXP(-LN(2)/2)*AB162+(1-EXP(-LN(2)/2))/(LN(2)/2)*V163*Y163*VLOOKUP('Données projet'!$B$9,Paramètres!$A$1:$I$89,3,0)*0.475*44/12</f>
        <v>5.1590402268101122E-19</v>
      </c>
      <c r="AC163" s="24">
        <f t="shared" si="163"/>
        <v>0.14219686673084578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3.1036506698001178E-14</v>
      </c>
      <c r="AK163" s="14">
        <f t="shared" si="164"/>
        <v>5.3428243983771088E-13</v>
      </c>
      <c r="AL163" s="22">
        <f t="shared" si="165"/>
        <v>9.8459716521636505E-13</v>
      </c>
      <c r="AM163" s="62">
        <f t="shared" si="113"/>
        <v>293.33333333333428</v>
      </c>
      <c r="AN163" s="62">
        <f ca="1">AVERAGE(OFFSET($AM$3,0,0,'Données projet'!$E$10+1,1))-AVERAGE(OFFSET($H$3,0,0,'Données projet'!$E$10+1,1))</f>
        <v>155.13440282866992</v>
      </c>
      <c r="AO163" s="62">
        <f t="shared" si="144"/>
        <v>229.92235675849565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0.25348091469046619</v>
      </c>
      <c r="AW163" s="23">
        <f>EXP(-LN(2)/2)*AW162+(1-EXP(-LN(2)/2))/(LN(2)/2)*AQ163*AT163*VLOOKUP('Données projet'!$B$10,Paramètres!$A$1:$I$89,3,0)*0.475*44/12</f>
        <v>3.64466181264269E-19</v>
      </c>
      <c r="AX163" s="23">
        <f t="shared" si="166"/>
        <v>0.25348091469046619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-5.1431925385259088E-14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182.11831308043929</v>
      </c>
      <c r="BJ163" s="62">
        <f t="shared" si="146"/>
        <v>75.532250323368885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-2.5420376914553347E-13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320.36162823905426</v>
      </c>
      <c r="T164" s="62">
        <f t="shared" si="142"/>
        <v>284.65760822544792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0.13830848593228257</v>
      </c>
      <c r="AB164" s="23">
        <f>EXP(-LN(2)/2)*AB163+(1-EXP(-LN(2)/2))/(LN(2)/2)*V164*Y164*VLOOKUP('Données projet'!$B$9,Paramètres!$A$1:$I$89,3,0)*0.475*44/12</f>
        <v>3.6479923287916145E-19</v>
      </c>
      <c r="AC164" s="24">
        <f t="shared" si="163"/>
        <v>0.13830848593228257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3.1036506698001178E-14</v>
      </c>
      <c r="AK164" s="14">
        <f t="shared" si="164"/>
        <v>5.3428243983771088E-13</v>
      </c>
      <c r="AL164" s="22">
        <f t="shared" si="165"/>
        <v>9.8459716521636505E-13</v>
      </c>
      <c r="AM164" s="62">
        <f t="shared" si="113"/>
        <v>293.33333333333428</v>
      </c>
      <c r="AN164" s="62">
        <f ca="1">AVERAGE(OFFSET($AM$3,0,0,'Données projet'!$E$10+1,1))-AVERAGE(OFFSET($H$3,0,0,'Données projet'!$E$10+1,1))</f>
        <v>155.13440282866992</v>
      </c>
      <c r="AO164" s="62">
        <f t="shared" si="144"/>
        <v>229.92235675849565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0.24654946574827341</v>
      </c>
      <c r="AW164" s="23">
        <f>EXP(-LN(2)/2)*AW163+(1-EXP(-LN(2)/2))/(LN(2)/2)*AQ164*AT164*VLOOKUP('Données projet'!$B$10,Paramètres!$A$1:$I$89,3,0)*0.475*44/12</f>
        <v>2.5771650828513002E-19</v>
      </c>
      <c r="AX164" s="23">
        <f t="shared" si="166"/>
        <v>0.24654946574827341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-5.1431925385259088E-14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182.11831308043929</v>
      </c>
      <c r="BJ164" s="62">
        <f t="shared" si="146"/>
        <v>75.532250323368885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-2.5420376914553347E-13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320.36162823905426</v>
      </c>
      <c r="T165" s="62">
        <f t="shared" si="142"/>
        <v>284.65760822544792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0.13452643311113713</v>
      </c>
      <c r="AB165" s="23">
        <f>EXP(-LN(2)/2)*AB164+(1-EXP(-LN(2)/2))/(LN(2)/2)*V165*Y165*VLOOKUP('Données projet'!$B$9,Paramètres!$A$1:$I$89,3,0)*0.475*44/12</f>
        <v>2.5795201134050561E-19</v>
      </c>
      <c r="AC165" s="24">
        <f t="shared" si="163"/>
        <v>0.13452643311113713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3.1036506698001178E-14</v>
      </c>
      <c r="AK165" s="14">
        <f t="shared" si="164"/>
        <v>5.3428243983771088E-13</v>
      </c>
      <c r="AL165" s="22">
        <f t="shared" si="165"/>
        <v>9.8459716521636505E-13</v>
      </c>
      <c r="AM165" s="62">
        <f t="shared" si="113"/>
        <v>293.33333333333428</v>
      </c>
      <c r="AN165" s="62">
        <f ca="1">AVERAGE(OFFSET($AM$3,0,0,'Données projet'!$E$10+1,1))-AVERAGE(OFFSET($H$3,0,0,'Données projet'!$E$10+1,1))</f>
        <v>155.13440282866992</v>
      </c>
      <c r="AO165" s="62">
        <f t="shared" si="144"/>
        <v>229.92235675849565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0.23980755764191397</v>
      </c>
      <c r="AW165" s="23">
        <f>EXP(-LN(2)/2)*AW164+(1-EXP(-LN(2)/2))/(LN(2)/2)*AQ165*AT165*VLOOKUP('Données projet'!$B$10,Paramètres!$A$1:$I$89,3,0)*0.475*44/12</f>
        <v>1.822330906321345E-19</v>
      </c>
      <c r="AX165" s="23">
        <f t="shared" si="166"/>
        <v>0.23980755764191397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-5.1431925385259088E-14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182.11831308043929</v>
      </c>
      <c r="BJ165" s="62">
        <f t="shared" si="146"/>
        <v>75.532250323368885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-2.5420376914553347E-13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320.36162823905426</v>
      </c>
      <c r="T166" s="62">
        <f t="shared" si="142"/>
        <v>284.65760822544792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0.13084780072327543</v>
      </c>
      <c r="AB166" s="23">
        <f>EXP(-LN(2)/2)*AB165+(1-EXP(-LN(2)/2))/(LN(2)/2)*V166*Y166*VLOOKUP('Données projet'!$B$9,Paramètres!$A$1:$I$89,3,0)*0.475*44/12</f>
        <v>1.8239961643958073E-19</v>
      </c>
      <c r="AC166" s="24">
        <f t="shared" si="163"/>
        <v>0.13084780072327543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3.1036506698001178E-14</v>
      </c>
      <c r="AK166" s="14">
        <f t="shared" si="164"/>
        <v>5.3428243983771088E-13</v>
      </c>
      <c r="AL166" s="22">
        <f t="shared" si="165"/>
        <v>9.8459716521636505E-13</v>
      </c>
      <c r="AM166" s="62">
        <f t="shared" si="113"/>
        <v>293.33333333333428</v>
      </c>
      <c r="AN166" s="62">
        <f ca="1">AVERAGE(OFFSET($AM$3,0,0,'Données projet'!$E$10+1,1))-AVERAGE(OFFSET($H$3,0,0,'Données projet'!$E$10+1,1))</f>
        <v>155.13440282866992</v>
      </c>
      <c r="AO166" s="62">
        <f t="shared" si="144"/>
        <v>229.92235675849565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0.23325000736726448</v>
      </c>
      <c r="AW166" s="23">
        <f>EXP(-LN(2)/2)*AW165+(1-EXP(-LN(2)/2))/(LN(2)/2)*AQ166*AT166*VLOOKUP('Données projet'!$B$10,Paramètres!$A$1:$I$89,3,0)*0.475*44/12</f>
        <v>1.2885825414256501E-19</v>
      </c>
      <c r="AX166" s="23">
        <f t="shared" si="166"/>
        <v>0.23325000736726448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-5.1431925385259088E-14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182.11831308043929</v>
      </c>
      <c r="BJ166" s="62">
        <f t="shared" si="146"/>
        <v>75.532250323368885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-2.5420376914553347E-13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320.36162823905426</v>
      </c>
      <c r="T167" s="62">
        <f t="shared" si="142"/>
        <v>284.65760822544792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0.12726976073151067</v>
      </c>
      <c r="AB167" s="23">
        <f>EXP(-LN(2)/2)*AB166+(1-EXP(-LN(2)/2))/(LN(2)/2)*V167*Y167*VLOOKUP('Données projet'!$B$9,Paramètres!$A$1:$I$89,3,0)*0.475*44/12</f>
        <v>1.289760056702528E-19</v>
      </c>
      <c r="AC167" s="24">
        <f t="shared" si="163"/>
        <v>0.12726976073151067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3.1036506698001178E-14</v>
      </c>
      <c r="AK167" s="14">
        <f t="shared" si="164"/>
        <v>5.3428243983771088E-13</v>
      </c>
      <c r="AL167" s="22">
        <f t="shared" si="165"/>
        <v>9.8459716521636505E-13</v>
      </c>
      <c r="AM167" s="62">
        <f t="shared" si="113"/>
        <v>293.33333333333428</v>
      </c>
      <c r="AN167" s="62">
        <f ca="1">AVERAGE(OFFSET($AM$3,0,0,'Données projet'!$E$10+1,1))-AVERAGE(OFFSET($H$3,0,0,'Données projet'!$E$10+1,1))</f>
        <v>155.13440282866992</v>
      </c>
      <c r="AO167" s="62">
        <f t="shared" si="144"/>
        <v>229.92235675849565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0.22687177364972183</v>
      </c>
      <c r="AW167" s="23">
        <f>EXP(-LN(2)/2)*AW166+(1-EXP(-LN(2)/2))/(LN(2)/2)*AQ167*AT167*VLOOKUP('Données projet'!$B$10,Paramètres!$A$1:$I$89,3,0)*0.475*44/12</f>
        <v>9.1116545316067251E-20</v>
      </c>
      <c r="AX167" s="23">
        <f t="shared" si="166"/>
        <v>0.22687177364972183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-5.1431925385259088E-14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182.11831308043929</v>
      </c>
      <c r="BJ167" s="62">
        <f t="shared" si="146"/>
        <v>75.532250323368885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-2.5420376914553347E-13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320.36162823905426</v>
      </c>
      <c r="T168" s="62">
        <f t="shared" si="142"/>
        <v>284.65760822544792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0.12378956243148168</v>
      </c>
      <c r="AB168" s="23">
        <f>EXP(-LN(2)/2)*AB167+(1-EXP(-LN(2)/2))/(LN(2)/2)*V168*Y168*VLOOKUP('Données projet'!$B$9,Paramètres!$A$1:$I$89,3,0)*0.475*44/12</f>
        <v>9.1199808219790363E-20</v>
      </c>
      <c r="AC168" s="24">
        <f t="shared" si="163"/>
        <v>0.12378956243148168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3.1036506698001178E-14</v>
      </c>
      <c r="AK168" s="14">
        <f t="shared" si="164"/>
        <v>5.3428243983771088E-13</v>
      </c>
      <c r="AL168" s="22">
        <f t="shared" si="165"/>
        <v>9.8459716521636505E-13</v>
      </c>
      <c r="AM168" s="62">
        <f t="shared" si="113"/>
        <v>293.33333333333428</v>
      </c>
      <c r="AN168" s="62">
        <f ca="1">AVERAGE(OFFSET($AM$3,0,0,'Données projet'!$E$10+1,1))-AVERAGE(OFFSET($H$3,0,0,'Données projet'!$E$10+1,1))</f>
        <v>155.13440282866992</v>
      </c>
      <c r="AO168" s="62">
        <f t="shared" si="144"/>
        <v>229.92235675849565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0.22066795306860212</v>
      </c>
      <c r="AW168" s="23">
        <f>EXP(-LN(2)/2)*AW167+(1-EXP(-LN(2)/2))/(LN(2)/2)*AQ168*AT168*VLOOKUP('Données projet'!$B$10,Paramètres!$A$1:$I$89,3,0)*0.475*44/12</f>
        <v>6.4429127071282506E-20</v>
      </c>
      <c r="AX168" s="23">
        <f t="shared" si="166"/>
        <v>0.22066795306860212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-5.1431925385259088E-14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182.11831308043929</v>
      </c>
      <c r="BJ168" s="62">
        <f t="shared" si="146"/>
        <v>75.532250323368885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-2.5420376914553347E-13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320.36162823905426</v>
      </c>
      <c r="T169" s="62">
        <f t="shared" si="142"/>
        <v>284.65760822544792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0.12040453033698265</v>
      </c>
      <c r="AB169" s="23">
        <f>EXP(-LN(2)/2)*AB168+(1-EXP(-LN(2)/2))/(LN(2)/2)*V169*Y169*VLOOKUP('Données projet'!$B$9,Paramètres!$A$1:$I$89,3,0)*0.475*44/12</f>
        <v>6.4488002835126402E-20</v>
      </c>
      <c r="AC169" s="24">
        <f t="shared" si="163"/>
        <v>0.12040453033698265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3.1036506698001178E-14</v>
      </c>
      <c r="AK169" s="14">
        <f t="shared" si="164"/>
        <v>5.3428243983771088E-13</v>
      </c>
      <c r="AL169" s="22">
        <f t="shared" si="165"/>
        <v>9.8459716521636505E-13</v>
      </c>
      <c r="AM169" s="62">
        <f t="shared" si="113"/>
        <v>293.33333333333428</v>
      </c>
      <c r="AN169" s="62">
        <f ca="1">AVERAGE(OFFSET($AM$3,0,0,'Données projet'!$E$10+1,1))-AVERAGE(OFFSET($H$3,0,0,'Données projet'!$E$10+1,1))</f>
        <v>155.13440282866992</v>
      </c>
      <c r="AO169" s="62">
        <f t="shared" si="144"/>
        <v>229.92235675849565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0.2146337762875179</v>
      </c>
      <c r="AW169" s="23">
        <f>EXP(-LN(2)/2)*AW168+(1-EXP(-LN(2)/2))/(LN(2)/2)*AQ169*AT169*VLOOKUP('Données projet'!$B$10,Paramètres!$A$1:$I$89,3,0)*0.475*44/12</f>
        <v>4.5558272658033625E-20</v>
      </c>
      <c r="AX169" s="23">
        <f t="shared" si="166"/>
        <v>0.2146337762875179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-5.1431925385259088E-14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182.11831308043929</v>
      </c>
      <c r="BJ169" s="62">
        <f t="shared" si="146"/>
        <v>75.532250323368885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-2.5420376914553347E-13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320.36162823905426</v>
      </c>
      <c r="T170" s="62">
        <f t="shared" si="142"/>
        <v>284.65760822544792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0.1171120621231188</v>
      </c>
      <c r="AB170" s="23">
        <f>EXP(-LN(2)/2)*AB169+(1-EXP(-LN(2)/2))/(LN(2)/2)*V170*Y170*VLOOKUP('Données projet'!$B$9,Paramètres!$A$1:$I$89,3,0)*0.475*44/12</f>
        <v>4.5599904109895181E-20</v>
      </c>
      <c r="AC170" s="24">
        <f t="shared" si="163"/>
        <v>0.1171120621231188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3.1036506698001178E-14</v>
      </c>
      <c r="AK170" s="14">
        <f t="shared" si="164"/>
        <v>5.3428243983771088E-13</v>
      </c>
      <c r="AL170" s="22">
        <f t="shared" si="165"/>
        <v>9.8459716521636505E-13</v>
      </c>
      <c r="AM170" s="62">
        <f t="shared" si="113"/>
        <v>293.33333333333428</v>
      </c>
      <c r="AN170" s="62">
        <f ca="1">AVERAGE(OFFSET($AM$3,0,0,'Données projet'!$E$10+1,1))-AVERAGE(OFFSET($H$3,0,0,'Données projet'!$E$10+1,1))</f>
        <v>155.13440282866992</v>
      </c>
      <c r="AO170" s="62">
        <f t="shared" si="144"/>
        <v>229.92235675849565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0.20876460438783598</v>
      </c>
      <c r="AW170" s="23">
        <f>EXP(-LN(2)/2)*AW169+(1-EXP(-LN(2)/2))/(LN(2)/2)*AQ170*AT170*VLOOKUP('Données projet'!$B$10,Paramètres!$A$1:$I$89,3,0)*0.475*44/12</f>
        <v>3.2214563535641253E-20</v>
      </c>
      <c r="AX170" s="23">
        <f t="shared" si="166"/>
        <v>0.20876460438783598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-5.1431925385259088E-14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182.11831308043929</v>
      </c>
      <c r="BJ170" s="62">
        <f t="shared" si="146"/>
        <v>75.532250323368885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-2.5420376914553347E-13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320.36162823905426</v>
      </c>
      <c r="T171" s="62">
        <f t="shared" si="142"/>
        <v>284.65760822544792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0.11390962662570643</v>
      </c>
      <c r="AB171" s="23">
        <f>EXP(-LN(2)/2)*AB170+(1-EXP(-LN(2)/2))/(LN(2)/2)*V171*Y171*VLOOKUP('Données projet'!$B$9,Paramètres!$A$1:$I$89,3,0)*0.475*44/12</f>
        <v>3.2244001417563201E-20</v>
      </c>
      <c r="AC171" s="24">
        <f t="shared" si="163"/>
        <v>0.11390962662570643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3.1036506698001178E-14</v>
      </c>
      <c r="AK171" s="14">
        <f t="shared" si="164"/>
        <v>5.3428243983771088E-13</v>
      </c>
      <c r="AL171" s="22">
        <f t="shared" si="165"/>
        <v>9.8459716521636505E-13</v>
      </c>
      <c r="AM171" s="62">
        <f t="shared" si="113"/>
        <v>293.33333333333428</v>
      </c>
      <c r="AN171" s="62">
        <f ca="1">AVERAGE(OFFSET($AM$3,0,0,'Données projet'!$E$10+1,1))-AVERAGE(OFFSET($H$3,0,0,'Données projet'!$E$10+1,1))</f>
        <v>155.13440282866992</v>
      </c>
      <c r="AO171" s="62">
        <f t="shared" si="144"/>
        <v>229.92235675849565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0.20305592530239719</v>
      </c>
      <c r="AW171" s="23">
        <f>EXP(-LN(2)/2)*AW170+(1-EXP(-LN(2)/2))/(LN(2)/2)*AQ171*AT171*VLOOKUP('Données projet'!$B$10,Paramètres!$A$1:$I$89,3,0)*0.475*44/12</f>
        <v>2.2779136329016813E-20</v>
      </c>
      <c r="AX171" s="23">
        <f t="shared" si="166"/>
        <v>0.20305592530239719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-5.1431925385259088E-14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182.11831308043929</v>
      </c>
      <c r="BJ171" s="62">
        <f t="shared" si="146"/>
        <v>75.532250323368885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-2.5420376914553347E-13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320.36162823905426</v>
      </c>
      <c r="T172" s="62">
        <f t="shared" si="142"/>
        <v>284.65760822544792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0.11079476189537957</v>
      </c>
      <c r="AB172" s="23">
        <f>EXP(-LN(2)/2)*AB171+(1-EXP(-LN(2)/2))/(LN(2)/2)*V172*Y172*VLOOKUP('Données projet'!$B$9,Paramètres!$A$1:$I$89,3,0)*0.475*44/12</f>
        <v>2.2799952054947591E-20</v>
      </c>
      <c r="AC172" s="24">
        <f t="shared" si="163"/>
        <v>0.11079476189537957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3.1036506698001178E-14</v>
      </c>
      <c r="AK172" s="14">
        <f t="shared" si="164"/>
        <v>5.3428243983771088E-13</v>
      </c>
      <c r="AL172" s="22">
        <f t="shared" si="165"/>
        <v>9.8459716521636505E-13</v>
      </c>
      <c r="AM172" s="62">
        <f t="shared" si="113"/>
        <v>293.33333333333428</v>
      </c>
      <c r="AN172" s="62">
        <f ca="1">AVERAGE(OFFSET($AM$3,0,0,'Données projet'!$E$10+1,1))-AVERAGE(OFFSET($H$3,0,0,'Données projet'!$E$10+1,1))</f>
        <v>155.13440282866992</v>
      </c>
      <c r="AO172" s="62">
        <f t="shared" si="144"/>
        <v>229.92235675849565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0.19750335034675612</v>
      </c>
      <c r="AW172" s="23">
        <f>EXP(-LN(2)/2)*AW171+(1-EXP(-LN(2)/2))/(LN(2)/2)*AQ172*AT172*VLOOKUP('Données projet'!$B$10,Paramètres!$A$1:$I$89,3,0)*0.475*44/12</f>
        <v>1.6107281767820626E-20</v>
      </c>
      <c r="AX172" s="23">
        <f t="shared" si="166"/>
        <v>0.19750335034675612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-5.1431925385259088E-14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182.11831308043929</v>
      </c>
      <c r="BJ172" s="62">
        <f t="shared" si="146"/>
        <v>75.532250323368885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-2.5420376914553347E-13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320.36162823905426</v>
      </c>
      <c r="T173" s="62">
        <f t="shared" si="142"/>
        <v>284.65760822544792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0.10776507330490712</v>
      </c>
      <c r="AB173" s="23">
        <f>EXP(-LN(2)/2)*AB172+(1-EXP(-LN(2)/2))/(LN(2)/2)*V173*Y173*VLOOKUP('Données projet'!$B$9,Paramètres!$A$1:$I$89,3,0)*0.475*44/12</f>
        <v>1.6122000708781601E-20</v>
      </c>
      <c r="AC173" s="24">
        <f t="shared" si="163"/>
        <v>0.10776507330490712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3.1036506698001178E-14</v>
      </c>
      <c r="AK173" s="14">
        <f t="shared" si="164"/>
        <v>5.3428243983771088E-13</v>
      </c>
      <c r="AL173" s="22">
        <f t="shared" si="165"/>
        <v>9.8459716521636505E-13</v>
      </c>
      <c r="AM173" s="62">
        <f t="shared" si="113"/>
        <v>293.33333333333428</v>
      </c>
      <c r="AN173" s="62">
        <f ca="1">AVERAGE(OFFSET($AM$3,0,0,'Données projet'!$E$10+1,1))-AVERAGE(OFFSET($H$3,0,0,'Données projet'!$E$10+1,1))</f>
        <v>155.13440282866992</v>
      </c>
      <c r="AO173" s="62">
        <f t="shared" si="144"/>
        <v>229.92235675849565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0.19210261084527427</v>
      </c>
      <c r="AW173" s="23">
        <f>EXP(-LN(2)/2)*AW172+(1-EXP(-LN(2)/2))/(LN(2)/2)*AQ173*AT173*VLOOKUP('Données projet'!$B$10,Paramètres!$A$1:$I$89,3,0)*0.475*44/12</f>
        <v>1.1389568164508406E-20</v>
      </c>
      <c r="AX173" s="23">
        <f t="shared" si="166"/>
        <v>0.19210261084527427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-5.1431925385259088E-14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182.11831308043929</v>
      </c>
      <c r="BJ173" s="62">
        <f t="shared" si="146"/>
        <v>75.532250323368885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-2.5420376914553347E-13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320.36162823905426</v>
      </c>
      <c r="T174" s="62">
        <f t="shared" si="142"/>
        <v>284.65760822544792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0.10481823170826553</v>
      </c>
      <c r="AB174" s="23">
        <f>EXP(-LN(2)/2)*AB173+(1-EXP(-LN(2)/2))/(LN(2)/2)*V174*Y174*VLOOKUP('Données projet'!$B$9,Paramètres!$A$1:$I$89,3,0)*0.475*44/12</f>
        <v>1.1399976027473795E-20</v>
      </c>
      <c r="AC174" s="24">
        <f t="shared" si="163"/>
        <v>0.10481823170826553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3.1036506698001178E-14</v>
      </c>
      <c r="AK174" s="14">
        <f t="shared" si="164"/>
        <v>5.3428243983771088E-13</v>
      </c>
      <c r="AL174" s="22">
        <f t="shared" si="165"/>
        <v>9.8459716521636505E-13</v>
      </c>
      <c r="AM174" s="62">
        <f t="shared" si="113"/>
        <v>293.33333333333428</v>
      </c>
      <c r="AN174" s="62">
        <f ca="1">AVERAGE(OFFSET($AM$3,0,0,'Données projet'!$E$10+1,1))-AVERAGE(OFFSET($H$3,0,0,'Données projet'!$E$10+1,1))</f>
        <v>155.13440282866992</v>
      </c>
      <c r="AO174" s="62">
        <f t="shared" si="144"/>
        <v>229.92235675849565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0.18684955484947299</v>
      </c>
      <c r="AW174" s="23">
        <f>EXP(-LN(2)/2)*AW173+(1-EXP(-LN(2)/2))/(LN(2)/2)*AQ174*AT174*VLOOKUP('Données projet'!$B$10,Paramètres!$A$1:$I$89,3,0)*0.475*44/12</f>
        <v>8.0536408839103132E-21</v>
      </c>
      <c r="AX174" s="23">
        <f t="shared" si="166"/>
        <v>0.18684955484947299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-5.1431925385259088E-14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182.11831308043929</v>
      </c>
      <c r="BJ174" s="62">
        <f t="shared" si="146"/>
        <v>75.532250323368885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-2.5420376914553347E-13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320.36162823905426</v>
      </c>
      <c r="T175" s="62">
        <f t="shared" si="142"/>
        <v>284.65760822544792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0.10195197165005176</v>
      </c>
      <c r="AB175" s="23">
        <f>EXP(-LN(2)/2)*AB174+(1-EXP(-LN(2)/2))/(LN(2)/2)*V175*Y175*VLOOKUP('Données projet'!$B$9,Paramètres!$A$1:$I$89,3,0)*0.475*44/12</f>
        <v>8.0610003543908003E-21</v>
      </c>
      <c r="AC175" s="24">
        <f t="shared" si="163"/>
        <v>0.10195197165005176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3.1036506698001178E-14</v>
      </c>
      <c r="AK175" s="14">
        <f t="shared" si="164"/>
        <v>5.3428243983771088E-13</v>
      </c>
      <c r="AL175" s="22">
        <f t="shared" si="165"/>
        <v>9.8459716521636505E-13</v>
      </c>
      <c r="AM175" s="62">
        <f t="shared" si="113"/>
        <v>293.33333333333428</v>
      </c>
      <c r="AN175" s="62">
        <f ca="1">AVERAGE(OFFSET($AM$3,0,0,'Données projet'!$E$10+1,1))-AVERAGE(OFFSET($H$3,0,0,'Données projet'!$E$10+1,1))</f>
        <v>155.13440282866992</v>
      </c>
      <c r="AO175" s="62">
        <f t="shared" si="144"/>
        <v>229.92235675849565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0.18174014394612312</v>
      </c>
      <c r="AW175" s="23">
        <f>EXP(-LN(2)/2)*AW174+(1-EXP(-LN(2)/2))/(LN(2)/2)*AQ175*AT175*VLOOKUP('Données projet'!$B$10,Paramètres!$A$1:$I$89,3,0)*0.475*44/12</f>
        <v>5.6947840822542032E-21</v>
      </c>
      <c r="AX175" s="23">
        <f t="shared" si="166"/>
        <v>0.18174014394612312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-5.1431925385259088E-14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182.11831308043929</v>
      </c>
      <c r="BJ175" s="62">
        <f t="shared" si="146"/>
        <v>75.532250323368885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-2.5420376914553347E-13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320.36162823905426</v>
      </c>
      <c r="T176" s="62">
        <f t="shared" si="142"/>
        <v>284.65760822544792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9.9164089623859919E-2</v>
      </c>
      <c r="AB176" s="23">
        <f>EXP(-LN(2)/2)*AB175+(1-EXP(-LN(2)/2))/(LN(2)/2)*V176*Y176*VLOOKUP('Données projet'!$B$9,Paramètres!$A$1:$I$89,3,0)*0.475*44/12</f>
        <v>5.6999880137368977E-21</v>
      </c>
      <c r="AC176" s="24">
        <f t="shared" si="163"/>
        <v>9.9164089623859919E-2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3.1036506698001178E-14</v>
      </c>
      <c r="AK176" s="14">
        <f t="shared" si="164"/>
        <v>5.3428243983771088E-13</v>
      </c>
      <c r="AL176" s="22">
        <f t="shared" si="165"/>
        <v>9.8459716521636505E-13</v>
      </c>
      <c r="AM176" s="62">
        <f t="shared" si="113"/>
        <v>293.33333333333428</v>
      </c>
      <c r="AN176" s="62">
        <f ca="1">AVERAGE(OFFSET($AM$3,0,0,'Données projet'!$E$10+1,1))-AVERAGE(OFFSET($H$3,0,0,'Données projet'!$E$10+1,1))</f>
        <v>155.13440282866992</v>
      </c>
      <c r="AO176" s="62">
        <f t="shared" si="144"/>
        <v>229.92235675849565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0.17677045015261758</v>
      </c>
      <c r="AW176" s="23">
        <f>EXP(-LN(2)/2)*AW175+(1-EXP(-LN(2)/2))/(LN(2)/2)*AQ176*AT176*VLOOKUP('Données projet'!$B$10,Paramètres!$A$1:$I$89,3,0)*0.475*44/12</f>
        <v>4.0268204419551566E-21</v>
      </c>
      <c r="AX176" s="23">
        <f t="shared" si="166"/>
        <v>0.17677045015261758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-5.1431925385259088E-14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182.11831308043929</v>
      </c>
      <c r="BJ176" s="62">
        <f t="shared" si="146"/>
        <v>75.532250323368885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-2.5420376914553347E-13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320.36162823905426</v>
      </c>
      <c r="T177" s="62">
        <f t="shared" si="142"/>
        <v>284.65760822544792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9.6452442378282641E-2</v>
      </c>
      <c r="AB177" s="23">
        <f>EXP(-LN(2)/2)*AB176+(1-EXP(-LN(2)/2))/(LN(2)/2)*V177*Y177*VLOOKUP('Données projet'!$B$9,Paramètres!$A$1:$I$89,3,0)*0.475*44/12</f>
        <v>4.0305001771954001E-21</v>
      </c>
      <c r="AC177" s="24">
        <f t="shared" si="163"/>
        <v>9.6452442378282641E-2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3.1036506698001178E-14</v>
      </c>
      <c r="AK177" s="14">
        <f t="shared" si="164"/>
        <v>5.3428243983771088E-13</v>
      </c>
      <c r="AL177" s="22">
        <f t="shared" si="165"/>
        <v>9.8459716521636505E-13</v>
      </c>
      <c r="AM177" s="62">
        <f t="shared" si="113"/>
        <v>293.33333333333428</v>
      </c>
      <c r="AN177" s="62">
        <f ca="1">AVERAGE(OFFSET($AM$3,0,0,'Données projet'!$E$10+1,1))-AVERAGE(OFFSET($H$3,0,0,'Données projet'!$E$10+1,1))</f>
        <v>155.13440282866992</v>
      </c>
      <c r="AO177" s="62">
        <f t="shared" si="144"/>
        <v>229.92235675849565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0.17193665289724031</v>
      </c>
      <c r="AW177" s="23">
        <f>EXP(-LN(2)/2)*AW176+(1-EXP(-LN(2)/2))/(LN(2)/2)*AQ177*AT177*VLOOKUP('Données projet'!$B$10,Paramètres!$A$1:$I$89,3,0)*0.475*44/12</f>
        <v>2.8473920411271016E-21</v>
      </c>
      <c r="AX177" s="23">
        <f t="shared" si="166"/>
        <v>0.17193665289724031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-5.1431925385259088E-14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182.11831308043929</v>
      </c>
      <c r="BJ177" s="62">
        <f t="shared" si="146"/>
        <v>75.532250323368885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-2.5420376914553347E-13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320.36162823905426</v>
      </c>
      <c r="T178" s="62">
        <f t="shared" si="142"/>
        <v>284.65760822544792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9.3814945269235006E-2</v>
      </c>
      <c r="AB178" s="23">
        <f>EXP(-LN(2)/2)*AB177+(1-EXP(-LN(2)/2))/(LN(2)/2)*V178*Y178*VLOOKUP('Données projet'!$B$9,Paramètres!$A$1:$I$89,3,0)*0.475*44/12</f>
        <v>2.8499940068684488E-21</v>
      </c>
      <c r="AC178" s="24">
        <f t="shared" si="163"/>
        <v>9.3814945269235006E-2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3.1036506698001178E-14</v>
      </c>
      <c r="AK178" s="14">
        <f t="shared" si="164"/>
        <v>5.3428243983771088E-13</v>
      </c>
      <c r="AL178" s="22">
        <f t="shared" si="165"/>
        <v>9.8459716521636505E-13</v>
      </c>
      <c r="AM178" s="62">
        <f t="shared" si="113"/>
        <v>293.33333333333428</v>
      </c>
      <c r="AN178" s="62">
        <f ca="1">AVERAGE(OFFSET($AM$3,0,0,'Données projet'!$E$10+1,1))-AVERAGE(OFFSET($H$3,0,0,'Données projet'!$E$10+1,1))</f>
        <v>155.13440282866992</v>
      </c>
      <c r="AO178" s="62">
        <f t="shared" si="144"/>
        <v>229.92235675849565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0.16723503608200965</v>
      </c>
      <c r="AW178" s="23">
        <f>EXP(-LN(2)/2)*AW177+(1-EXP(-LN(2)/2))/(LN(2)/2)*AQ178*AT178*VLOOKUP('Données projet'!$B$10,Paramètres!$A$1:$I$89,3,0)*0.475*44/12</f>
        <v>2.0134102209775783E-21</v>
      </c>
      <c r="AX178" s="23">
        <f t="shared" si="166"/>
        <v>0.16723503608200965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-5.1431925385259088E-14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182.11831308043929</v>
      </c>
      <c r="BJ178" s="62">
        <f t="shared" si="146"/>
        <v>75.532250323368885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-2.5420376914553347E-13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320.36162823905426</v>
      </c>
      <c r="T179" s="62">
        <f t="shared" si="142"/>
        <v>284.65760822544792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9.1249570657334217E-2</v>
      </c>
      <c r="AB179" s="23">
        <f>EXP(-LN(2)/2)*AB178+(1-EXP(-LN(2)/2))/(LN(2)/2)*V179*Y179*VLOOKUP('Données projet'!$B$9,Paramètres!$A$1:$I$89,3,0)*0.475*44/12</f>
        <v>2.0152500885977001E-21</v>
      </c>
      <c r="AC179" s="24">
        <f t="shared" si="163"/>
        <v>9.1249570657334217E-2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3.1036506698001178E-14</v>
      </c>
      <c r="AK179" s="14">
        <f t="shared" si="164"/>
        <v>5.3428243983771088E-13</v>
      </c>
      <c r="AL179" s="22">
        <f t="shared" si="165"/>
        <v>9.8459716521636505E-13</v>
      </c>
      <c r="AM179" s="62">
        <f t="shared" si="113"/>
        <v>293.33333333333428</v>
      </c>
      <c r="AN179" s="62">
        <f ca="1">AVERAGE(OFFSET($AM$3,0,0,'Données projet'!$E$10+1,1))-AVERAGE(OFFSET($H$3,0,0,'Données projet'!$E$10+1,1))</f>
        <v>155.13440282866992</v>
      </c>
      <c r="AO179" s="62">
        <f t="shared" si="144"/>
        <v>229.92235675849565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0.16266198522583877</v>
      </c>
      <c r="AW179" s="23">
        <f>EXP(-LN(2)/2)*AW178+(1-EXP(-LN(2)/2))/(LN(2)/2)*AQ179*AT179*VLOOKUP('Données projet'!$B$10,Paramètres!$A$1:$I$89,3,0)*0.475*44/12</f>
        <v>1.4236960205635508E-21</v>
      </c>
      <c r="AX179" s="23">
        <f t="shared" si="166"/>
        <v>0.16266198522583877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-5.1431925385259088E-14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182.11831308043929</v>
      </c>
      <c r="BJ179" s="62">
        <f t="shared" si="146"/>
        <v>75.532250323368885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-2.5420376914553347E-13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320.36162823905426</v>
      </c>
      <c r="T180" s="62">
        <f t="shared" si="142"/>
        <v>284.65760822544792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8.875434634910305E-2</v>
      </c>
      <c r="AB180" s="23">
        <f>EXP(-LN(2)/2)*AB179+(1-EXP(-LN(2)/2))/(LN(2)/2)*V180*Y180*VLOOKUP('Données projet'!$B$9,Paramètres!$A$1:$I$89,3,0)*0.475*44/12</f>
        <v>1.4249970034342244E-21</v>
      </c>
      <c r="AC180" s="24">
        <f t="shared" si="163"/>
        <v>8.875434634910305E-2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3.1036506698001178E-14</v>
      </c>
      <c r="AK180" s="14">
        <f t="shared" si="164"/>
        <v>5.3428243983771088E-13</v>
      </c>
      <c r="AL180" s="22">
        <f t="shared" si="165"/>
        <v>9.8459716521636505E-13</v>
      </c>
      <c r="AM180" s="62">
        <f t="shared" si="113"/>
        <v>293.33333333333428</v>
      </c>
      <c r="AN180" s="62">
        <f ca="1">AVERAGE(OFFSET($AM$3,0,0,'Données projet'!$E$10+1,1))-AVERAGE(OFFSET($H$3,0,0,'Données projet'!$E$10+1,1))</f>
        <v>155.13440282866992</v>
      </c>
      <c r="AO180" s="62">
        <f t="shared" si="144"/>
        <v>229.92235675849565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0.15821398468581618</v>
      </c>
      <c r="AW180" s="23">
        <f>EXP(-LN(2)/2)*AW179+(1-EXP(-LN(2)/2))/(LN(2)/2)*AQ180*AT180*VLOOKUP('Données projet'!$B$10,Paramètres!$A$1:$I$89,3,0)*0.475*44/12</f>
        <v>1.0067051104887892E-21</v>
      </c>
      <c r="AX180" s="23">
        <f t="shared" si="166"/>
        <v>0.15821398468581618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-5.1431925385259088E-14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182.11831308043929</v>
      </c>
      <c r="BJ180" s="62">
        <f t="shared" si="146"/>
        <v>75.532250323368885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-2.5420376914553347E-13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320.36162823905426</v>
      </c>
      <c r="T181" s="62">
        <f t="shared" si="142"/>
        <v>284.65760822544792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8.6327354080798599E-2</v>
      </c>
      <c r="AB181" s="23">
        <f>EXP(-LN(2)/2)*AB180+(1-EXP(-LN(2)/2))/(LN(2)/2)*V181*Y181*VLOOKUP('Données projet'!$B$9,Paramètres!$A$1:$I$89,3,0)*0.475*44/12</f>
        <v>1.00762504429885E-21</v>
      </c>
      <c r="AC181" s="24">
        <f t="shared" si="163"/>
        <v>8.6327354080798599E-2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3.1036506698001178E-14</v>
      </c>
      <c r="AK181" s="14">
        <f t="shared" si="164"/>
        <v>5.3428243983771088E-13</v>
      </c>
      <c r="AL181" s="22">
        <f t="shared" si="165"/>
        <v>9.8459716521636505E-13</v>
      </c>
      <c r="AM181" s="62">
        <f t="shared" si="113"/>
        <v>293.33333333333428</v>
      </c>
      <c r="AN181" s="62">
        <f ca="1">AVERAGE(OFFSET($AM$3,0,0,'Données projet'!$E$10+1,1))-AVERAGE(OFFSET($H$3,0,0,'Données projet'!$E$10+1,1))</f>
        <v>155.13440282866992</v>
      </c>
      <c r="AO181" s="62">
        <f t="shared" si="144"/>
        <v>229.92235675849565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0.15388761495447068</v>
      </c>
      <c r="AW181" s="23">
        <f>EXP(-LN(2)/2)*AW180+(1-EXP(-LN(2)/2))/(LN(2)/2)*AQ181*AT181*VLOOKUP('Données projet'!$B$10,Paramètres!$A$1:$I$89,3,0)*0.475*44/12</f>
        <v>7.118480102817754E-22</v>
      </c>
      <c r="AX181" s="23">
        <f t="shared" si="166"/>
        <v>0.15388761495447068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-5.1431925385259088E-14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182.11831308043929</v>
      </c>
      <c r="BJ181" s="62">
        <f t="shared" si="146"/>
        <v>75.532250323368885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-2.5420376914553347E-13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320.36162823905426</v>
      </c>
      <c r="T182" s="62">
        <f t="shared" si="142"/>
        <v>284.65760822544792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8.3966728043700908E-2</v>
      </c>
      <c r="AB182" s="23">
        <f>EXP(-LN(2)/2)*AB181+(1-EXP(-LN(2)/2))/(LN(2)/2)*V182*Y182*VLOOKUP('Données projet'!$B$9,Paramètres!$A$1:$I$89,3,0)*0.475*44/12</f>
        <v>7.1249850171711221E-22</v>
      </c>
      <c r="AC182" s="24">
        <f t="shared" si="163"/>
        <v>8.3966728043700908E-2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3.1036506698001178E-14</v>
      </c>
      <c r="AK182" s="14">
        <f t="shared" si="164"/>
        <v>5.3428243983771088E-13</v>
      </c>
      <c r="AL182" s="22">
        <f t="shared" si="165"/>
        <v>9.8459716521636505E-13</v>
      </c>
      <c r="AM182" s="62">
        <f t="shared" si="113"/>
        <v>293.33333333333428</v>
      </c>
      <c r="AN182" s="62">
        <f ca="1">AVERAGE(OFFSET($AM$3,0,0,'Données projet'!$E$10+1,1))-AVERAGE(OFFSET($H$3,0,0,'Données projet'!$E$10+1,1))</f>
        <v>155.13440282866992</v>
      </c>
      <c r="AO182" s="62">
        <f t="shared" si="144"/>
        <v>229.92235675849565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0.14967955003094272</v>
      </c>
      <c r="AW182" s="23">
        <f>EXP(-LN(2)/2)*AW181+(1-EXP(-LN(2)/2))/(LN(2)/2)*AQ182*AT182*VLOOKUP('Données projet'!$B$10,Paramètres!$A$1:$I$89,3,0)*0.475*44/12</f>
        <v>5.0335255524439458E-22</v>
      </c>
      <c r="AX182" s="23">
        <f t="shared" si="166"/>
        <v>0.14967955003094272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-5.1431925385259088E-14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182.11831308043929</v>
      </c>
      <c r="BJ182" s="62">
        <f t="shared" si="146"/>
        <v>75.532250323368885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-2.5420376914553347E-13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320.36162823905426</v>
      </c>
      <c r="T183" s="62">
        <f t="shared" si="142"/>
        <v>284.65760822544792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8.1670653449727584E-2</v>
      </c>
      <c r="AB183" s="23">
        <f>EXP(-LN(2)/2)*AB182+(1-EXP(-LN(2)/2))/(LN(2)/2)*V183*Y183*VLOOKUP('Données projet'!$B$9,Paramètres!$A$1:$I$89,3,0)*0.475*44/12</f>
        <v>5.0381252214942502E-22</v>
      </c>
      <c r="AC183" s="24">
        <f t="shared" si="163"/>
        <v>8.1670653449727584E-2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3.1036506698001178E-14</v>
      </c>
      <c r="AK183" s="14">
        <f t="shared" si="164"/>
        <v>5.3428243983771088E-13</v>
      </c>
      <c r="AL183" s="22">
        <f t="shared" si="165"/>
        <v>9.8459716521636505E-13</v>
      </c>
      <c r="AM183" s="62">
        <f t="shared" si="113"/>
        <v>293.33333333333428</v>
      </c>
      <c r="AN183" s="62">
        <f ca="1">AVERAGE(OFFSET($AM$3,0,0,'Données projet'!$E$10+1,1))-AVERAGE(OFFSET($H$3,0,0,'Données projet'!$E$10+1,1))</f>
        <v>155.13440282866992</v>
      </c>
      <c r="AO183" s="62">
        <f t="shared" si="144"/>
        <v>229.92235675849565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0.14558655486404115</v>
      </c>
      <c r="AW183" s="23">
        <f>EXP(-LN(2)/2)*AW182+(1-EXP(-LN(2)/2))/(LN(2)/2)*AQ183*AT183*VLOOKUP('Données projet'!$B$10,Paramètres!$A$1:$I$89,3,0)*0.475*44/12</f>
        <v>3.559240051408877E-22</v>
      </c>
      <c r="AX183" s="23">
        <f t="shared" si="166"/>
        <v>0.14558655486404115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-5.1431925385259088E-14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182.11831308043929</v>
      </c>
      <c r="BJ183" s="62">
        <f t="shared" si="146"/>
        <v>75.532250323368885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-2.5420376914553347E-13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320.36162823905426</v>
      </c>
      <c r="T184" s="62">
        <f t="shared" si="142"/>
        <v>284.65760822544792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7.9437365136271781E-2</v>
      </c>
      <c r="AB184" s="23">
        <f>EXP(-LN(2)/2)*AB183+(1-EXP(-LN(2)/2))/(LN(2)/2)*V184*Y184*VLOOKUP('Données projet'!$B$9,Paramètres!$A$1:$I$89,3,0)*0.475*44/12</f>
        <v>3.562492508585561E-22</v>
      </c>
      <c r="AC184" s="24">
        <f t="shared" si="163"/>
        <v>7.9437365136271781E-2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3.1036506698001178E-14</v>
      </c>
      <c r="AK184" s="14">
        <f t="shared" si="164"/>
        <v>5.3428243983771088E-13</v>
      </c>
      <c r="AL184" s="22">
        <f t="shared" si="165"/>
        <v>9.8459716521636505E-13</v>
      </c>
      <c r="AM184" s="62">
        <f t="shared" si="113"/>
        <v>293.33333333333428</v>
      </c>
      <c r="AN184" s="62">
        <f ca="1">AVERAGE(OFFSET($AM$3,0,0,'Données projet'!$E$10+1,1))-AVERAGE(OFFSET($H$3,0,0,'Données projet'!$E$10+1,1))</f>
        <v>155.13440282866992</v>
      </c>
      <c r="AO184" s="62">
        <f t="shared" si="144"/>
        <v>229.92235675849565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0.14160548286521976</v>
      </c>
      <c r="AW184" s="23">
        <f>EXP(-LN(2)/2)*AW183+(1-EXP(-LN(2)/2))/(LN(2)/2)*AQ184*AT184*VLOOKUP('Données projet'!$B$10,Paramètres!$A$1:$I$89,3,0)*0.475*44/12</f>
        <v>2.5167627762219729E-22</v>
      </c>
      <c r="AX184" s="23">
        <f t="shared" si="166"/>
        <v>0.14160548286521976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-5.1431925385259088E-14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182.11831308043929</v>
      </c>
      <c r="BJ184" s="62">
        <f t="shared" si="146"/>
        <v>75.532250323368885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-2.5420376914553347E-13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320.36162823905426</v>
      </c>
      <c r="T185" s="62">
        <f t="shared" si="142"/>
        <v>284.65760822544792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7.7265146209190949E-2</v>
      </c>
      <c r="AB185" s="23">
        <f>EXP(-LN(2)/2)*AB184+(1-EXP(-LN(2)/2))/(LN(2)/2)*V185*Y185*VLOOKUP('Données projet'!$B$9,Paramètres!$A$1:$I$89,3,0)*0.475*44/12</f>
        <v>2.5190626107471251E-22</v>
      </c>
      <c r="AC185" s="24">
        <f t="shared" si="163"/>
        <v>7.7265146209190949E-2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3.1036506698001178E-14</v>
      </c>
      <c r="AK185" s="14">
        <f t="shared" si="164"/>
        <v>5.3428243983771088E-13</v>
      </c>
      <c r="AL185" s="22">
        <f t="shared" si="165"/>
        <v>9.8459716521636505E-13</v>
      </c>
      <c r="AM185" s="62">
        <f t="shared" si="113"/>
        <v>293.33333333333428</v>
      </c>
      <c r="AN185" s="62">
        <f ca="1">AVERAGE(OFFSET($AM$3,0,0,'Données projet'!$E$10+1,1))-AVERAGE(OFFSET($H$3,0,0,'Données projet'!$E$10+1,1))</f>
        <v>155.13440282866992</v>
      </c>
      <c r="AO185" s="62">
        <f t="shared" si="144"/>
        <v>229.92235675849565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0.13773327348956163</v>
      </c>
      <c r="AW185" s="23">
        <f>EXP(-LN(2)/2)*AW184+(1-EXP(-LN(2)/2))/(LN(2)/2)*AQ185*AT185*VLOOKUP('Données projet'!$B$10,Paramètres!$A$1:$I$89,3,0)*0.475*44/12</f>
        <v>1.7796200257044385E-22</v>
      </c>
      <c r="AX185" s="23">
        <f t="shared" si="166"/>
        <v>0.13773327348956163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-5.1431925385259088E-14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182.11831308043929</v>
      </c>
      <c r="BJ185" s="62">
        <f t="shared" si="146"/>
        <v>75.532250323368885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-2.5420376914553347E-13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320.36162823905426</v>
      </c>
      <c r="T186" s="62">
        <f t="shared" si="142"/>
        <v>284.65760822544792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7.5152326722903173E-2</v>
      </c>
      <c r="AB186" s="23">
        <f>EXP(-LN(2)/2)*AB185+(1-EXP(-LN(2)/2))/(LN(2)/2)*V186*Y186*VLOOKUP('Données projet'!$B$9,Paramètres!$A$1:$I$89,3,0)*0.475*44/12</f>
        <v>1.7812462542927805E-22</v>
      </c>
      <c r="AC186" s="24">
        <f t="shared" si="163"/>
        <v>7.5152326722903173E-2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3.1036506698001178E-14</v>
      </c>
      <c r="AK186" s="14">
        <f t="shared" si="164"/>
        <v>5.3428243983771088E-13</v>
      </c>
      <c r="AL186" s="22">
        <f t="shared" si="165"/>
        <v>9.8459716521636505E-13</v>
      </c>
      <c r="AM186" s="62">
        <f t="shared" si="113"/>
        <v>293.33333333333428</v>
      </c>
      <c r="AN186" s="62">
        <f ca="1">AVERAGE(OFFSET($AM$3,0,0,'Données projet'!$E$10+1,1))-AVERAGE(OFFSET($H$3,0,0,'Données projet'!$E$10+1,1))</f>
        <v>155.13440282866992</v>
      </c>
      <c r="AO186" s="62">
        <f t="shared" si="144"/>
        <v>229.92235675849565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0.1339669498829115</v>
      </c>
      <c r="AW186" s="23">
        <f>EXP(-LN(2)/2)*AW185+(1-EXP(-LN(2)/2))/(LN(2)/2)*AQ186*AT186*VLOOKUP('Données projet'!$B$10,Paramètres!$A$1:$I$89,3,0)*0.475*44/12</f>
        <v>1.2583813881109864E-22</v>
      </c>
      <c r="AX186" s="23">
        <f t="shared" si="166"/>
        <v>0.1339669498829115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-5.1431925385259088E-14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182.11831308043929</v>
      </c>
      <c r="BJ186" s="62">
        <f t="shared" si="146"/>
        <v>75.532250323368885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-2.5420376914553347E-13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320.36162823905426</v>
      </c>
      <c r="T187" s="62">
        <f t="shared" si="142"/>
        <v>284.65760822544792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7.3097282396576285E-2</v>
      </c>
      <c r="AB187" s="23">
        <f>EXP(-LN(2)/2)*AB186+(1-EXP(-LN(2)/2))/(LN(2)/2)*V187*Y187*VLOOKUP('Données projet'!$B$9,Paramètres!$A$1:$I$89,3,0)*0.475*44/12</f>
        <v>1.2595313053735625E-22</v>
      </c>
      <c r="AC187" s="24">
        <f t="shared" si="163"/>
        <v>7.3097282396576285E-2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3.1036506698001178E-14</v>
      </c>
      <c r="AK187" s="14">
        <f t="shared" si="164"/>
        <v>5.3428243983771088E-13</v>
      </c>
      <c r="AL187" s="22">
        <f t="shared" si="165"/>
        <v>9.8459716521636505E-13</v>
      </c>
      <c r="AM187" s="62">
        <f t="shared" si="113"/>
        <v>293.33333333333428</v>
      </c>
      <c r="AN187" s="62">
        <f ca="1">AVERAGE(OFFSET($AM$3,0,0,'Données projet'!$E$10+1,1))-AVERAGE(OFFSET($H$3,0,0,'Données projet'!$E$10+1,1))</f>
        <v>155.13440282866992</v>
      </c>
      <c r="AO187" s="62">
        <f t="shared" si="144"/>
        <v>229.92235675849565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0.13030361659334758</v>
      </c>
      <c r="AW187" s="23">
        <f>EXP(-LN(2)/2)*AW186+(1-EXP(-LN(2)/2))/(LN(2)/2)*AQ187*AT187*VLOOKUP('Données projet'!$B$10,Paramètres!$A$1:$I$89,3,0)*0.475*44/12</f>
        <v>8.8981001285221925E-23</v>
      </c>
      <c r="AX187" s="23">
        <f t="shared" si="166"/>
        <v>0.13030361659334758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-5.1431925385259088E-14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182.11831308043929</v>
      </c>
      <c r="BJ187" s="62">
        <f t="shared" si="146"/>
        <v>75.532250323368885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-2.5420376914553347E-13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320.36162823905426</v>
      </c>
      <c r="T188" s="62">
        <f t="shared" si="142"/>
        <v>284.65760822544792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7.1098433365422889E-2</v>
      </c>
      <c r="AB188" s="23">
        <f>EXP(-LN(2)/2)*AB187+(1-EXP(-LN(2)/2))/(LN(2)/2)*V188*Y188*VLOOKUP('Données projet'!$B$9,Paramètres!$A$1:$I$89,3,0)*0.475*44/12</f>
        <v>8.9062312714639026E-23</v>
      </c>
      <c r="AC188" s="24">
        <f t="shared" si="163"/>
        <v>7.1098433365422889E-2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3.1036506698001178E-14</v>
      </c>
      <c r="AK188" s="14">
        <f t="shared" si="164"/>
        <v>5.3428243983771088E-13</v>
      </c>
      <c r="AL188" s="22">
        <f t="shared" si="165"/>
        <v>9.8459716521636505E-13</v>
      </c>
      <c r="AM188" s="62">
        <f t="shared" si="113"/>
        <v>293.33333333333428</v>
      </c>
      <c r="AN188" s="62">
        <f ca="1">AVERAGE(OFFSET($AM$3,0,0,'Données projet'!$E$10+1,1))-AVERAGE(OFFSET($H$3,0,0,'Données projet'!$E$10+1,1))</f>
        <v>155.13440282866992</v>
      </c>
      <c r="AO188" s="62">
        <f t="shared" si="144"/>
        <v>229.92235675849565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0.12674045734523309</v>
      </c>
      <c r="AW188" s="23">
        <f>EXP(-LN(2)/2)*AW187+(1-EXP(-LN(2)/2))/(LN(2)/2)*AQ188*AT188*VLOOKUP('Données projet'!$B$10,Paramètres!$A$1:$I$89,3,0)*0.475*44/12</f>
        <v>6.2919069405549322E-23</v>
      </c>
      <c r="AX188" s="23">
        <f t="shared" si="166"/>
        <v>0.12674045734523309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-5.1431925385259088E-14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182.11831308043929</v>
      </c>
      <c r="BJ188" s="62">
        <f t="shared" si="146"/>
        <v>75.532250323368885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-2.5420376914553347E-13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320.36162823905426</v>
      </c>
      <c r="T189" s="62">
        <f t="shared" si="142"/>
        <v>284.65760822544792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6.9154242966141283E-2</v>
      </c>
      <c r="AB189" s="23">
        <f>EXP(-LN(2)/2)*AB188+(1-EXP(-LN(2)/2))/(LN(2)/2)*V189*Y189*VLOOKUP('Données projet'!$B$9,Paramètres!$A$1:$I$89,3,0)*0.475*44/12</f>
        <v>6.2976565268678127E-23</v>
      </c>
      <c r="AC189" s="24">
        <f t="shared" si="163"/>
        <v>6.9154242966141283E-2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3.1036506698001178E-14</v>
      </c>
      <c r="AK189" s="14">
        <f t="shared" si="164"/>
        <v>5.3428243983771088E-13</v>
      </c>
      <c r="AL189" s="22">
        <f t="shared" si="165"/>
        <v>9.8459716521636505E-13</v>
      </c>
      <c r="AM189" s="62">
        <f t="shared" si="113"/>
        <v>293.33333333333428</v>
      </c>
      <c r="AN189" s="62">
        <f ca="1">AVERAGE(OFFSET($AM$3,0,0,'Données projet'!$E$10+1,1))-AVERAGE(OFFSET($H$3,0,0,'Données projet'!$E$10+1,1))</f>
        <v>155.13440282866992</v>
      </c>
      <c r="AO189" s="62">
        <f t="shared" si="144"/>
        <v>229.92235675849565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0.12327473287413671</v>
      </c>
      <c r="AW189" s="23">
        <f>EXP(-LN(2)/2)*AW188+(1-EXP(-LN(2)/2))/(LN(2)/2)*AQ189*AT189*VLOOKUP('Données projet'!$B$10,Paramètres!$A$1:$I$89,3,0)*0.475*44/12</f>
        <v>4.4490500642610962E-23</v>
      </c>
      <c r="AX189" s="23">
        <f t="shared" si="166"/>
        <v>0.12327473287413671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-5.1431925385259088E-14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182.11831308043929</v>
      </c>
      <c r="BJ189" s="62">
        <f t="shared" si="146"/>
        <v>75.532250323368885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-2.5420376914553347E-13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320.36162823905426</v>
      </c>
      <c r="T190" s="62">
        <f t="shared" si="142"/>
        <v>284.65760822544792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6.7263216555568564E-2</v>
      </c>
      <c r="AB190" s="23">
        <f>EXP(-LN(2)/2)*AB189+(1-EXP(-LN(2)/2))/(LN(2)/2)*V190*Y190*VLOOKUP('Données projet'!$B$9,Paramètres!$A$1:$I$89,3,0)*0.475*44/12</f>
        <v>4.4531156357319513E-23</v>
      </c>
      <c r="AC190" s="24">
        <f t="shared" si="163"/>
        <v>6.7263216555568564E-2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3.1036506698001178E-14</v>
      </c>
      <c r="AK190" s="14">
        <f t="shared" si="164"/>
        <v>5.3428243983771088E-13</v>
      </c>
      <c r="AL190" s="22">
        <f t="shared" si="165"/>
        <v>9.8459716521636505E-13</v>
      </c>
      <c r="AM190" s="62">
        <f t="shared" si="113"/>
        <v>293.33333333333428</v>
      </c>
      <c r="AN190" s="62">
        <f ca="1">AVERAGE(OFFSET($AM$3,0,0,'Données projet'!$E$10+1,1))-AVERAGE(OFFSET($H$3,0,0,'Données projet'!$E$10+1,1))</f>
        <v>155.13440282866992</v>
      </c>
      <c r="AO190" s="62">
        <f t="shared" si="144"/>
        <v>229.92235675849565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0.11990377882095699</v>
      </c>
      <c r="AW190" s="23">
        <f>EXP(-LN(2)/2)*AW189+(1-EXP(-LN(2)/2))/(LN(2)/2)*AQ190*AT190*VLOOKUP('Données projet'!$B$10,Paramètres!$A$1:$I$89,3,0)*0.475*44/12</f>
        <v>3.1459534702774661E-23</v>
      </c>
      <c r="AX190" s="23">
        <f t="shared" si="166"/>
        <v>0.11990377882095699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-5.1431925385259088E-14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182.11831308043929</v>
      </c>
      <c r="BJ190" s="62">
        <f t="shared" si="146"/>
        <v>75.532250323368885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-2.5420376914553347E-13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320.36162823905426</v>
      </c>
      <c r="T191" s="62">
        <f t="shared" si="142"/>
        <v>284.65760822544792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6.5423900361637713E-2</v>
      </c>
      <c r="AB191" s="23">
        <f>EXP(-LN(2)/2)*AB190+(1-EXP(-LN(2)/2))/(LN(2)/2)*V191*Y191*VLOOKUP('Données projet'!$B$9,Paramètres!$A$1:$I$89,3,0)*0.475*44/12</f>
        <v>3.1488282634339063E-23</v>
      </c>
      <c r="AC191" s="24">
        <f t="shared" si="163"/>
        <v>6.5423900361637713E-2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3.1036506698001178E-14</v>
      </c>
      <c r="AK191" s="14">
        <f t="shared" si="164"/>
        <v>5.3428243983771088E-13</v>
      </c>
      <c r="AL191" s="22">
        <f t="shared" si="165"/>
        <v>9.8459716521636505E-13</v>
      </c>
      <c r="AM191" s="62">
        <f t="shared" si="113"/>
        <v>293.33333333333428</v>
      </c>
      <c r="AN191" s="62">
        <f ca="1">AVERAGE(OFFSET($AM$3,0,0,'Données projet'!$E$10+1,1))-AVERAGE(OFFSET($H$3,0,0,'Données projet'!$E$10+1,1))</f>
        <v>155.13440282866992</v>
      </c>
      <c r="AO191" s="62">
        <f t="shared" si="144"/>
        <v>229.92235675849565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0.11662500368363224</v>
      </c>
      <c r="AW191" s="23">
        <f>EXP(-LN(2)/2)*AW190+(1-EXP(-LN(2)/2))/(LN(2)/2)*AQ191*AT191*VLOOKUP('Données projet'!$B$10,Paramètres!$A$1:$I$89,3,0)*0.475*44/12</f>
        <v>2.2245250321305481E-23</v>
      </c>
      <c r="AX191" s="23">
        <f t="shared" si="166"/>
        <v>0.11662500368363224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-5.1431925385259088E-14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182.11831308043929</v>
      </c>
      <c r="BJ191" s="62">
        <f t="shared" si="146"/>
        <v>75.532250323368885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-2.5420376914553347E-13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320.36162823905426</v>
      </c>
      <c r="T192" s="62">
        <f t="shared" si="142"/>
        <v>284.65760822544792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6.3634880365755334E-2</v>
      </c>
      <c r="AB192" s="23">
        <f>EXP(-LN(2)/2)*AB191+(1-EXP(-LN(2)/2))/(LN(2)/2)*V192*Y192*VLOOKUP('Données projet'!$B$9,Paramètres!$A$1:$I$89,3,0)*0.475*44/12</f>
        <v>2.2265578178659756E-23</v>
      </c>
      <c r="AC192" s="24">
        <f t="shared" si="163"/>
        <v>6.3634880365755334E-2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3.1036506698001178E-14</v>
      </c>
      <c r="AK192" s="14">
        <f t="shared" si="164"/>
        <v>5.3428243983771088E-13</v>
      </c>
      <c r="AL192" s="22">
        <f t="shared" si="165"/>
        <v>9.8459716521636505E-13</v>
      </c>
      <c r="AM192" s="62">
        <f t="shared" si="113"/>
        <v>293.33333333333428</v>
      </c>
      <c r="AN192" s="62">
        <f ca="1">AVERAGE(OFFSET($AM$3,0,0,'Données projet'!$E$10+1,1))-AVERAGE(OFFSET($H$3,0,0,'Données projet'!$E$10+1,1))</f>
        <v>155.13440282866992</v>
      </c>
      <c r="AO192" s="62">
        <f t="shared" si="144"/>
        <v>229.92235675849565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0.11343588682486092</v>
      </c>
      <c r="AW192" s="23">
        <f>EXP(-LN(2)/2)*AW191+(1-EXP(-LN(2)/2))/(LN(2)/2)*AQ192*AT192*VLOOKUP('Données projet'!$B$10,Paramètres!$A$1:$I$89,3,0)*0.475*44/12</f>
        <v>1.5729767351387331E-23</v>
      </c>
      <c r="AX192" s="23">
        <f t="shared" si="166"/>
        <v>0.11343588682486092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-5.1431925385259088E-14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182.11831308043929</v>
      </c>
      <c r="BJ192" s="62">
        <f t="shared" si="146"/>
        <v>75.532250323368885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-2.5420376914553347E-13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320.36162823905426</v>
      </c>
      <c r="T193" s="62">
        <f t="shared" si="142"/>
        <v>284.65760822544792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6.1894781215740838E-2</v>
      </c>
      <c r="AB193" s="23">
        <f>EXP(-LN(2)/2)*AB192+(1-EXP(-LN(2)/2))/(LN(2)/2)*V193*Y193*VLOOKUP('Données projet'!$B$9,Paramètres!$A$1:$I$89,3,0)*0.475*44/12</f>
        <v>1.5744141317169532E-23</v>
      </c>
      <c r="AC193" s="24">
        <f t="shared" si="163"/>
        <v>6.1894781215740838E-2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3.1036506698001178E-14</v>
      </c>
      <c r="AK193" s="14">
        <f t="shared" si="164"/>
        <v>5.3428243983771088E-13</v>
      </c>
      <c r="AL193" s="22">
        <f t="shared" si="165"/>
        <v>9.8459716521636505E-13</v>
      </c>
      <c r="AM193" s="62">
        <f t="shared" si="113"/>
        <v>293.33333333333428</v>
      </c>
      <c r="AN193" s="62">
        <f ca="1">AVERAGE(OFFSET($AM$3,0,0,'Données projet'!$E$10+1,1))-AVERAGE(OFFSET($H$3,0,0,'Données projet'!$E$10+1,1))</f>
        <v>155.13440282866992</v>
      </c>
      <c r="AO193" s="62">
        <f t="shared" si="144"/>
        <v>229.92235675849565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0.11033397653430106</v>
      </c>
      <c r="AW193" s="23">
        <f>EXP(-LN(2)/2)*AW192+(1-EXP(-LN(2)/2))/(LN(2)/2)*AQ193*AT193*VLOOKUP('Données projet'!$B$10,Paramètres!$A$1:$I$89,3,0)*0.475*44/12</f>
        <v>1.1122625160652741E-23</v>
      </c>
      <c r="AX193" s="23">
        <f t="shared" si="166"/>
        <v>0.11033397653430106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-5.1431925385259088E-14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182.11831308043929</v>
      </c>
      <c r="BJ193" s="62">
        <f t="shared" si="146"/>
        <v>75.532250323368885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-2.5420376914553347E-13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320.36162823905426</v>
      </c>
      <c r="T194" s="62">
        <f t="shared" si="142"/>
        <v>284.65760822544792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6.0202265168491323E-2</v>
      </c>
      <c r="AB194" s="23">
        <f>EXP(-LN(2)/2)*AB193+(1-EXP(-LN(2)/2))/(LN(2)/2)*V194*Y194*VLOOKUP('Données projet'!$B$9,Paramètres!$A$1:$I$89,3,0)*0.475*44/12</f>
        <v>1.1132789089329878E-23</v>
      </c>
      <c r="AC194" s="24">
        <f t="shared" si="163"/>
        <v>6.0202265168491323E-2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3.1036506698001178E-14</v>
      </c>
      <c r="AK194" s="14">
        <f t="shared" si="164"/>
        <v>5.3428243983771088E-13</v>
      </c>
      <c r="AL194" s="22">
        <f t="shared" si="165"/>
        <v>9.8459716521636505E-13</v>
      </c>
      <c r="AM194" s="62">
        <f t="shared" si="113"/>
        <v>293.33333333333428</v>
      </c>
      <c r="AN194" s="62">
        <f ca="1">AVERAGE(OFFSET($AM$3,0,0,'Données projet'!$E$10+1,1))-AVERAGE(OFFSET($H$3,0,0,'Données projet'!$E$10+1,1))</f>
        <v>155.13440282866992</v>
      </c>
      <c r="AO194" s="62">
        <f t="shared" si="144"/>
        <v>229.92235675849565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0.10731688814375895</v>
      </c>
      <c r="AW194" s="23">
        <f>EXP(-LN(2)/2)*AW193+(1-EXP(-LN(2)/2))/(LN(2)/2)*AQ194*AT194*VLOOKUP('Données projet'!$B$10,Paramètres!$A$1:$I$89,3,0)*0.475*44/12</f>
        <v>7.8648836756936653E-24</v>
      </c>
      <c r="AX194" s="23">
        <f t="shared" si="166"/>
        <v>0.10731688814375895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-5.1431925385259088E-14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182.11831308043929</v>
      </c>
      <c r="BJ194" s="62">
        <f t="shared" si="146"/>
        <v>75.532250323368885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-2.5420376914553347E-13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320.36162823905426</v>
      </c>
      <c r="T195" s="62">
        <f t="shared" si="142"/>
        <v>284.65760822544792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5.8556031061559398E-2</v>
      </c>
      <c r="AB195" s="23">
        <f>EXP(-LN(2)/2)*AB194+(1-EXP(-LN(2)/2))/(LN(2)/2)*V195*Y195*VLOOKUP('Données projet'!$B$9,Paramètres!$A$1:$I$89,3,0)*0.475*44/12</f>
        <v>7.8720706585847659E-24</v>
      </c>
      <c r="AC195" s="24">
        <f t="shared" si="163"/>
        <v>5.8556031061559398E-2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3.1036506698001178E-14</v>
      </c>
      <c r="AK195" s="14">
        <f t="shared" si="164"/>
        <v>5.3428243983771088E-13</v>
      </c>
      <c r="AL195" s="22">
        <f t="shared" si="165"/>
        <v>9.8459716521636505E-13</v>
      </c>
      <c r="AM195" s="62">
        <f t="shared" si="113"/>
        <v>293.33333333333428</v>
      </c>
      <c r="AN195" s="62">
        <f ca="1">AVERAGE(OFFSET($AM$3,0,0,'Données projet'!$E$10+1,1))-AVERAGE(OFFSET($H$3,0,0,'Données projet'!$E$10+1,1))</f>
        <v>155.13440282866992</v>
      </c>
      <c r="AO195" s="62">
        <f t="shared" si="144"/>
        <v>229.92235675849565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0.10438230219391799</v>
      </c>
      <c r="AW195" s="23">
        <f>EXP(-LN(2)/2)*AW194+(1-EXP(-LN(2)/2))/(LN(2)/2)*AQ195*AT195*VLOOKUP('Données projet'!$B$10,Paramètres!$A$1:$I$89,3,0)*0.475*44/12</f>
        <v>5.5613125803263703E-24</v>
      </c>
      <c r="AX195" s="23">
        <f t="shared" si="166"/>
        <v>0.10438230219391799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-5.1431925385259088E-14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182.11831308043929</v>
      </c>
      <c r="BJ195" s="62">
        <f t="shared" si="146"/>
        <v>75.532250323368885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-2.5420376914553347E-13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320.36162823905426</v>
      </c>
      <c r="T196" s="62">
        <f t="shared" si="142"/>
        <v>284.65760822544792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5.6954813312853216E-2</v>
      </c>
      <c r="AB196" s="23">
        <f>EXP(-LN(2)/2)*AB195+(1-EXP(-LN(2)/2))/(LN(2)/2)*V196*Y196*VLOOKUP('Données projet'!$B$9,Paramètres!$A$1:$I$89,3,0)*0.475*44/12</f>
        <v>5.5663945446649391E-24</v>
      </c>
      <c r="AC196" s="24">
        <f t="shared" si="163"/>
        <v>5.6954813312853216E-2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3.1036506698001178E-14</v>
      </c>
      <c r="AK196" s="14">
        <f t="shared" si="164"/>
        <v>5.3428243983771088E-13</v>
      </c>
      <c r="AL196" s="22">
        <f t="shared" si="165"/>
        <v>9.8459716521636505E-13</v>
      </c>
      <c r="AM196" s="62">
        <f t="shared" ref="AM196:AM203" si="193">AL196+(AD196+AE196)*44/12</f>
        <v>293.33333333333428</v>
      </c>
      <c r="AN196" s="62">
        <f ca="1">AVERAGE(OFFSET($AM$3,0,0,'Données projet'!$E$10+1,1))-AVERAGE(OFFSET($H$3,0,0,'Données projet'!$E$10+1,1))</f>
        <v>155.13440282866992</v>
      </c>
      <c r="AO196" s="62">
        <f t="shared" si="144"/>
        <v>229.92235675849565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0.10152796265119859</v>
      </c>
      <c r="AW196" s="23">
        <f>EXP(-LN(2)/2)*AW195+(1-EXP(-LN(2)/2))/(LN(2)/2)*AQ196*AT196*VLOOKUP('Données projet'!$B$10,Paramètres!$A$1:$I$89,3,0)*0.475*44/12</f>
        <v>3.9324418378468326E-24</v>
      </c>
      <c r="AX196" s="23">
        <f t="shared" si="166"/>
        <v>0.10152796265119859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-5.1431925385259088E-14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182.11831308043929</v>
      </c>
      <c r="BJ196" s="62">
        <f t="shared" si="146"/>
        <v>75.532250323368885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-2.5420376914553347E-13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320.36162823905426</v>
      </c>
      <c r="T197" s="62">
        <f t="shared" ref="T197:T203" si="204">$T$3</f>
        <v>284.65760822544792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5.5397380947689784E-2</v>
      </c>
      <c r="AB197" s="23">
        <f>EXP(-LN(2)/2)*AB196+(1-EXP(-LN(2)/2))/(LN(2)/2)*V197*Y197*VLOOKUP('Données projet'!$B$9,Paramètres!$A$1:$I$89,3,0)*0.475*44/12</f>
        <v>3.9360353292923829E-24</v>
      </c>
      <c r="AC197" s="24">
        <f t="shared" si="163"/>
        <v>5.5397380947689784E-2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3.1036506698001178E-14</v>
      </c>
      <c r="AK197" s="14">
        <f t="shared" si="164"/>
        <v>5.3428243983771088E-13</v>
      </c>
      <c r="AL197" s="22">
        <f t="shared" si="165"/>
        <v>9.8459716521636505E-13</v>
      </c>
      <c r="AM197" s="62">
        <f t="shared" si="193"/>
        <v>293.33333333333428</v>
      </c>
      <c r="AN197" s="62">
        <f ca="1">AVERAGE(OFFSET($AM$3,0,0,'Données projet'!$E$10+1,1))-AVERAGE(OFFSET($H$3,0,0,'Données projet'!$E$10+1,1))</f>
        <v>155.13440282866992</v>
      </c>
      <c r="AO197" s="62">
        <f t="shared" ref="AO197:AO203" si="205">$AO$3</f>
        <v>229.92235675849565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9.8751675173378059E-2</v>
      </c>
      <c r="AW197" s="23">
        <f>EXP(-LN(2)/2)*AW196+(1-EXP(-LN(2)/2))/(LN(2)/2)*AQ197*AT197*VLOOKUP('Données projet'!$B$10,Paramètres!$A$1:$I$89,3,0)*0.475*44/12</f>
        <v>2.7806562901631851E-24</v>
      </c>
      <c r="AX197" s="23">
        <f t="shared" si="166"/>
        <v>9.8751675173378059E-2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-5.1431925385259088E-14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182.11831308043929</v>
      </c>
      <c r="BJ197" s="62">
        <f t="shared" ref="BJ197:BJ203" si="206">$BJ$3</f>
        <v>75.532250323368885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-2.5420376914553347E-13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320.36162823905426</v>
      </c>
      <c r="T198" s="62">
        <f t="shared" si="204"/>
        <v>284.65760822544792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5.3882536652453558E-2</v>
      </c>
      <c r="AB198" s="23">
        <f>EXP(-LN(2)/2)*AB197+(1-EXP(-LN(2)/2))/(LN(2)/2)*V198*Y198*VLOOKUP('Données projet'!$B$9,Paramètres!$A$1:$I$89,3,0)*0.475*44/12</f>
        <v>2.7831972723324696E-24</v>
      </c>
      <c r="AC198" s="24">
        <f t="shared" si="163"/>
        <v>5.3882536652453558E-2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3.1036506698001178E-14</v>
      </c>
      <c r="AK198" s="14">
        <f t="shared" si="164"/>
        <v>5.3428243983771088E-13</v>
      </c>
      <c r="AL198" s="22">
        <f t="shared" si="165"/>
        <v>9.8459716521636505E-13</v>
      </c>
      <c r="AM198" s="62">
        <f t="shared" si="193"/>
        <v>293.33333333333428</v>
      </c>
      <c r="AN198" s="62">
        <f ca="1">AVERAGE(OFFSET($AM$3,0,0,'Données projet'!$E$10+1,1))-AVERAGE(OFFSET($H$3,0,0,'Données projet'!$E$10+1,1))</f>
        <v>155.13440282866992</v>
      </c>
      <c r="AO198" s="62">
        <f t="shared" si="205"/>
        <v>229.92235675849565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9.6051305422637137E-2</v>
      </c>
      <c r="AW198" s="23">
        <f>EXP(-LN(2)/2)*AW197+(1-EXP(-LN(2)/2))/(LN(2)/2)*AQ198*AT198*VLOOKUP('Données projet'!$B$10,Paramètres!$A$1:$I$89,3,0)*0.475*44/12</f>
        <v>1.9662209189234163E-24</v>
      </c>
      <c r="AX198" s="23">
        <f t="shared" si="166"/>
        <v>9.6051305422637137E-2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-5.1431925385259088E-14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182.11831308043929</v>
      </c>
      <c r="BJ198" s="62">
        <f t="shared" si="206"/>
        <v>75.532250323368885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-2.5420376914553347E-13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320.36162823905426</v>
      </c>
      <c r="T199" s="62">
        <f t="shared" si="204"/>
        <v>284.65760822544792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5.2409115854132764E-2</v>
      </c>
      <c r="AB199" s="23">
        <f>EXP(-LN(2)/2)*AB198+(1-EXP(-LN(2)/2))/(LN(2)/2)*V199*Y199*VLOOKUP('Données projet'!$B$9,Paramètres!$A$1:$I$89,3,0)*0.475*44/12</f>
        <v>1.9680176646461915E-24</v>
      </c>
      <c r="AC199" s="24">
        <f t="shared" si="163"/>
        <v>5.2409115854132764E-2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3.1036506698001178E-14</v>
      </c>
      <c r="AK199" s="14">
        <f t="shared" si="164"/>
        <v>5.3428243983771088E-13</v>
      </c>
      <c r="AL199" s="22">
        <f t="shared" si="165"/>
        <v>9.8459716521636505E-13</v>
      </c>
      <c r="AM199" s="62">
        <f t="shared" si="193"/>
        <v>293.33333333333428</v>
      </c>
      <c r="AN199" s="62">
        <f ca="1">AVERAGE(OFFSET($AM$3,0,0,'Données projet'!$E$10+1,1))-AVERAGE(OFFSET($H$3,0,0,'Données projet'!$E$10+1,1))</f>
        <v>155.13440282866992</v>
      </c>
      <c r="AO199" s="62">
        <f t="shared" si="205"/>
        <v>229.92235675849565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9.3424777424736496E-2</v>
      </c>
      <c r="AW199" s="23">
        <f>EXP(-LN(2)/2)*AW198+(1-EXP(-LN(2)/2))/(LN(2)/2)*AQ199*AT199*VLOOKUP('Données projet'!$B$10,Paramètres!$A$1:$I$89,3,0)*0.475*44/12</f>
        <v>1.3903281450815926E-24</v>
      </c>
      <c r="AX199" s="23">
        <f t="shared" si="166"/>
        <v>9.3424777424736496E-2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-5.1431925385259088E-14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182.11831308043929</v>
      </c>
      <c r="BJ199" s="62">
        <f t="shared" si="206"/>
        <v>75.532250323368885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-2.5420376914553347E-13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320.36162823905426</v>
      </c>
      <c r="T200" s="62">
        <f t="shared" si="204"/>
        <v>284.65760822544792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5.0975985825025882E-2</v>
      </c>
      <c r="AB200" s="23">
        <f>EXP(-LN(2)/2)*AB199+(1-EXP(-LN(2)/2))/(LN(2)/2)*V200*Y200*VLOOKUP('Données projet'!$B$9,Paramètres!$A$1:$I$89,3,0)*0.475*44/12</f>
        <v>1.3915986361662348E-24</v>
      </c>
      <c r="AC200" s="24">
        <f t="shared" si="163"/>
        <v>5.0975985825025882E-2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3.1036506698001178E-14</v>
      </c>
      <c r="AK200" s="14">
        <f t="shared" si="164"/>
        <v>5.3428243983771088E-13</v>
      </c>
      <c r="AL200" s="22">
        <f t="shared" si="165"/>
        <v>9.8459716521636505E-13</v>
      </c>
      <c r="AM200" s="62">
        <f t="shared" si="193"/>
        <v>293.33333333333428</v>
      </c>
      <c r="AN200" s="62">
        <f ca="1">AVERAGE(OFFSET($AM$3,0,0,'Données projet'!$E$10+1,1))-AVERAGE(OFFSET($H$3,0,0,'Données projet'!$E$10+1,1))</f>
        <v>155.13440282866992</v>
      </c>
      <c r="AO200" s="62">
        <f t="shared" si="205"/>
        <v>229.92235675849565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9.0870071973061559E-2</v>
      </c>
      <c r="AW200" s="23">
        <f>EXP(-LN(2)/2)*AW199+(1-EXP(-LN(2)/2))/(LN(2)/2)*AQ200*AT200*VLOOKUP('Données projet'!$B$10,Paramètres!$A$1:$I$89,3,0)*0.475*44/12</f>
        <v>9.8311045946170816E-25</v>
      </c>
      <c r="AX200" s="23">
        <f t="shared" si="166"/>
        <v>9.0870071973061559E-2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-5.1431925385259088E-14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182.11831308043929</v>
      </c>
      <c r="BJ200" s="62">
        <f t="shared" si="206"/>
        <v>75.532250323368885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-2.5420376914553347E-13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320.36162823905426</v>
      </c>
      <c r="T201" s="62">
        <f t="shared" si="204"/>
        <v>284.65760822544792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4.9582044811929959E-2</v>
      </c>
      <c r="AB201" s="23">
        <f>EXP(-LN(2)/2)*AB200+(1-EXP(-LN(2)/2))/(LN(2)/2)*V201*Y201*VLOOKUP('Données projet'!$B$9,Paramètres!$A$1:$I$89,3,0)*0.475*44/12</f>
        <v>9.8400883232309573E-25</v>
      </c>
      <c r="AC201" s="24">
        <f t="shared" si="163"/>
        <v>4.9582044811929959E-2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3.1036506698001178E-14</v>
      </c>
      <c r="AK201" s="14">
        <f t="shared" si="164"/>
        <v>5.3428243983771088E-13</v>
      </c>
      <c r="AL201" s="22">
        <f t="shared" si="165"/>
        <v>9.8459716521636505E-13</v>
      </c>
      <c r="AM201" s="62">
        <f t="shared" si="193"/>
        <v>293.33333333333428</v>
      </c>
      <c r="AN201" s="62">
        <f ca="1">AVERAGE(OFFSET($AM$3,0,0,'Données projet'!$E$10+1,1))-AVERAGE(OFFSET($H$3,0,0,'Données projet'!$E$10+1,1))</f>
        <v>155.13440282866992</v>
      </c>
      <c r="AO201" s="62">
        <f t="shared" si="205"/>
        <v>229.92235675849565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8.838522507630879E-2</v>
      </c>
      <c r="AW201" s="23">
        <f>EXP(-LN(2)/2)*AW200+(1-EXP(-LN(2)/2))/(LN(2)/2)*AQ201*AT201*VLOOKUP('Données projet'!$B$10,Paramètres!$A$1:$I$89,3,0)*0.475*44/12</f>
        <v>6.9516407254079629E-25</v>
      </c>
      <c r="AX201" s="23">
        <f t="shared" si="166"/>
        <v>8.838522507630879E-2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-5.1431925385259088E-14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182.11831308043929</v>
      </c>
      <c r="BJ201" s="62">
        <f t="shared" si="206"/>
        <v>75.532250323368885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-2.5420376914553347E-13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320.36162823905426</v>
      </c>
      <c r="T202" s="62">
        <f t="shared" si="204"/>
        <v>284.65760822544792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4.822622118914132E-2</v>
      </c>
      <c r="AB202" s="23">
        <f>EXP(-LN(2)/2)*AB201+(1-EXP(-LN(2)/2))/(LN(2)/2)*V202*Y202*VLOOKUP('Données projet'!$B$9,Paramètres!$A$1:$I$89,3,0)*0.475*44/12</f>
        <v>6.9579931808311739E-25</v>
      </c>
      <c r="AC202" s="24">
        <f t="shared" si="163"/>
        <v>4.822622118914132E-2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3.1036506698001178E-14</v>
      </c>
      <c r="AK202" s="14">
        <f t="shared" si="164"/>
        <v>5.3428243983771088E-13</v>
      </c>
      <c r="AL202" s="22">
        <f t="shared" si="165"/>
        <v>9.8459716521636505E-13</v>
      </c>
      <c r="AM202" s="62">
        <f t="shared" si="193"/>
        <v>293.33333333333428</v>
      </c>
      <c r="AN202" s="62">
        <f ca="1">AVERAGE(OFFSET($AM$3,0,0,'Données projet'!$E$10+1,1))-AVERAGE(OFFSET($H$3,0,0,'Données projet'!$E$10+1,1))</f>
        <v>155.13440282866992</v>
      </c>
      <c r="AO202" s="62">
        <f t="shared" si="205"/>
        <v>229.92235675849565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8.5968326448620153E-2</v>
      </c>
      <c r="AW202" s="23">
        <f>EXP(-LN(2)/2)*AW201+(1-EXP(-LN(2)/2))/(LN(2)/2)*AQ202*AT202*VLOOKUP('Données projet'!$B$10,Paramètres!$A$1:$I$89,3,0)*0.475*44/12</f>
        <v>4.9155522973085408E-25</v>
      </c>
      <c r="AX202" s="23">
        <f t="shared" si="166"/>
        <v>8.5968326448620153E-2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-5.1431925385259088E-14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182.11831308043929</v>
      </c>
      <c r="BJ202" s="62">
        <f t="shared" si="206"/>
        <v>75.532250323368885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-2.5420376914553347E-13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320.36162823905426</v>
      </c>
      <c r="T203" s="62">
        <f t="shared" si="204"/>
        <v>284.65760822544792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4.6907472634617503E-2</v>
      </c>
      <c r="AB203" s="23">
        <f>EXP(-LN(2)/2)*AB202+(1-EXP(-LN(2)/2))/(LN(2)/2)*V203*Y203*VLOOKUP('Données projet'!$B$9,Paramètres!$A$1:$I$89,3,0)*0.475*44/12</f>
        <v>4.9200441616154787E-25</v>
      </c>
      <c r="AC203" s="24">
        <f t="shared" si="163"/>
        <v>4.6907472634617503E-2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3.1036506698001178E-14</v>
      </c>
      <c r="AK203" s="14">
        <f t="shared" si="164"/>
        <v>5.3428243983771088E-13</v>
      </c>
      <c r="AL203" s="22">
        <f t="shared" si="165"/>
        <v>9.8459716521636505E-13</v>
      </c>
      <c r="AM203" s="62">
        <f t="shared" si="193"/>
        <v>293.33333333333428</v>
      </c>
      <c r="AN203" s="62">
        <f ca="1">AVERAGE(OFFSET($AM$3,0,0,'Données projet'!$E$10+1,1))-AVERAGE(OFFSET($H$3,0,0,'Données projet'!$E$10+1,1))</f>
        <v>155.13440282866992</v>
      </c>
      <c r="AO203" s="62">
        <f t="shared" si="205"/>
        <v>229.92235675849565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8.3617518041004826E-2</v>
      </c>
      <c r="AW203" s="23">
        <f>EXP(-LN(2)/2)*AW202+(1-EXP(-LN(2)/2))/(LN(2)/2)*AQ203*AT203*VLOOKUP('Données projet'!$B$10,Paramètres!$A$1:$I$89,3,0)*0.475*44/12</f>
        <v>3.4758203627039814E-25</v>
      </c>
      <c r="AX203" s="23">
        <f t="shared" si="166"/>
        <v>8.3617518041004826E-2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-5.1431925385259088E-14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182.11831308043929</v>
      </c>
      <c r="BJ203" s="62">
        <f t="shared" si="206"/>
        <v>75.532250323368885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1.3035649343705267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1.4727333575346888</v>
      </c>
      <c r="BA205" s="88">
        <f>EXP(LN('Données projet'!B88)/'Données projet'!A88)</f>
        <v>1.1457367676485573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4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5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4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6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6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5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4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5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8" t="s">
        <v>191</v>
      </c>
      <c r="C2" s="339"/>
      <c r="D2" s="339"/>
      <c r="E2" s="339"/>
      <c r="F2" s="339"/>
      <c r="G2" s="34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7"/>
      <c r="C4" s="337"/>
      <c r="D4" s="337"/>
      <c r="E4" s="337"/>
      <c r="F4" s="337"/>
      <c r="G4" s="33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4" workbookViewId="0">
      <selection activeCell="O37" sqref="O3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8" t="s">
        <v>271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4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0.65249999999999997</v>
      </c>
      <c r="C6" s="156">
        <f ca="1">IF(OR('Données projet'!B9="",'Données projet'!C9="",'Données projet'!C9=0%),0,Calculateur!S3)</f>
        <v>320.36162823905426</v>
      </c>
      <c r="D6" s="156">
        <f>IF(OR('Données projet'!B9="",'Données projet'!C9="",'Données projet'!C9=0%),0,Calculateur!T3)</f>
        <v>284.65760822544792</v>
      </c>
      <c r="E6" s="156">
        <f ca="1">MIN(C6,D6)</f>
        <v>284.65760822544792</v>
      </c>
      <c r="F6" s="156">
        <f ca="1">E6*B6</f>
        <v>185.73908936710475</v>
      </c>
      <c r="G6" s="156">
        <f ca="1">F6*(100%-'Données projet'!$C$24)*(100%-'Données projet'!$C$25)*(100%-'Données projet'!$C$26)*(100%-'Données projet'!$C$27)</f>
        <v>142.09040336583513</v>
      </c>
      <c r="H6" s="157">
        <f>IF(OR('Données projet'!B9="",'Données projet'!C9="",'Données projet'!C9=0%),0,AVERAGE(Calculateur!$AC$3:$AC$33)*B6)</f>
        <v>4.8029950041851484</v>
      </c>
      <c r="I6" s="158">
        <f>H6*(100%-'Données projet'!$C$24)*(100%-'Données projet'!$C$25)*(100%-'Données projet'!$C$26)*(100%-'Données projet'!$C$27)</f>
        <v>3.6742911782016381</v>
      </c>
      <c r="J6" s="159">
        <f>IF(OR('Données projet'!B9="",'Données projet'!C9="",'Données projet'!C9=0%),0,SUM(Calculateur!$V$3:$V$33)*VLOOKUP('Données projet'!$B$9,Paramètres!$A$1:$I$89,9,0)*B6)</f>
        <v>37.316474999999997</v>
      </c>
      <c r="K6" s="160">
        <f>J6*(100%-'Données projet'!$C$24)*(100%-'Données projet'!$C$25)*(100%-'Données projet'!$C$26)*(100%-'Données projet'!$C$27)</f>
        <v>28.547103374999995</v>
      </c>
      <c r="L6" s="161">
        <f ca="1">G6+I6+K6</f>
        <v>174.31179791903676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Mélèze hybride</v>
      </c>
      <c r="B7" s="163">
        <f>'Données projet'!D10</f>
        <v>1.3499999999999999</v>
      </c>
      <c r="C7" s="156">
        <f ca="1">IF(OR('Données projet'!B10="",'Données projet'!C10="",'Données projet'!C10=0%),0,Calculateur!AN3)</f>
        <v>155.13440282866992</v>
      </c>
      <c r="D7" s="156">
        <f>IF(OR('Données projet'!B10="",'Données projet'!C10="",'Données projet'!C10=0%),0,Calculateur!AO3)</f>
        <v>229.92235675849565</v>
      </c>
      <c r="E7" s="156">
        <f t="shared" ref="E7:E15" ca="1" si="0">MIN(C7,D7)</f>
        <v>155.13440282866992</v>
      </c>
      <c r="F7" s="156">
        <f t="shared" ref="F7:F15" ca="1" si="1">E7*B7</f>
        <v>209.43144381870437</v>
      </c>
      <c r="G7" s="156">
        <f ca="1">F7*(100%-'Données projet'!$C$24)*(100%-'Données projet'!$C$25)*(100%-'Données projet'!$C$26)*(100%-'Données projet'!$C$27)</f>
        <v>160.21505452130884</v>
      </c>
      <c r="H7" s="164">
        <f>IF(OR('Données projet'!B10="",'Données projet'!C10="",'Données projet'!C10=0%),0,AVERAGE(Calculateur!$AX$3:$AX$33)*B7)</f>
        <v>10.717129697586993</v>
      </c>
      <c r="I7" s="158">
        <f>H7*(100%-'Données projet'!$C$24)*(100%-'Données projet'!$C$25)*(100%-'Données projet'!$C$26)*(100%-'Données projet'!$C$27)</f>
        <v>8.1986042186540491</v>
      </c>
      <c r="J7" s="159">
        <f>IF(OR('Données projet'!B10="",'Données projet'!C10="",'Données projet'!C10=0%),0,SUM(Calculateur!$AQ$3:$AQ$33)*VLOOKUP('Données projet'!$B$10,Paramètres!$A$1:$I$89,9,0)*B7)</f>
        <v>77.206499999999991</v>
      </c>
      <c r="K7" s="160">
        <f>J7*(100%-'Données projet'!$C$24)*(100%-'Données projet'!$C$25)*(100%-'Données projet'!$C$26)*(100%-'Données projet'!$C$27)</f>
        <v>59.062972500000001</v>
      </c>
      <c r="L7" s="161">
        <f t="shared" ref="L7:L15" ca="1" si="2">G7+I7+K7</f>
        <v>227.4766312399629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0.2475</v>
      </c>
      <c r="C8" s="156">
        <f ca="1">IF(OR('Données projet'!B11="",'Données projet'!C11="",'Données projet'!C11=0%),0,Calculateur!BI3)</f>
        <v>182.11831308043929</v>
      </c>
      <c r="D8" s="156">
        <f>IF(OR('Données projet'!B11="",'Données projet'!C11="",'Données projet'!C11=0%),0,Calculateur!BJ3)</f>
        <v>75.532250323368885</v>
      </c>
      <c r="E8" s="156">
        <f t="shared" ca="1" si="0"/>
        <v>75.532250323368885</v>
      </c>
      <c r="F8" s="156">
        <f t="shared" ca="1" si="1"/>
        <v>18.6942319550338</v>
      </c>
      <c r="G8" s="156">
        <f ca="1">F8*(100%-'Données projet'!$C$24)*(100%-'Données projet'!$C$25)*(100%-'Données projet'!$C$26)*(100%-'Données projet'!$C$27)</f>
        <v>14.301087445600857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14.301087445600857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413.86476514084291</v>
      </c>
      <c r="G16" s="175">
        <f t="shared" ca="1" si="3"/>
        <v>316.60654533274482</v>
      </c>
      <c r="H16" s="176">
        <f t="shared" si="3"/>
        <v>15.52012470177214</v>
      </c>
      <c r="I16" s="176">
        <f t="shared" si="3"/>
        <v>11.872895396855688</v>
      </c>
      <c r="J16" s="177">
        <f t="shared" si="3"/>
        <v>114.52297499999999</v>
      </c>
      <c r="K16" s="177">
        <f t="shared" si="3"/>
        <v>87.610075874999993</v>
      </c>
      <c r="L16" s="178">
        <f t="shared" ca="1" si="3"/>
        <v>416.08951660460048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1" t="s">
        <v>246</v>
      </c>
      <c r="G17" s="342"/>
      <c r="H17" s="342"/>
      <c r="I17" s="342"/>
      <c r="J17" s="342"/>
      <c r="K17" s="342"/>
      <c r="L17" s="34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3"/>
      <c r="G18" s="343"/>
      <c r="H18" s="343"/>
      <c r="I18" s="343"/>
      <c r="J18" s="343"/>
      <c r="K18" s="343"/>
      <c r="L18" s="34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1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8" t="s">
        <v>272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4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7" t="s">
        <v>315</v>
      </c>
      <c r="I4" s="347"/>
      <c r="K4" s="344" t="s">
        <v>253</v>
      </c>
      <c r="L4" s="34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5" t="s">
        <v>310</v>
      </c>
      <c r="S7" s="356"/>
      <c r="T7" s="356"/>
      <c r="U7" s="356"/>
      <c r="V7" s="35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4988.0246906115462</v>
      </c>
      <c r="U10" s="190">
        <f>'Données projet'!D9</f>
        <v>0.65249999999999997</v>
      </c>
      <c r="V10" s="189">
        <f>U10*T10</f>
        <v>3254.686110624034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2449.5585828178896</v>
      </c>
      <c r="U11" s="190">
        <f>'Données projet'!D10</f>
        <v>1.3499999999999999</v>
      </c>
      <c r="V11" s="189">
        <f t="shared" ref="V11" si="0">U11*T11</f>
        <v>3306.9040868041507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347.49136972109613</v>
      </c>
      <c r="U12" s="190">
        <f>'Données projet'!D11</f>
        <v>0.2475</v>
      </c>
      <c r="V12" s="189">
        <f t="shared" ref="V12:V19" si="1">U12*T12</f>
        <v>86.004114005971289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8" t="s">
        <v>318</v>
      </c>
      <c r="H15" s="203">
        <v>5</v>
      </c>
      <c r="I15" s="204">
        <v>4321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8"/>
      <c r="H16" s="203"/>
      <c r="I16" s="204"/>
      <c r="J16" s="216"/>
      <c r="K16" s="225"/>
      <c r="L16" s="344" t="s">
        <v>254</v>
      </c>
      <c r="M16" s="34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8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59.999999999999979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8"/>
      <c r="J18" s="216"/>
      <c r="K18" s="225"/>
      <c r="L18" s="315" t="s">
        <v>255</v>
      </c>
      <c r="M18" s="31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8"/>
      <c r="H19" s="232" t="s">
        <v>178</v>
      </c>
      <c r="I19" s="232" t="s">
        <v>287</v>
      </c>
      <c r="J19" s="260"/>
      <c r="K19" s="183"/>
      <c r="L19" s="344" t="s">
        <v>288</v>
      </c>
      <c r="M19" s="345"/>
      <c r="N19" s="191">
        <f>N17*N18</f>
        <v>1199.9999999999995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8"/>
      <c r="H20" s="203">
        <v>0</v>
      </c>
      <c r="I20" s="204">
        <v>6145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1865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865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875</v>
      </c>
      <c r="K23" s="225"/>
      <c r="L23" s="346" t="s">
        <v>260</v>
      </c>
      <c r="M23" s="346"/>
      <c r="N23" s="346"/>
      <c r="O23" s="25"/>
      <c r="P23" s="25"/>
      <c r="Q23" s="265"/>
      <c r="R23" s="25"/>
      <c r="S23" s="185" t="s">
        <v>264</v>
      </c>
      <c r="T23" s="36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-6900.0245977878731</v>
      </c>
      <c r="U23" s="360"/>
      <c r="V23" s="36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65</v>
      </c>
      <c r="C24" s="312">
        <v>15</v>
      </c>
      <c r="D24" s="194">
        <f t="shared" ref="D24:D42" si="2">B24*C24</f>
        <v>975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61">
        <f ca="1">'Scénario référence'!$B$8*$M$30*'Données projet'!$C$5+('Scénario référence'!B9+'Scénario référence'!B10+'Scénario référence'!F8+'Scénario référence'!F9)*$N$19/(1+M4)^N16*'Données projet'!$C$5</f>
        <v>192.48032235799752</v>
      </c>
      <c r="U24" s="361"/>
      <c r="V24" s="36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68</v>
      </c>
      <c r="C25" s="312">
        <v>20</v>
      </c>
      <c r="D25" s="194">
        <f t="shared" si="2"/>
        <v>1360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2">
        <f ca="1">T23-T24</f>
        <v>-7092.5049201458705</v>
      </c>
      <c r="U25" s="362"/>
      <c r="V25" s="36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87</v>
      </c>
      <c r="C26" s="312">
        <v>28</v>
      </c>
      <c r="D26" s="194">
        <f t="shared" si="2"/>
        <v>2436</v>
      </c>
      <c r="E26" s="206"/>
      <c r="F26" s="264"/>
      <c r="G26" s="259"/>
      <c r="H26" s="203"/>
      <c r="I26" s="204"/>
      <c r="K26" s="225"/>
      <c r="L26" s="349" t="s">
        <v>258</v>
      </c>
      <c r="M26" s="350"/>
      <c r="N26" s="350"/>
      <c r="O26" s="350"/>
      <c r="P26" s="351"/>
      <c r="Q26" s="265"/>
      <c r="R26" s="25"/>
      <c r="S26" s="198" t="s">
        <v>265</v>
      </c>
      <c r="T26" s="359" t="str">
        <f ca="1">IF(T25&lt;0,"Votre projet est additionnel","Votre projet n'est pas additionnel")</f>
        <v>Votre projet est additionnel</v>
      </c>
      <c r="U26" s="359"/>
      <c r="V26" s="35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42</v>
      </c>
      <c r="B27" s="193">
        <f>'Données projet'!D40</f>
        <v>100</v>
      </c>
      <c r="C27" s="312">
        <v>28</v>
      </c>
      <c r="D27" s="194">
        <f t="shared" si="2"/>
        <v>2800</v>
      </c>
      <c r="E27" s="206"/>
      <c r="F27" s="264"/>
      <c r="G27" s="259"/>
      <c r="H27" s="203"/>
      <c r="I27" s="204"/>
      <c r="K27" s="225"/>
      <c r="L27" s="352"/>
      <c r="M27" s="353"/>
      <c r="N27" s="353"/>
      <c r="O27" s="353"/>
      <c r="P27" s="354"/>
      <c r="Q27" s="265"/>
      <c r="R27" s="25"/>
      <c r="S27" s="358" t="s">
        <v>267</v>
      </c>
      <c r="T27" s="358"/>
      <c r="U27" s="358"/>
      <c r="V27" s="35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49</v>
      </c>
      <c r="B28" s="193">
        <f>'Données projet'!D41</f>
        <v>113</v>
      </c>
      <c r="C28" s="312">
        <v>35</v>
      </c>
      <c r="D28" s="194">
        <f t="shared" si="2"/>
        <v>3955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95</v>
      </c>
      <c r="C29" s="312">
        <v>40</v>
      </c>
      <c r="D29" s="194">
        <f t="shared" si="2"/>
        <v>3800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63</v>
      </c>
      <c r="B30" s="193">
        <f>'Données projet'!D43</f>
        <v>99</v>
      </c>
      <c r="C30" s="312">
        <v>50</v>
      </c>
      <c r="D30" s="194">
        <f t="shared" si="2"/>
        <v>4950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69</v>
      </c>
      <c r="B31" s="193">
        <f>'Données projet'!D44</f>
        <v>0</v>
      </c>
      <c r="C31" s="312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586</v>
      </c>
      <c r="C32" s="312">
        <v>80</v>
      </c>
      <c r="D32" s="194">
        <f t="shared" si="2"/>
        <v>46880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10</v>
      </c>
      <c r="C54" s="204">
        <v>12</v>
      </c>
      <c r="D54" s="191">
        <f>B54*C54</f>
        <v>120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30</v>
      </c>
      <c r="C55" s="204">
        <v>15</v>
      </c>
      <c r="D55" s="191">
        <f t="shared" ref="D55:D73" si="4">B55*C55</f>
        <v>450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34</v>
      </c>
      <c r="C56" s="204">
        <v>17</v>
      </c>
      <c r="D56" s="191">
        <f t="shared" si="4"/>
        <v>578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32</v>
      </c>
      <c r="C57" s="204">
        <v>20</v>
      </c>
      <c r="D57" s="191">
        <f t="shared" si="4"/>
        <v>640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27</v>
      </c>
      <c r="C58" s="204">
        <v>25</v>
      </c>
      <c r="D58" s="191">
        <f t="shared" si="4"/>
        <v>675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21</v>
      </c>
      <c r="C59" s="204">
        <v>30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16</v>
      </c>
      <c r="C60" s="204">
        <v>35</v>
      </c>
      <c r="D60" s="191">
        <f t="shared" si="4"/>
        <v>560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12</v>
      </c>
      <c r="C61" s="204">
        <v>45</v>
      </c>
      <c r="D61" s="191">
        <f t="shared" si="4"/>
        <v>540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259</v>
      </c>
      <c r="C62" s="204">
        <v>50</v>
      </c>
      <c r="D62" s="191">
        <f t="shared" si="4"/>
        <v>12950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04">
        <v>4</v>
      </c>
      <c r="D87" s="191">
        <f t="shared" si="6"/>
        <v>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04">
        <v>8</v>
      </c>
      <c r="D88" s="191">
        <f t="shared" si="6"/>
        <v>112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04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04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04">
        <v>15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04">
        <v>15</v>
      </c>
      <c r="D92" s="191">
        <f t="shared" si="6"/>
        <v>210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04">
        <v>15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04">
        <v>15</v>
      </c>
      <c r="D94" s="191">
        <f t="shared" si="6"/>
        <v>210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04">
        <v>20</v>
      </c>
      <c r="D95" s="191">
        <f t="shared" si="6"/>
        <v>280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04">
        <v>20</v>
      </c>
      <c r="D96" s="191">
        <f t="shared" si="6"/>
        <v>280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04">
        <v>20</v>
      </c>
      <c r="D97" s="191">
        <f t="shared" si="6"/>
        <v>280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04">
        <v>20</v>
      </c>
      <c r="D98" s="191">
        <f t="shared" si="6"/>
        <v>280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04">
        <v>30</v>
      </c>
      <c r="D99" s="191">
        <f t="shared" si="6"/>
        <v>420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04">
        <v>30</v>
      </c>
      <c r="D100" s="191">
        <f t="shared" si="6"/>
        <v>390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04">
        <v>40</v>
      </c>
      <c r="D101" s="191">
        <f t="shared" si="6"/>
        <v>520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04">
        <v>50</v>
      </c>
      <c r="D102" s="191">
        <f t="shared" si="6"/>
        <v>650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04">
        <v>70</v>
      </c>
      <c r="D103" s="191">
        <f t="shared" si="6"/>
        <v>910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222</v>
      </c>
      <c r="C104" s="204">
        <v>150</v>
      </c>
      <c r="D104" s="191">
        <f t="shared" si="6"/>
        <v>33300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D12" sqref="D12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3" t="s">
        <v>324</v>
      </c>
      <c r="C1" s="364"/>
      <c r="D1" s="365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Douglas</v>
      </c>
      <c r="D3" s="292" t="str">
        <f>'Données projet'!B10</f>
        <v>Mélèze hybride</v>
      </c>
      <c r="E3" s="292" t="str">
        <f>'Données projet'!B11</f>
        <v>Chêne sessile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0.65249999999999997</v>
      </c>
      <c r="D4" s="300">
        <f>'Données projet'!$D$10</f>
        <v>1.3499999999999999</v>
      </c>
      <c r="E4" s="300">
        <f>'Données projet'!$D$11</f>
        <v>0.2475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2.25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2025-02-28T15:29:41Z</dcterms:modified>
</cp:coreProperties>
</file>