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MESNIL-EN-OUCHE (AJOU) (27) - GFR des 3 ALS\Dépôt\"/>
    </mc:Choice>
  </mc:AlternateContent>
  <xr:revisionPtr revIDLastSave="0" documentId="13_ncr:1_{89F4FF9E-E26A-4035-BB43-644EC9D296EB}" xr6:coauthVersionLast="36" xr6:coauthVersionMax="36" xr10:uidLastSave="{00000000-0000-0000-0000-000000000000}"/>
  <bookViews>
    <workbookView xWindow="0" yWindow="0" windowWidth="21570" windowHeight="9330" tabRatio="866" firstSheet="1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0" i="6"/>
  <c r="B148" i="1" l="1"/>
  <c r="B153" i="1" l="1"/>
  <c r="B152" i="1"/>
  <c r="B151" i="1"/>
  <c r="B150" i="1"/>
  <c r="B149" i="1"/>
  <c r="B147" i="1" l="1"/>
  <c r="B146" i="1"/>
  <c r="B145" i="1"/>
  <c r="B144" i="1"/>
  <c r="B143" i="1"/>
  <c r="B142" i="1"/>
  <c r="B141" i="1"/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BC84" i="2" a="1"/>
  <c r="BC84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X107" i="2" l="1" a="1"/>
  <c r="BX107" i="2" s="1"/>
  <c r="CS72" i="2" a="1"/>
  <c r="CS72" i="2" s="1"/>
  <c r="CS24" i="2" a="1"/>
  <c r="CS24" i="2" s="1"/>
  <c r="CS105" i="2" a="1"/>
  <c r="CS105" i="2" s="1"/>
  <c r="CS120" i="2" a="1"/>
  <c r="CS120" i="2" s="1"/>
  <c r="CS114" i="2" a="1"/>
  <c r="CS114" i="2" s="1"/>
  <c r="CS161" i="2" a="1"/>
  <c r="CS161" i="2" s="1"/>
  <c r="CS77" i="2" a="1"/>
  <c r="CS77" i="2" s="1"/>
  <c r="CS185" i="2" a="1"/>
  <c r="CS185" i="2" s="1"/>
  <c r="CS52" i="2" a="1"/>
  <c r="CS52" i="2" s="1"/>
  <c r="CS134" i="2" a="1"/>
  <c r="CS134" i="2" s="1"/>
  <c r="CS137" i="2" a="1"/>
  <c r="CS137" i="2" s="1"/>
  <c r="CS66" i="2" a="1"/>
  <c r="CS66" i="2" s="1"/>
  <c r="CS129" i="2" a="1"/>
  <c r="CS129" i="2" s="1"/>
  <c r="CS116" i="2" a="1"/>
  <c r="CS116" i="2" s="1"/>
  <c r="CS38" i="2" a="1"/>
  <c r="CS38" i="2" s="1"/>
  <c r="BC114" i="2" a="1"/>
  <c r="BC114" i="2" s="1"/>
  <c r="BC83" i="2" a="1"/>
  <c r="BC83" i="2" s="1"/>
  <c r="BC151" i="2" a="1"/>
  <c r="BC151" i="2" s="1"/>
  <c r="BC7" i="2" a="1"/>
  <c r="BC7" i="2" s="1"/>
  <c r="BC185" i="2" a="1"/>
  <c r="BC185" i="2" s="1"/>
  <c r="BC117" i="2" a="1"/>
  <c r="BC117" i="2" s="1"/>
  <c r="BC143" i="2" a="1"/>
  <c r="BC143" i="2" s="1"/>
  <c r="BC31" i="2" a="1"/>
  <c r="BC31" i="2" s="1"/>
  <c r="BC181" i="2" a="1"/>
  <c r="BC181" i="2" s="1"/>
  <c r="BC65" i="2" a="1"/>
  <c r="BC65" i="2" s="1"/>
  <c r="BC82" i="2" a="1"/>
  <c r="BC82" i="2" s="1"/>
  <c r="BC47" i="2" a="1"/>
  <c r="BC47" i="2" s="1"/>
  <c r="BC55" i="2" a="1"/>
  <c r="BC55" i="2" s="1"/>
  <c r="BC164" i="2" a="1"/>
  <c r="BC164" i="2" s="1"/>
  <c r="BC192" i="2" a="1"/>
  <c r="BC192" i="2" s="1"/>
  <c r="BC18" i="2" a="1"/>
  <c r="BC18" i="2" s="1"/>
  <c r="BC38" i="2" a="1"/>
  <c r="BC38" i="2" s="1"/>
  <c r="BC130" i="2" a="1"/>
  <c r="BC130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<sst xmlns="http://schemas.openxmlformats.org/spreadsheetml/2006/main" count="1183" uniqueCount="332">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</sst>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97.716900465048397</c:v>
                </c:pt>
                <c:pt idx="22">
                  <c:v>109.24128540474889</c:v>
                </c:pt>
                <c:pt idx="23">
                  <c:v>120.73576442072574</c:v>
                </c:pt>
                <c:pt idx="24">
                  <c:v>132.20358993292459</c:v>
                </c:pt>
                <c:pt idx="25">
                  <c:v>143.64740257451564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169.22076873606741</c:v>
                </c:pt>
                <c:pt idx="29">
                  <c:v>182.9523003061253</c:v>
                </c:pt>
                <c:pt idx="30">
                  <c:v>196.65973476943881</c:v>
                </c:pt>
                <c:pt idx="31">
                  <c:v>170.79137460696452</c:v>
                </c:pt>
                <c:pt idx="32">
                  <c:v>186.08747857758416</c:v>
                </c:pt>
                <c:pt idx="33">
                  <c:v>201.35423252127546</c:v>
                </c:pt>
                <c:pt idx="34">
                  <c:v>216.59417586765144</c:v>
                </c:pt>
                <c:pt idx="35">
                  <c:v>231.80946116582962</c:v>
                </c:pt>
                <c:pt idx="36">
                  <c:v>207.21879690654112</c:v>
                </c:pt>
                <c:pt idx="37">
                  <c:v>223.61956111075628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521.21451663187679</c:v>
                </c:pt>
                <c:pt idx="117">
                  <c:v>521.21451663187679</c:v>
                </c:pt>
                <c:pt idx="118">
                  <c:v>521.21451663187679</c:v>
                </c:pt>
                <c:pt idx="119">
                  <c:v>521.21451663187679</c:v>
                </c:pt>
                <c:pt idx="120">
                  <c:v>521.21451663187679</c:v>
                </c:pt>
                <c:pt idx="121">
                  <c:v>521.21451663187679</c:v>
                </c:pt>
                <c:pt idx="122">
                  <c:v>521.21451663187679</c:v>
                </c:pt>
                <c:pt idx="123">
                  <c:v>521.21451663187679</c:v>
                </c:pt>
                <c:pt idx="124">
                  <c:v>521.21451663187679</c:v>
                </c:pt>
                <c:pt idx="125">
                  <c:v>521.21451663187679</c:v>
                </c:pt>
                <c:pt idx="126">
                  <c:v>521.21451663187679</c:v>
                </c:pt>
                <c:pt idx="127">
                  <c:v>521.21451663187679</c:v>
                </c:pt>
                <c:pt idx="128">
                  <c:v>521.21451663187679</c:v>
                </c:pt>
                <c:pt idx="129">
                  <c:v>521.21451663187679</c:v>
                </c:pt>
                <c:pt idx="130">
                  <c:v>521.21451663187679</c:v>
                </c:pt>
                <c:pt idx="131">
                  <c:v>521.21451663187679</c:v>
                </c:pt>
                <c:pt idx="132">
                  <c:v>521.21451663187679</c:v>
                </c:pt>
                <c:pt idx="133">
                  <c:v>521.21451663187679</c:v>
                </c:pt>
                <c:pt idx="134">
                  <c:v>521.21451663187679</c:v>
                </c:pt>
                <c:pt idx="135">
                  <c:v>521.21451663187679</c:v>
                </c:pt>
                <c:pt idx="136">
                  <c:v>521.21451663187679</c:v>
                </c:pt>
                <c:pt idx="137">
                  <c:v>521.21451663187679</c:v>
                </c:pt>
                <c:pt idx="138">
                  <c:v>521.21451663187679</c:v>
                </c:pt>
                <c:pt idx="139">
                  <c:v>521.21451663187679</c:v>
                </c:pt>
                <c:pt idx="140">
                  <c:v>521.21451663187679</c:v>
                </c:pt>
                <c:pt idx="141">
                  <c:v>521.21451663187679</c:v>
                </c:pt>
                <c:pt idx="142">
                  <c:v>521.21451663187679</c:v>
                </c:pt>
                <c:pt idx="143">
                  <c:v>521.21451663187679</c:v>
                </c:pt>
                <c:pt idx="144">
                  <c:v>521.21451663187679</c:v>
                </c:pt>
                <c:pt idx="145">
                  <c:v>521.21451663187679</c:v>
                </c:pt>
                <c:pt idx="146">
                  <c:v>521.21451663187679</c:v>
                </c:pt>
                <c:pt idx="147">
                  <c:v>521.21451663187679</c:v>
                </c:pt>
                <c:pt idx="148">
                  <c:v>521.21451663187679</c:v>
                </c:pt>
                <c:pt idx="149">
                  <c:v>521.21451663187679</c:v>
                </c:pt>
                <c:pt idx="150">
                  <c:v>521.21451663187679</c:v>
                </c:pt>
                <c:pt idx="151">
                  <c:v>521.21451663187679</c:v>
                </c:pt>
                <c:pt idx="152">
                  <c:v>521.21451663187679</c:v>
                </c:pt>
                <c:pt idx="153">
                  <c:v>521.21451663187679</c:v>
                </c:pt>
                <c:pt idx="154">
                  <c:v>521.21451663187679</c:v>
                </c:pt>
                <c:pt idx="155">
                  <c:v>521.21451663187679</c:v>
                </c:pt>
                <c:pt idx="156">
                  <c:v>521.21451663187679</c:v>
                </c:pt>
                <c:pt idx="157">
                  <c:v>521.21451663187679</c:v>
                </c:pt>
                <c:pt idx="158">
                  <c:v>521.21451663187679</c:v>
                </c:pt>
                <c:pt idx="159">
                  <c:v>521.21451663187679</c:v>
                </c:pt>
                <c:pt idx="160">
                  <c:v>521.21451663187679</c:v>
                </c:pt>
                <c:pt idx="161">
                  <c:v>521.21451663187679</c:v>
                </c:pt>
                <c:pt idx="162">
                  <c:v>521.21451663187679</c:v>
                </c:pt>
                <c:pt idx="163">
                  <c:v>521.21451663187679</c:v>
                </c:pt>
                <c:pt idx="164">
                  <c:v>521.21451663187679</c:v>
                </c:pt>
                <c:pt idx="165">
                  <c:v>521.21451663187679</c:v>
                </c:pt>
                <c:pt idx="166">
                  <c:v>521.21451663187679</c:v>
                </c:pt>
                <c:pt idx="167">
                  <c:v>521.21451663187679</c:v>
                </c:pt>
                <c:pt idx="168">
                  <c:v>521.21451663187679</c:v>
                </c:pt>
                <c:pt idx="169">
                  <c:v>521.21451663187679</c:v>
                </c:pt>
                <c:pt idx="170">
                  <c:v>521.21451663187679</c:v>
                </c:pt>
                <c:pt idx="171">
                  <c:v>521.21451663187679</c:v>
                </c:pt>
                <c:pt idx="172">
                  <c:v>521.21451663187679</c:v>
                </c:pt>
                <c:pt idx="173">
                  <c:v>521.21451663187679</c:v>
                </c:pt>
                <c:pt idx="174">
                  <c:v>521.21451663187679</c:v>
                </c:pt>
                <c:pt idx="175">
                  <c:v>521.21451663187679</c:v>
                </c:pt>
                <c:pt idx="176">
                  <c:v>521.21451663187679</c:v>
                </c:pt>
                <c:pt idx="177">
                  <c:v>521.21451663187679</c:v>
                </c:pt>
                <c:pt idx="178">
                  <c:v>521.21451663187679</c:v>
                </c:pt>
                <c:pt idx="179">
                  <c:v>521.21451663187679</c:v>
                </c:pt>
                <c:pt idx="180">
                  <c:v>521.21451663187679</c:v>
                </c:pt>
                <c:pt idx="181">
                  <c:v>521.21451663187679</c:v>
                </c:pt>
                <c:pt idx="182">
                  <c:v>521.21451663187679</c:v>
                </c:pt>
                <c:pt idx="183">
                  <c:v>521.21451663187679</c:v>
                </c:pt>
                <c:pt idx="184">
                  <c:v>521.21451663187679</c:v>
                </c:pt>
                <c:pt idx="185">
                  <c:v>521.21451663187679</c:v>
                </c:pt>
                <c:pt idx="186">
                  <c:v>521.21451663187679</c:v>
                </c:pt>
                <c:pt idx="187">
                  <c:v>521.21451663187679</c:v>
                </c:pt>
                <c:pt idx="188">
                  <c:v>521.21451663187679</c:v>
                </c:pt>
                <c:pt idx="189">
                  <c:v>521.21451663187679</c:v>
                </c:pt>
                <c:pt idx="190">
                  <c:v>521.21451663187679</c:v>
                </c:pt>
                <c:pt idx="191">
                  <c:v>521.21451663187679</c:v>
                </c:pt>
                <c:pt idx="192">
                  <c:v>521.21451663187679</c:v>
                </c:pt>
                <c:pt idx="193">
                  <c:v>521.21451663187679</c:v>
                </c:pt>
                <c:pt idx="194">
                  <c:v>521.21451663187679</c:v>
                </c:pt>
                <c:pt idx="195">
                  <c:v>521.21451663187679</c:v>
                </c:pt>
                <c:pt idx="196">
                  <c:v>521.21451663187679</c:v>
                </c:pt>
                <c:pt idx="197">
                  <c:v>521.21451663187679</c:v>
                </c:pt>
                <c:pt idx="198">
                  <c:v>521.21451663187679</c:v>
                </c:pt>
                <c:pt idx="199">
                  <c:v>521.21451663187679</c:v>
                </c:pt>
                <c:pt idx="200">
                  <c:v>521.21451663187679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vérification!$C$6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C9-4A71-BA1D-3592B0F3DB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C9-4A71-BA1D-3592B0F3DB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C9-4A71-BA1D-3592B0F3DB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C9-4A71-BA1D-3592B0F3DB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C9-4A71-BA1D-3592B0F3DB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5C9-4A71-BA1D-3592B0F3DB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5C9-4A71-BA1D-3592B0F3DB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5C9-4A71-BA1D-3592B0F3DB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95C9-4A71-BA1D-3592B0F3D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vérification!$D$5:$L$5</c:f>
              <c:numCache>
                <c:formatCode>General</c:formatCode>
                <c:ptCount val="9"/>
              </c:numCache>
            </c:numRef>
          </c:cat>
          <c:val>
            <c:numRef>
              <c:f>vérification!$D$6:$L$6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2028-42E2-A353-9C643656EFD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109.17970384782107</c:v>
                </c:pt>
                <c:pt idx="22">
                  <c:v>122.05975555117305</c:v>
                </c:pt>
                <c:pt idx="23">
                  <c:v>134.90673357696349</c:v>
                </c:pt>
                <c:pt idx="24">
                  <c:v>147.72423485433478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189.09987078266826</c:v>
                </c:pt>
                <c:pt idx="29">
                  <c:v>204.44878122951911</c:v>
                </c:pt>
                <c:pt idx="30">
                  <c:v>219.7710421086791</c:v>
                </c:pt>
                <c:pt idx="31">
                  <c:v>190.85545638141193</c:v>
                </c:pt>
                <c:pt idx="32">
                  <c:v>207.9532798676066</c:v>
                </c:pt>
                <c:pt idx="33">
                  <c:v>225.01864445582441</c:v>
                </c:pt>
                <c:pt idx="34">
                  <c:v>242.05435856211636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582.61308793264323</c:v>
                </c:pt>
                <c:pt idx="117">
                  <c:v>582.61308793264323</c:v>
                </c:pt>
                <c:pt idx="118">
                  <c:v>582.61308793264323</c:v>
                </c:pt>
                <c:pt idx="119">
                  <c:v>582.61308793264323</c:v>
                </c:pt>
                <c:pt idx="120">
                  <c:v>582.61308793264323</c:v>
                </c:pt>
                <c:pt idx="121">
                  <c:v>582.61308793264323</c:v>
                </c:pt>
                <c:pt idx="122">
                  <c:v>582.61308793264323</c:v>
                </c:pt>
                <c:pt idx="123">
                  <c:v>582.61308793264323</c:v>
                </c:pt>
                <c:pt idx="124">
                  <c:v>582.61308793264323</c:v>
                </c:pt>
                <c:pt idx="125">
                  <c:v>582.61308793264323</c:v>
                </c:pt>
                <c:pt idx="126">
                  <c:v>582.61308793264323</c:v>
                </c:pt>
                <c:pt idx="127">
                  <c:v>582.61308793264323</c:v>
                </c:pt>
                <c:pt idx="128">
                  <c:v>582.61308793264323</c:v>
                </c:pt>
                <c:pt idx="129">
                  <c:v>582.61308793264323</c:v>
                </c:pt>
                <c:pt idx="130">
                  <c:v>582.61308793264323</c:v>
                </c:pt>
                <c:pt idx="131">
                  <c:v>582.61308793264323</c:v>
                </c:pt>
                <c:pt idx="132">
                  <c:v>582.61308793264323</c:v>
                </c:pt>
                <c:pt idx="133">
                  <c:v>582.61308793264323</c:v>
                </c:pt>
                <c:pt idx="134">
                  <c:v>582.61308793264323</c:v>
                </c:pt>
                <c:pt idx="135">
                  <c:v>582.61308793264323</c:v>
                </c:pt>
                <c:pt idx="136">
                  <c:v>582.61308793264323</c:v>
                </c:pt>
                <c:pt idx="137">
                  <c:v>582.61308793264323</c:v>
                </c:pt>
                <c:pt idx="138">
                  <c:v>582.61308793264323</c:v>
                </c:pt>
                <c:pt idx="139">
                  <c:v>582.61308793264323</c:v>
                </c:pt>
                <c:pt idx="140">
                  <c:v>582.61308793264323</c:v>
                </c:pt>
                <c:pt idx="141">
                  <c:v>582.61308793264323</c:v>
                </c:pt>
                <c:pt idx="142">
                  <c:v>582.61308793264323</c:v>
                </c:pt>
                <c:pt idx="143">
                  <c:v>582.61308793264323</c:v>
                </c:pt>
                <c:pt idx="144">
                  <c:v>582.61308793264323</c:v>
                </c:pt>
                <c:pt idx="145">
                  <c:v>582.61308793264323</c:v>
                </c:pt>
                <c:pt idx="146">
                  <c:v>582.61308793264323</c:v>
                </c:pt>
                <c:pt idx="147">
                  <c:v>582.61308793264323</c:v>
                </c:pt>
                <c:pt idx="148">
                  <c:v>582.61308793264323</c:v>
                </c:pt>
                <c:pt idx="149">
                  <c:v>582.61308793264323</c:v>
                </c:pt>
                <c:pt idx="150">
                  <c:v>582.61308793264323</c:v>
                </c:pt>
                <c:pt idx="151">
                  <c:v>582.61308793264323</c:v>
                </c:pt>
                <c:pt idx="152">
                  <c:v>582.61308793264323</c:v>
                </c:pt>
                <c:pt idx="153">
                  <c:v>582.61308793264323</c:v>
                </c:pt>
                <c:pt idx="154">
                  <c:v>582.61308793264323</c:v>
                </c:pt>
                <c:pt idx="155">
                  <c:v>582.61308793264323</c:v>
                </c:pt>
                <c:pt idx="156">
                  <c:v>582.61308793264323</c:v>
                </c:pt>
                <c:pt idx="157">
                  <c:v>582.61308793264323</c:v>
                </c:pt>
                <c:pt idx="158">
                  <c:v>582.61308793264323</c:v>
                </c:pt>
                <c:pt idx="159">
                  <c:v>582.61308793264323</c:v>
                </c:pt>
                <c:pt idx="160">
                  <c:v>582.61308793264323</c:v>
                </c:pt>
                <c:pt idx="161">
                  <c:v>582.61308793264323</c:v>
                </c:pt>
                <c:pt idx="162">
                  <c:v>582.61308793264323</c:v>
                </c:pt>
                <c:pt idx="163">
                  <c:v>582.61308793264323</c:v>
                </c:pt>
                <c:pt idx="164">
                  <c:v>582.61308793264323</c:v>
                </c:pt>
                <c:pt idx="165">
                  <c:v>582.61308793264323</c:v>
                </c:pt>
                <c:pt idx="166">
                  <c:v>582.61308793264323</c:v>
                </c:pt>
                <c:pt idx="167">
                  <c:v>582.61308793264323</c:v>
                </c:pt>
                <c:pt idx="168">
                  <c:v>582.61308793264323</c:v>
                </c:pt>
                <c:pt idx="169">
                  <c:v>582.61308793264323</c:v>
                </c:pt>
                <c:pt idx="170">
                  <c:v>582.61308793264323</c:v>
                </c:pt>
                <c:pt idx="171">
                  <c:v>582.61308793264323</c:v>
                </c:pt>
                <c:pt idx="172">
                  <c:v>582.61308793264323</c:v>
                </c:pt>
                <c:pt idx="173">
                  <c:v>582.61308793264323</c:v>
                </c:pt>
                <c:pt idx="174">
                  <c:v>582.61308793264323</c:v>
                </c:pt>
                <c:pt idx="175">
                  <c:v>582.61308793264323</c:v>
                </c:pt>
                <c:pt idx="176">
                  <c:v>582.61308793264323</c:v>
                </c:pt>
                <c:pt idx="177">
                  <c:v>582.61308793264323</c:v>
                </c:pt>
                <c:pt idx="178">
                  <c:v>582.61308793264323</c:v>
                </c:pt>
                <c:pt idx="179">
                  <c:v>582.61308793264323</c:v>
                </c:pt>
                <c:pt idx="180">
                  <c:v>582.61308793264323</c:v>
                </c:pt>
                <c:pt idx="181">
                  <c:v>582.61308793264323</c:v>
                </c:pt>
                <c:pt idx="182">
                  <c:v>582.61308793264323</c:v>
                </c:pt>
                <c:pt idx="183">
                  <c:v>582.61308793264323</c:v>
                </c:pt>
                <c:pt idx="184">
                  <c:v>582.61308793264323</c:v>
                </c:pt>
                <c:pt idx="185">
                  <c:v>582.61308793264323</c:v>
                </c:pt>
                <c:pt idx="186">
                  <c:v>582.61308793264323</c:v>
                </c:pt>
                <c:pt idx="187">
                  <c:v>582.61308793264323</c:v>
                </c:pt>
                <c:pt idx="188">
                  <c:v>582.61308793264323</c:v>
                </c:pt>
                <c:pt idx="189">
                  <c:v>582.61308793264323</c:v>
                </c:pt>
                <c:pt idx="190">
                  <c:v>582.61308793264323</c:v>
                </c:pt>
                <c:pt idx="191">
                  <c:v>582.61308793264323</c:v>
                </c:pt>
                <c:pt idx="192">
                  <c:v>582.61308793264323</c:v>
                </c:pt>
                <c:pt idx="193">
                  <c:v>582.61308793264323</c:v>
                </c:pt>
                <c:pt idx="194">
                  <c:v>582.61308793264323</c:v>
                </c:pt>
                <c:pt idx="195">
                  <c:v>582.61308793264323</c:v>
                </c:pt>
                <c:pt idx="196">
                  <c:v>582.61308793264323</c:v>
                </c:pt>
                <c:pt idx="197">
                  <c:v>582.61308793264323</c:v>
                </c:pt>
                <c:pt idx="198">
                  <c:v>582.61308793264323</c:v>
                </c:pt>
                <c:pt idx="199">
                  <c:v>582.61308793264323</c:v>
                </c:pt>
                <c:pt idx="200">
                  <c:v>582.61308793264323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104.27091205345118</c:v>
                </c:pt>
                <c:pt idx="22">
                  <c:v>116.57037244826073</c:v>
                </c:pt>
                <c:pt idx="23">
                  <c:v>128.83811164782671</c:v>
                </c:pt>
                <c:pt idx="24">
                  <c:v>141.07757949202232</c:v>
                </c:pt>
                <c:pt idx="25">
                  <c:v>153.29157689885756</c:v>
                </c:pt>
                <c:pt idx="26">
                  <c:v>151.18742647916039</c:v>
                </c:pt>
                <c:pt idx="27">
                  <c:v>165.90240656060982</c:v>
                </c:pt>
                <c:pt idx="28">
                  <c:v>180.58657218998459</c:v>
                </c:pt>
                <c:pt idx="29">
                  <c:v>195.24278318241952</c:v>
                </c:pt>
                <c:pt idx="30">
                  <c:v>209.87343438827475</c:v>
                </c:pt>
                <c:pt idx="31">
                  <c:v>182.26293388859062</c:v>
                </c:pt>
                <c:pt idx="32">
                  <c:v>198.58910688128836</c:v>
                </c:pt>
                <c:pt idx="33">
                  <c:v>214.88414831813782</c:v>
                </c:pt>
                <c:pt idx="34">
                  <c:v>231.15075177059677</c:v>
                </c:pt>
                <c:pt idx="35">
                  <c:v>247.39120044621504</c:v>
                </c:pt>
                <c:pt idx="36">
                  <c:v>221.14376696934883</c:v>
                </c:pt>
                <c:pt idx="37">
                  <c:v>238.64946815456815</c:v>
                </c:pt>
                <c:pt idx="38">
                  <c:v>256.1259217726236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264.85390518195555</c:v>
                </c:pt>
                <c:pt idx="42">
                  <c:v>282.29065500591173</c:v>
                </c:pt>
                <c:pt idx="43">
                  <c:v>299.70327852559689</c:v>
                </c:pt>
                <c:pt idx="44">
                  <c:v>317.09337448903148</c:v>
                </c:pt>
                <c:pt idx="45">
                  <c:v>334.46235196533502</c:v>
                </c:pt>
                <c:pt idx="46">
                  <c:v>308.40105034381344</c:v>
                </c:pt>
                <c:pt idx="47">
                  <c:v>325.78042147316609</c:v>
                </c:pt>
                <c:pt idx="48">
                  <c:v>343.13931760637462</c:v>
                </c:pt>
                <c:pt idx="49">
                  <c:v>360.47892004811712</c:v>
                </c:pt>
                <c:pt idx="50">
                  <c:v>377.80028720100813</c:v>
                </c:pt>
                <c:pt idx="51">
                  <c:v>350.98574721103279</c:v>
                </c:pt>
                <c:pt idx="52">
                  <c:v>367.49209034996039</c:v>
                </c:pt>
                <c:pt idx="53">
                  <c:v>383.98225493635573</c:v>
                </c:pt>
                <c:pt idx="54">
                  <c:v>400.45703338613862</c:v>
                </c:pt>
                <c:pt idx="55">
                  <c:v>416.9171476106103</c:v>
                </c:pt>
                <c:pt idx="56">
                  <c:v>388.92626989048904</c:v>
                </c:pt>
                <c:pt idx="57">
                  <c:v>404.16181319978608</c:v>
                </c:pt>
                <c:pt idx="58">
                  <c:v>419.38494151279912</c:v>
                </c:pt>
                <c:pt idx="59">
                  <c:v>434.59616884181315</c:v>
                </c:pt>
                <c:pt idx="60">
                  <c:v>449.7959702900439</c:v>
                </c:pt>
                <c:pt idx="61">
                  <c:v>421.4411973426366</c:v>
                </c:pt>
                <c:pt idx="62">
                  <c:v>436.23993334519031</c:v>
                </c:pt>
                <c:pt idx="63">
                  <c:v>451.02789946978191</c:v>
                </c:pt>
                <c:pt idx="64">
                  <c:v>465.80549848090777</c:v>
                </c:pt>
                <c:pt idx="65">
                  <c:v>480.57310550984772</c:v>
                </c:pt>
                <c:pt idx="66">
                  <c:v>451.43852652349568</c:v>
                </c:pt>
                <c:pt idx="67">
                  <c:v>465.39514621826999</c:v>
                </c:pt>
                <c:pt idx="68">
                  <c:v>479.34284452811465</c:v>
                </c:pt>
                <c:pt idx="69">
                  <c:v>493.281917555973</c:v>
                </c:pt>
                <c:pt idx="70">
                  <c:v>507.21264330953483</c:v>
                </c:pt>
                <c:pt idx="71">
                  <c:v>477.29226026061082</c:v>
                </c:pt>
                <c:pt idx="72">
                  <c:v>490.41279965323224</c:v>
                </c:pt>
                <c:pt idx="73">
                  <c:v>503.52589560029656</c:v>
                </c:pt>
                <c:pt idx="74">
                  <c:v>516.63176922361095</c:v>
                </c:pt>
                <c:pt idx="75">
                  <c:v>529.73062951367604</c:v>
                </c:pt>
                <c:pt idx="76">
                  <c:v>499.01909440359304</c:v>
                </c:pt>
                <c:pt idx="77">
                  <c:v>511.30836546390066</c:v>
                </c:pt>
                <c:pt idx="78">
                  <c:v>523.59139917298626</c:v>
                </c:pt>
                <c:pt idx="79">
                  <c:v>535.86836245112806</c:v>
                </c:pt>
                <c:pt idx="80">
                  <c:v>548.13941394784217</c:v>
                </c:pt>
                <c:pt idx="81">
                  <c:v>516.63176922361095</c:v>
                </c:pt>
                <c:pt idx="82">
                  <c:v>528.09364865532655</c:v>
                </c:pt>
                <c:pt idx="83">
                  <c:v>539.5502916245631</c:v>
                </c:pt>
                <c:pt idx="84">
                  <c:v>551.00182497913715</c:v>
                </c:pt>
                <c:pt idx="85">
                  <c:v>562.44836986503856</c:v>
                </c:pt>
                <c:pt idx="86">
                  <c:v>530.54907998965166</c:v>
                </c:pt>
                <c:pt idx="87">
                  <c:v>541.59557948037639</c:v>
                </c:pt>
                <c:pt idx="88">
                  <c:v>552.63734833627166</c:v>
                </c:pt>
                <c:pt idx="89">
                  <c:v>563.67449438861013</c:v>
                </c:pt>
                <c:pt idx="90">
                  <c:v>574.7071209020188</c:v>
                </c:pt>
                <c:pt idx="91">
                  <c:v>542.00461756313427</c:v>
                </c:pt>
                <c:pt idx="92">
                  <c:v>552.22847702156628</c:v>
                </c:pt>
                <c:pt idx="93">
                  <c:v>562.44836986503822</c:v>
                </c:pt>
                <c:pt idx="94">
                  <c:v>572.66437832506858</c:v>
                </c:pt>
                <c:pt idx="95">
                  <c:v>582.87658146020192</c:v>
                </c:pt>
                <c:pt idx="96">
                  <c:v>549.77511567616205</c:v>
                </c:pt>
                <c:pt idx="97">
                  <c:v>559.58719489109524</c:v>
                </c:pt>
                <c:pt idx="98">
                  <c:v>569.39567336006587</c:v>
                </c:pt>
                <c:pt idx="99">
                  <c:v>579.20062185262486</c:v>
                </c:pt>
                <c:pt idx="100">
                  <c:v>589.00210854701288</c:v>
                </c:pt>
                <c:pt idx="101">
                  <c:v>555.09044325536786</c:v>
                </c:pt>
                <c:pt idx="102">
                  <c:v>564.08319015797485</c:v>
                </c:pt>
                <c:pt idx="103">
                  <c:v>573.07293899689466</c:v>
                </c:pt>
                <c:pt idx="104">
                  <c:v>582.05974343549485</c:v>
                </c:pt>
                <c:pt idx="105">
                  <c:v>591.04365534487874</c:v>
                </c:pt>
                <c:pt idx="106">
                  <c:v>558.76966014701395</c:v>
                </c:pt>
                <c:pt idx="107">
                  <c:v>567.35253375731543</c:v>
                </c:pt>
                <c:pt idx="108">
                  <c:v>575.9326936477363</c:v>
                </c:pt>
                <c:pt idx="109">
                  <c:v>584.51018595042069</c:v>
                </c:pt>
                <c:pt idx="110">
                  <c:v>593.08505533307027</c:v>
                </c:pt>
                <c:pt idx="111">
                  <c:v>562.03964926820106</c:v>
                </c:pt>
                <c:pt idx="112">
                  <c:v>569.80428287631264</c:v>
                </c:pt>
                <c:pt idx="113">
                  <c:v>577.56670598332937</c:v>
                </c:pt>
                <c:pt idx="114">
                  <c:v>585.32695249209939</c:v>
                </c:pt>
                <c:pt idx="115">
                  <c:v>593.0850553330705</c:v>
                </c:pt>
                <c:pt idx="116">
                  <c:v>556.31690547455287</c:v>
                </c:pt>
                <c:pt idx="117">
                  <c:v>556.31690547455287</c:v>
                </c:pt>
                <c:pt idx="118">
                  <c:v>556.31690547455287</c:v>
                </c:pt>
                <c:pt idx="119">
                  <c:v>556.31690547455287</c:v>
                </c:pt>
                <c:pt idx="120">
                  <c:v>556.31690547455287</c:v>
                </c:pt>
                <c:pt idx="121">
                  <c:v>556.31690547455287</c:v>
                </c:pt>
                <c:pt idx="122">
                  <c:v>556.31690547455287</c:v>
                </c:pt>
                <c:pt idx="123">
                  <c:v>556.31690547455287</c:v>
                </c:pt>
                <c:pt idx="124">
                  <c:v>556.31690547455287</c:v>
                </c:pt>
                <c:pt idx="125">
                  <c:v>556.31690547455287</c:v>
                </c:pt>
                <c:pt idx="126">
                  <c:v>556.31690547455287</c:v>
                </c:pt>
                <c:pt idx="127">
                  <c:v>556.31690547455287</c:v>
                </c:pt>
                <c:pt idx="128">
                  <c:v>556.31690547455287</c:v>
                </c:pt>
                <c:pt idx="129">
                  <c:v>556.31690547455287</c:v>
                </c:pt>
                <c:pt idx="130">
                  <c:v>556.31690547455287</c:v>
                </c:pt>
                <c:pt idx="131">
                  <c:v>556.31690547455287</c:v>
                </c:pt>
                <c:pt idx="132">
                  <c:v>556.31690547455287</c:v>
                </c:pt>
                <c:pt idx="133">
                  <c:v>556.31690547455287</c:v>
                </c:pt>
                <c:pt idx="134">
                  <c:v>556.31690547455287</c:v>
                </c:pt>
                <c:pt idx="135">
                  <c:v>556.31690547455287</c:v>
                </c:pt>
                <c:pt idx="136">
                  <c:v>556.31690547455287</c:v>
                </c:pt>
                <c:pt idx="137">
                  <c:v>556.31690547455287</c:v>
                </c:pt>
                <c:pt idx="138">
                  <c:v>556.31690547455287</c:v>
                </c:pt>
                <c:pt idx="139">
                  <c:v>556.31690547455287</c:v>
                </c:pt>
                <c:pt idx="140">
                  <c:v>556.31690547455287</c:v>
                </c:pt>
                <c:pt idx="141">
                  <c:v>556.31690547455287</c:v>
                </c:pt>
                <c:pt idx="142">
                  <c:v>556.31690547455287</c:v>
                </c:pt>
                <c:pt idx="143">
                  <c:v>556.31690547455287</c:v>
                </c:pt>
                <c:pt idx="144">
                  <c:v>556.31690547455287</c:v>
                </c:pt>
                <c:pt idx="145">
                  <c:v>556.31690547455287</c:v>
                </c:pt>
                <c:pt idx="146">
                  <c:v>556.31690547455287</c:v>
                </c:pt>
                <c:pt idx="147">
                  <c:v>556.31690547455287</c:v>
                </c:pt>
                <c:pt idx="148">
                  <c:v>556.31690547455287</c:v>
                </c:pt>
                <c:pt idx="149">
                  <c:v>556.31690547455287</c:v>
                </c:pt>
                <c:pt idx="150">
                  <c:v>556.31690547455287</c:v>
                </c:pt>
                <c:pt idx="151">
                  <c:v>556.31690547455287</c:v>
                </c:pt>
                <c:pt idx="152">
                  <c:v>556.31690547455287</c:v>
                </c:pt>
                <c:pt idx="153">
                  <c:v>556.31690547455287</c:v>
                </c:pt>
                <c:pt idx="154">
                  <c:v>556.31690547455287</c:v>
                </c:pt>
                <c:pt idx="155">
                  <c:v>556.31690547455287</c:v>
                </c:pt>
                <c:pt idx="156">
                  <c:v>556.31690547455287</c:v>
                </c:pt>
                <c:pt idx="157">
                  <c:v>556.31690547455287</c:v>
                </c:pt>
                <c:pt idx="158">
                  <c:v>556.31690547455287</c:v>
                </c:pt>
                <c:pt idx="159">
                  <c:v>556.31690547455287</c:v>
                </c:pt>
                <c:pt idx="160">
                  <c:v>556.31690547455287</c:v>
                </c:pt>
                <c:pt idx="161">
                  <c:v>556.31690547455287</c:v>
                </c:pt>
                <c:pt idx="162">
                  <c:v>556.31690547455287</c:v>
                </c:pt>
                <c:pt idx="163">
                  <c:v>556.31690547455287</c:v>
                </c:pt>
                <c:pt idx="164">
                  <c:v>556.31690547455287</c:v>
                </c:pt>
                <c:pt idx="165">
                  <c:v>556.31690547455287</c:v>
                </c:pt>
                <c:pt idx="166">
                  <c:v>556.31690547455287</c:v>
                </c:pt>
                <c:pt idx="167">
                  <c:v>556.31690547455287</c:v>
                </c:pt>
                <c:pt idx="168">
                  <c:v>556.31690547455287</c:v>
                </c:pt>
                <c:pt idx="169">
                  <c:v>556.31690547455287</c:v>
                </c:pt>
                <c:pt idx="170">
                  <c:v>556.31690547455287</c:v>
                </c:pt>
                <c:pt idx="171">
                  <c:v>556.31690547455287</c:v>
                </c:pt>
                <c:pt idx="172">
                  <c:v>556.31690547455287</c:v>
                </c:pt>
                <c:pt idx="173">
                  <c:v>556.31690547455287</c:v>
                </c:pt>
                <c:pt idx="174">
                  <c:v>556.31690547455287</c:v>
                </c:pt>
                <c:pt idx="175">
                  <c:v>556.31690547455287</c:v>
                </c:pt>
                <c:pt idx="176">
                  <c:v>556.31690547455287</c:v>
                </c:pt>
                <c:pt idx="177">
                  <c:v>556.31690547455287</c:v>
                </c:pt>
                <c:pt idx="178">
                  <c:v>556.31690547455287</c:v>
                </c:pt>
                <c:pt idx="179">
                  <c:v>556.31690547455287</c:v>
                </c:pt>
                <c:pt idx="180">
                  <c:v>556.31690547455287</c:v>
                </c:pt>
                <c:pt idx="181">
                  <c:v>556.31690547455287</c:v>
                </c:pt>
                <c:pt idx="182">
                  <c:v>556.31690547455287</c:v>
                </c:pt>
                <c:pt idx="183">
                  <c:v>556.31690547455287</c:v>
                </c:pt>
                <c:pt idx="184">
                  <c:v>556.31690547455287</c:v>
                </c:pt>
                <c:pt idx="185">
                  <c:v>556.31690547455287</c:v>
                </c:pt>
                <c:pt idx="186">
                  <c:v>556.31690547455287</c:v>
                </c:pt>
                <c:pt idx="187">
                  <c:v>556.31690547455287</c:v>
                </c:pt>
                <c:pt idx="188">
                  <c:v>556.31690547455287</c:v>
                </c:pt>
                <c:pt idx="189">
                  <c:v>556.31690547455287</c:v>
                </c:pt>
                <c:pt idx="190">
                  <c:v>556.31690547455287</c:v>
                </c:pt>
                <c:pt idx="191">
                  <c:v>556.31690547455287</c:v>
                </c:pt>
                <c:pt idx="192">
                  <c:v>556.31690547455287</c:v>
                </c:pt>
                <c:pt idx="193">
                  <c:v>556.31690547455287</c:v>
                </c:pt>
                <c:pt idx="194">
                  <c:v>556.31690547455287</c:v>
                </c:pt>
                <c:pt idx="195">
                  <c:v>556.31690547455287</c:v>
                </c:pt>
                <c:pt idx="196">
                  <c:v>556.31690547455287</c:v>
                </c:pt>
                <c:pt idx="197">
                  <c:v>556.31690547455287</c:v>
                </c:pt>
                <c:pt idx="198">
                  <c:v>556.31690547455287</c:v>
                </c:pt>
                <c:pt idx="199">
                  <c:v>556.31690547455287</c:v>
                </c:pt>
                <c:pt idx="200">
                  <c:v>556.31690547455287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161.80307694345501</c:v>
                </c:pt>
                <c:pt idx="27">
                  <c:v>180.89077768928109</c:v>
                </c:pt>
                <c:pt idx="28">
                  <c:v>199.93131520555607</c:v>
                </c:pt>
                <c:pt idx="29">
                  <c:v>218.92981441202699</c:v>
                </c:pt>
                <c:pt idx="30">
                  <c:v>237.89043696225227</c:v>
                </c:pt>
                <c:pt idx="31">
                  <c:v>210.70200716722289</c:v>
                </c:pt>
                <c:pt idx="32">
                  <c:v>227.7825944575965</c:v>
                </c:pt>
                <c:pt idx="33">
                  <c:v>244.8338742611146</c:v>
                </c:pt>
                <c:pt idx="34">
                  <c:v>261.85817498084759</c:v>
                </c:pt>
                <c:pt idx="35">
                  <c:v>278.85749740718308</c:v>
                </c:pt>
                <c:pt idx="36">
                  <c:v>249.5654620134529</c:v>
                </c:pt>
                <c:pt idx="37">
                  <c:v>264.37812461851803</c:v>
                </c:pt>
                <c:pt idx="38">
                  <c:v>279.17207549354754</c:v>
                </c:pt>
                <c:pt idx="39">
                  <c:v>293.9484459457056</c:v>
                </c:pt>
                <c:pt idx="40">
                  <c:v>308.70824422691652</c:v>
                </c:pt>
                <c:pt idx="41">
                  <c:v>277.59910531675155</c:v>
                </c:pt>
                <c:pt idx="42">
                  <c:v>290.49166725088827</c:v>
                </c:pt>
                <c:pt idx="43">
                  <c:v>303.37144778612094</c:v>
                </c:pt>
                <c:pt idx="44">
                  <c:v>316.23906615147223</c:v>
                </c:pt>
                <c:pt idx="45">
                  <c:v>329.09508705409201</c:v>
                </c:pt>
                <c:pt idx="46">
                  <c:v>305.5692029643111</c:v>
                </c:pt>
                <c:pt idx="47">
                  <c:v>316.5527634287896</c:v>
                </c:pt>
                <c:pt idx="48">
                  <c:v>327.52788280677868</c:v>
                </c:pt>
                <c:pt idx="49">
                  <c:v>338.49488394193025</c:v>
                </c:pt>
                <c:pt idx="50">
                  <c:v>349.45406704138003</c:v>
                </c:pt>
                <c:pt idx="51">
                  <c:v>332.54235777302142</c:v>
                </c:pt>
                <c:pt idx="52">
                  <c:v>342.25318435718231</c:v>
                </c:pt>
                <c:pt idx="53">
                  <c:v>351.95795503306755</c:v>
                </c:pt>
                <c:pt idx="54">
                  <c:v>361.65686041782391</c:v>
                </c:pt>
                <c:pt idx="55">
                  <c:v>371.3500800649436</c:v>
                </c:pt>
                <c:pt idx="56">
                  <c:v>359.15446843311423</c:v>
                </c:pt>
                <c:pt idx="57">
                  <c:v>367.28586264352117</c:v>
                </c:pt>
                <c:pt idx="58">
                  <c:v>375.41332750586383</c:v>
                </c:pt>
                <c:pt idx="59">
                  <c:v>383.5369601443262</c:v>
                </c:pt>
                <c:pt idx="60">
                  <c:v>391.65685323028885</c:v>
                </c:pt>
                <c:pt idx="61">
                  <c:v>379.47561696033398</c:v>
                </c:pt>
                <c:pt idx="62">
                  <c:v>386.03578289316653</c:v>
                </c:pt>
                <c:pt idx="63">
                  <c:v>392.59352739030788</c:v>
                </c:pt>
                <c:pt idx="64">
                  <c:v>399.14889663922969</c:v>
                </c:pt>
                <c:pt idx="65">
                  <c:v>405.70193518524519</c:v>
                </c:pt>
                <c:pt idx="66">
                  <c:v>394.46673042704833</c:v>
                </c:pt>
                <c:pt idx="67">
                  <c:v>400.39727281265851</c:v>
                </c:pt>
                <c:pt idx="68">
                  <c:v>406.3259141167116</c:v>
                </c:pt>
                <c:pt idx="69">
                  <c:v>412.2526860160653</c:v>
                </c:pt>
                <c:pt idx="70">
                  <c:v>418.17761920165594</c:v>
                </c:pt>
                <c:pt idx="71">
                  <c:v>406.94987233545254</c:v>
                </c:pt>
                <c:pt idx="72">
                  <c:v>411.31700294422762</c:v>
                </c:pt>
                <c:pt idx="73">
                  <c:v>415.68313267172834</c:v>
                </c:pt>
                <c:pt idx="74">
                  <c:v>420.04827352578371</c:v>
                </c:pt>
                <c:pt idx="75">
                  <c:v>424.41243724402028</c:v>
                </c:pt>
                <c:pt idx="76">
                  <c:v>415.99496110074818</c:v>
                </c:pt>
                <c:pt idx="77">
                  <c:v>421.60701499488988</c:v>
                </c:pt>
                <c:pt idx="78">
                  <c:v>427.21746042467572</c:v>
                </c:pt>
                <c:pt idx="79">
                  <c:v>432.8263215119091</c:v>
                </c:pt>
                <c:pt idx="80">
                  <c:v>438.43362170168365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12</xdr:row>
      <xdr:rowOff>42862</xdr:rowOff>
    </xdr:from>
    <xdr:to>
      <xdr:col>9</xdr:col>
      <xdr:colOff>0</xdr:colOff>
      <xdr:row>26</xdr:row>
      <xdr:rowOff>119062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A82C06F-E780-42D4-83B8-05B594BCD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1" t="s">
        <v>291</v>
      </c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</row>
    <row r="13" spans="2:13" ht="15" customHeight="1" x14ac:dyDescent="0.25"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</row>
    <row r="14" spans="2:13" ht="15" customHeight="1" x14ac:dyDescent="0.25"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</row>
    <row r="15" spans="2:13" ht="18.75" customHeight="1" x14ac:dyDescent="0.25"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</row>
    <row r="16" spans="2:13" ht="18.75" customHeight="1" x14ac:dyDescent="0.25"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</row>
    <row r="18" spans="2:13" ht="12" customHeight="1" x14ac:dyDescent="0.25">
      <c r="B18" s="311" t="s">
        <v>292</v>
      </c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</row>
    <row r="19" spans="2:13" ht="12" customHeight="1" x14ac:dyDescent="0.25"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</row>
    <row r="20" spans="2:13" ht="12" customHeight="1" x14ac:dyDescent="0.25"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</row>
    <row r="21" spans="2:13" ht="12" customHeight="1" x14ac:dyDescent="0.25"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</row>
    <row r="22" spans="2:13" ht="12" customHeight="1" x14ac:dyDescent="0.25"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</row>
    <row r="23" spans="2:13" ht="12" customHeight="1" x14ac:dyDescent="0.25"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</row>
    <row r="24" spans="2:13" ht="12" customHeight="1" x14ac:dyDescent="0.25"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</row>
    <row r="25" spans="2:13" ht="12" customHeigh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</row>
    <row r="26" spans="2:13" ht="12" customHeight="1" x14ac:dyDescent="0.25"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</row>
    <row r="27" spans="2:13" ht="12" customHeight="1" x14ac:dyDescent="0.25"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</row>
    <row r="28" spans="2:13" ht="12" customHeight="1" x14ac:dyDescent="0.25"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</row>
    <row r="29" spans="2:13" ht="12" customHeight="1" x14ac:dyDescent="0.25"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</row>
    <row r="30" spans="2:13" ht="12" customHeight="1" x14ac:dyDescent="0.25"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</row>
    <row r="31" spans="2:13" ht="12" customHeight="1" x14ac:dyDescent="0.25"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P15" sqref="P1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6" t="s">
        <v>190</v>
      </c>
      <c r="D1" s="316"/>
      <c r="E1" s="3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7" t="s">
        <v>192</v>
      </c>
      <c r="C3" s="318"/>
      <c r="D3" s="318"/>
      <c r="E3" s="318"/>
      <c r="F3" s="31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3" t="s">
        <v>231</v>
      </c>
      <c r="B5" s="323"/>
      <c r="C5" s="26">
        <v>2.85</v>
      </c>
      <c r="D5" s="324" t="s">
        <v>229</v>
      </c>
      <c r="E5" s="32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1" t="s">
        <v>226</v>
      </c>
      <c r="B7" s="32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0.45</v>
      </c>
      <c r="D9" s="36">
        <f t="shared" ref="D9:D18" si="0">C9*$C$5</f>
        <v>1.2825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0.13100000000000001</v>
      </c>
      <c r="D10" s="36">
        <f t="shared" si="0"/>
        <v>0.37335000000000002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</v>
      </c>
      <c r="C11" s="35">
        <v>7.0000000000000007E-2</v>
      </c>
      <c r="D11" s="36">
        <f t="shared" si="0"/>
        <v>0.19950000000000004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13</v>
      </c>
      <c r="C12" s="35">
        <v>0.28000000000000003</v>
      </c>
      <c r="D12" s="36">
        <f t="shared" si="0"/>
        <v>0.79800000000000015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8</v>
      </c>
      <c r="C13" s="35">
        <v>6.9000000000000006E-2</v>
      </c>
      <c r="D13" s="36">
        <f t="shared" si="0"/>
        <v>0.19665000000000002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2.85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0" t="s">
        <v>232</v>
      </c>
      <c r="B22" s="32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2" t="s">
        <v>227</v>
      </c>
      <c r="B30" s="32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2" t="s">
        <v>186</v>
      </c>
      <c r="D34" s="312"/>
      <c r="E34" s="313" t="s">
        <v>187</v>
      </c>
      <c r="F34" s="314"/>
      <c r="G34" s="314"/>
      <c r="H34" s="315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42</v>
      </c>
      <c r="C36" s="63">
        <v>0</v>
      </c>
      <c r="D36" s="63">
        <v>0</v>
      </c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71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98</v>
      </c>
      <c r="C38" s="63">
        <v>2</v>
      </c>
      <c r="D38" s="63">
        <v>21</v>
      </c>
      <c r="E38" s="54"/>
      <c r="F38" s="54">
        <v>0.3</v>
      </c>
      <c r="G38" s="54">
        <v>0.7</v>
      </c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116</v>
      </c>
      <c r="C39" s="63">
        <v>3</v>
      </c>
      <c r="D39" s="63">
        <v>21</v>
      </c>
      <c r="E39" s="54"/>
      <c r="F39" s="54"/>
      <c r="G39" s="54"/>
      <c r="H39" s="54"/>
      <c r="I39" s="52">
        <f t="shared" si="1"/>
        <v>7.8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137</v>
      </c>
      <c r="C40" s="63">
        <v>4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158</v>
      </c>
      <c r="C41" s="63">
        <v>5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179</v>
      </c>
      <c r="C42" s="63">
        <v>6</v>
      </c>
      <c r="D42" s="63">
        <v>21</v>
      </c>
      <c r="E42" s="54"/>
      <c r="F42" s="54"/>
      <c r="G42" s="54"/>
      <c r="H42" s="54"/>
      <c r="I42" s="56">
        <f t="shared" si="1"/>
        <v>8.4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3">
        <v>198</v>
      </c>
      <c r="C43" s="63">
        <v>7</v>
      </c>
      <c r="D43" s="63">
        <v>21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3">
        <v>214</v>
      </c>
      <c r="C44" s="63">
        <v>8</v>
      </c>
      <c r="D44" s="63">
        <v>21</v>
      </c>
      <c r="E44" s="54"/>
      <c r="F44" s="54"/>
      <c r="G44" s="54"/>
      <c r="H44" s="54"/>
      <c r="I44" s="52">
        <f t="shared" si="1"/>
        <v>7.4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63">
        <v>229</v>
      </c>
      <c r="C45" s="63">
        <v>9</v>
      </c>
      <c r="D45" s="63">
        <v>21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3">
        <v>242</v>
      </c>
      <c r="C46" s="63">
        <v>10</v>
      </c>
      <c r="D46" s="63">
        <v>21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63">
        <v>253</v>
      </c>
      <c r="C47" s="63">
        <v>11</v>
      </c>
      <c r="D47" s="63">
        <v>21</v>
      </c>
      <c r="E47" s="54"/>
      <c r="F47" s="54"/>
      <c r="G47" s="54"/>
      <c r="H47" s="54"/>
      <c r="I47" s="52">
        <f t="shared" si="1"/>
        <v>6.4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63">
        <v>262</v>
      </c>
      <c r="C48" s="63">
        <v>12</v>
      </c>
      <c r="D48" s="63">
        <v>21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85</v>
      </c>
      <c r="B49" s="63">
        <v>269</v>
      </c>
      <c r="C49" s="63">
        <v>13</v>
      </c>
      <c r="D49" s="63">
        <v>21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90</v>
      </c>
      <c r="B50" s="63">
        <v>275</v>
      </c>
      <c r="C50" s="63">
        <v>14</v>
      </c>
      <c r="D50" s="63">
        <v>21</v>
      </c>
      <c r="E50" s="54"/>
      <c r="F50" s="54"/>
      <c r="G50" s="54"/>
      <c r="H50" s="54"/>
      <c r="I50" s="52">
        <f t="shared" si="1"/>
        <v>5.4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95</v>
      </c>
      <c r="B51" s="53">
        <v>279</v>
      </c>
      <c r="C51" s="53">
        <v>15</v>
      </c>
      <c r="D51" s="53">
        <v>21</v>
      </c>
      <c r="E51" s="54"/>
      <c r="F51" s="54"/>
      <c r="G51" s="54"/>
      <c r="H51" s="54"/>
      <c r="I51" s="52">
        <f t="shared" si="1"/>
        <v>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100</v>
      </c>
      <c r="B52" s="53">
        <v>282</v>
      </c>
      <c r="C52" s="53">
        <v>16</v>
      </c>
      <c r="D52" s="53">
        <v>21</v>
      </c>
      <c r="E52" s="54"/>
      <c r="F52" s="54"/>
      <c r="G52" s="54"/>
      <c r="H52" s="54"/>
      <c r="I52" s="52">
        <f t="shared" si="1"/>
        <v>4.8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105</v>
      </c>
      <c r="B53" s="53">
        <v>283</v>
      </c>
      <c r="C53" s="53">
        <v>17</v>
      </c>
      <c r="D53" s="53">
        <v>20</v>
      </c>
      <c r="E53" s="54"/>
      <c r="F53" s="54"/>
      <c r="G53" s="54"/>
      <c r="H53" s="54"/>
      <c r="I53" s="52">
        <f t="shared" si="1"/>
        <v>4.4000000000000004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110</v>
      </c>
      <c r="B54" s="53">
        <v>284</v>
      </c>
      <c r="C54" s="53">
        <v>18</v>
      </c>
      <c r="D54" s="53">
        <v>19</v>
      </c>
      <c r="E54" s="54"/>
      <c r="F54" s="54"/>
      <c r="G54" s="54"/>
      <c r="H54" s="54"/>
      <c r="I54" s="52">
        <f t="shared" si="1"/>
        <v>4.2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115</v>
      </c>
      <c r="B55" s="53">
        <v>284</v>
      </c>
      <c r="C55" s="53">
        <v>19</v>
      </c>
      <c r="D55" s="53">
        <v>18</v>
      </c>
      <c r="E55" s="54"/>
      <c r="F55" s="54"/>
      <c r="G55" s="54"/>
      <c r="H55" s="54"/>
      <c r="I55" s="52">
        <f t="shared" si="1"/>
        <v>3.8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2" t="s">
        <v>186</v>
      </c>
      <c r="D60" s="312"/>
      <c r="E60" s="313" t="s">
        <v>187</v>
      </c>
      <c r="F60" s="314"/>
      <c r="G60" s="314"/>
      <c r="H60" s="315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42</v>
      </c>
      <c r="C62" s="63">
        <v>0</v>
      </c>
      <c r="D62" s="63">
        <v>0</v>
      </c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71</v>
      </c>
      <c r="C63" s="63">
        <v>1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98</v>
      </c>
      <c r="C64" s="63">
        <v>2</v>
      </c>
      <c r="D64" s="63">
        <v>21</v>
      </c>
      <c r="E64" s="54"/>
      <c r="F64" s="54">
        <v>0.3</v>
      </c>
      <c r="G64" s="54">
        <v>0.7</v>
      </c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116</v>
      </c>
      <c r="C65" s="63">
        <v>3</v>
      </c>
      <c r="D65" s="63">
        <v>21</v>
      </c>
      <c r="E65" s="54"/>
      <c r="F65" s="54"/>
      <c r="G65" s="54"/>
      <c r="H65" s="54"/>
      <c r="I65" s="52">
        <f>IF(A65&lt;&gt;0,(B65-(B64-D64))/(A65-A64),"")</f>
        <v>7.8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137</v>
      </c>
      <c r="C66" s="63">
        <v>4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158</v>
      </c>
      <c r="C67" s="63">
        <v>5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179</v>
      </c>
      <c r="C68" s="63">
        <v>6</v>
      </c>
      <c r="D68" s="63">
        <v>21</v>
      </c>
      <c r="E68" s="54"/>
      <c r="F68" s="54"/>
      <c r="G68" s="54"/>
      <c r="H68" s="54"/>
      <c r="I68" s="52">
        <f t="shared" si="2"/>
        <v>8.4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v>198</v>
      </c>
      <c r="C69" s="63">
        <v>7</v>
      </c>
      <c r="D69" s="63">
        <v>21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3">
        <v>214</v>
      </c>
      <c r="C70" s="63">
        <v>8</v>
      </c>
      <c r="D70" s="63">
        <v>21</v>
      </c>
      <c r="E70" s="54"/>
      <c r="F70" s="54"/>
      <c r="G70" s="54"/>
      <c r="H70" s="54"/>
      <c r="I70" s="52">
        <f t="shared" si="2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63">
        <v>229</v>
      </c>
      <c r="C71" s="63">
        <v>9</v>
      </c>
      <c r="D71" s="63">
        <v>21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63">
        <v>242</v>
      </c>
      <c r="C72" s="63">
        <v>10</v>
      </c>
      <c r="D72" s="63">
        <v>21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63">
        <v>253</v>
      </c>
      <c r="C73" s="63">
        <v>11</v>
      </c>
      <c r="D73" s="63">
        <v>21</v>
      </c>
      <c r="E73" s="54"/>
      <c r="F73" s="54"/>
      <c r="G73" s="54"/>
      <c r="H73" s="54"/>
      <c r="I73" s="52">
        <f t="shared" si="2"/>
        <v>6.4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63">
        <v>262</v>
      </c>
      <c r="C74" s="63">
        <v>12</v>
      </c>
      <c r="D74" s="63">
        <v>21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63">
        <v>269</v>
      </c>
      <c r="C75" s="63">
        <v>13</v>
      </c>
      <c r="D75" s="63">
        <v>21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63">
        <v>275</v>
      </c>
      <c r="C76" s="63">
        <v>14</v>
      </c>
      <c r="D76" s="63">
        <v>21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279</v>
      </c>
      <c r="C77" s="53">
        <v>15</v>
      </c>
      <c r="D77" s="53">
        <v>21</v>
      </c>
      <c r="E77" s="54"/>
      <c r="F77" s="54"/>
      <c r="G77" s="54"/>
      <c r="H77" s="54"/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282</v>
      </c>
      <c r="C78" s="53">
        <v>16</v>
      </c>
      <c r="D78" s="53">
        <v>21</v>
      </c>
      <c r="E78" s="54"/>
      <c r="F78" s="54"/>
      <c r="G78" s="54"/>
      <c r="H78" s="54"/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283</v>
      </c>
      <c r="C79" s="53">
        <v>17</v>
      </c>
      <c r="D79" s="53">
        <v>20</v>
      </c>
      <c r="E79" s="54"/>
      <c r="F79" s="54"/>
      <c r="G79" s="54"/>
      <c r="H79" s="54"/>
      <c r="I79" s="52">
        <f t="shared" si="2"/>
        <v>4.4000000000000004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284</v>
      </c>
      <c r="C80" s="53">
        <v>18</v>
      </c>
      <c r="D80" s="53">
        <v>19</v>
      </c>
      <c r="E80" s="54"/>
      <c r="F80" s="54"/>
      <c r="G80" s="54"/>
      <c r="H80" s="54"/>
      <c r="I80" s="52">
        <f t="shared" si="2"/>
        <v>4.2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284</v>
      </c>
      <c r="C81" s="53">
        <v>19</v>
      </c>
      <c r="D81" s="53">
        <v>18</v>
      </c>
      <c r="E81" s="54"/>
      <c r="F81" s="54"/>
      <c r="G81" s="54"/>
      <c r="H81" s="54"/>
      <c r="I81" s="52">
        <f t="shared" si="2"/>
        <v>3.8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2" t="s">
        <v>186</v>
      </c>
      <c r="D86" s="312"/>
      <c r="E86" s="313" t="s">
        <v>187</v>
      </c>
      <c r="F86" s="314"/>
      <c r="G86" s="314"/>
      <c r="H86" s="31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>
        <v>0</v>
      </c>
      <c r="D88" s="63">
        <v>0</v>
      </c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71</v>
      </c>
      <c r="C89" s="63">
        <v>1</v>
      </c>
      <c r="D89" s="6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98</v>
      </c>
      <c r="C90" s="63">
        <v>2</v>
      </c>
      <c r="D90" s="63">
        <v>21</v>
      </c>
      <c r="E90" s="54"/>
      <c r="F90" s="54">
        <v>0.3</v>
      </c>
      <c r="G90" s="54">
        <v>0.7</v>
      </c>
      <c r="H90" s="54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116</v>
      </c>
      <c r="C91" s="63">
        <v>3</v>
      </c>
      <c r="D91" s="63">
        <v>21</v>
      </c>
      <c r="E91" s="54"/>
      <c r="F91" s="54"/>
      <c r="G91" s="54"/>
      <c r="H91" s="54"/>
      <c r="I91" s="56">
        <f t="shared" si="3"/>
        <v>7.8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137</v>
      </c>
      <c r="C92" s="63">
        <v>4</v>
      </c>
      <c r="D92" s="63">
        <v>21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158</v>
      </c>
      <c r="C93" s="63">
        <v>5</v>
      </c>
      <c r="D93" s="63">
        <v>21</v>
      </c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179</v>
      </c>
      <c r="C94" s="63">
        <v>6</v>
      </c>
      <c r="D94" s="63">
        <v>21</v>
      </c>
      <c r="E94" s="54"/>
      <c r="F94" s="54"/>
      <c r="G94" s="54"/>
      <c r="H94" s="54"/>
      <c r="I94" s="56">
        <f t="shared" si="3"/>
        <v>8.4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v>198</v>
      </c>
      <c r="C95" s="63">
        <v>7</v>
      </c>
      <c r="D95" s="63">
        <v>21</v>
      </c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63">
        <v>214</v>
      </c>
      <c r="C96" s="63">
        <v>8</v>
      </c>
      <c r="D96" s="63">
        <v>21</v>
      </c>
      <c r="E96" s="54"/>
      <c r="F96" s="54"/>
      <c r="G96" s="54"/>
      <c r="H96" s="54"/>
      <c r="I96" s="56">
        <f t="shared" si="3"/>
        <v>7.4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63">
        <v>229</v>
      </c>
      <c r="C97" s="63">
        <v>9</v>
      </c>
      <c r="D97" s="63">
        <v>21</v>
      </c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63">
        <v>242</v>
      </c>
      <c r="C98" s="63">
        <v>10</v>
      </c>
      <c r="D98" s="63">
        <v>21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63">
        <v>253</v>
      </c>
      <c r="C99" s="63">
        <v>11</v>
      </c>
      <c r="D99" s="63">
        <v>21</v>
      </c>
      <c r="E99" s="54"/>
      <c r="F99" s="54"/>
      <c r="G99" s="54"/>
      <c r="H99" s="54"/>
      <c r="I99" s="56">
        <f t="shared" si="3"/>
        <v>6.4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63">
        <v>262</v>
      </c>
      <c r="C100" s="63">
        <v>12</v>
      </c>
      <c r="D100" s="63">
        <v>21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85</v>
      </c>
      <c r="B101" s="63">
        <v>269</v>
      </c>
      <c r="C101" s="63">
        <v>13</v>
      </c>
      <c r="D101" s="63">
        <v>21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90</v>
      </c>
      <c r="B102" s="63">
        <v>275</v>
      </c>
      <c r="C102" s="63">
        <v>14</v>
      </c>
      <c r="D102" s="63">
        <v>21</v>
      </c>
      <c r="E102" s="54"/>
      <c r="F102" s="54"/>
      <c r="G102" s="54"/>
      <c r="H102" s="54"/>
      <c r="I102" s="56">
        <f t="shared" si="3"/>
        <v>5.4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95</v>
      </c>
      <c r="B103" s="53">
        <v>279</v>
      </c>
      <c r="C103" s="53">
        <v>15</v>
      </c>
      <c r="D103" s="53">
        <v>21</v>
      </c>
      <c r="E103" s="54"/>
      <c r="F103" s="54"/>
      <c r="G103" s="54"/>
      <c r="H103" s="54"/>
      <c r="I103" s="56">
        <f t="shared" si="3"/>
        <v>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100</v>
      </c>
      <c r="B104" s="53">
        <v>282</v>
      </c>
      <c r="C104" s="53">
        <v>16</v>
      </c>
      <c r="D104" s="53">
        <v>21</v>
      </c>
      <c r="E104" s="54"/>
      <c r="F104" s="54"/>
      <c r="G104" s="54"/>
      <c r="H104" s="54"/>
      <c r="I104" s="56">
        <f t="shared" si="3"/>
        <v>4.8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283</v>
      </c>
      <c r="C105" s="53">
        <v>17</v>
      </c>
      <c r="D105" s="53">
        <v>20</v>
      </c>
      <c r="E105" s="54"/>
      <c r="F105" s="54"/>
      <c r="G105" s="54"/>
      <c r="H105" s="54"/>
      <c r="I105" s="56">
        <f t="shared" si="3"/>
        <v>4.4000000000000004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284</v>
      </c>
      <c r="C106" s="53">
        <v>18</v>
      </c>
      <c r="D106" s="53">
        <v>19</v>
      </c>
      <c r="E106" s="54"/>
      <c r="F106" s="54"/>
      <c r="G106" s="54"/>
      <c r="H106" s="54"/>
      <c r="I106" s="56">
        <f t="shared" si="3"/>
        <v>4.2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284</v>
      </c>
      <c r="C107" s="53">
        <v>19</v>
      </c>
      <c r="D107" s="53">
        <v>18</v>
      </c>
      <c r="E107" s="54"/>
      <c r="F107" s="54"/>
      <c r="G107" s="54"/>
      <c r="H107" s="54"/>
      <c r="I107" s="56">
        <f t="shared" si="3"/>
        <v>3.8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rouge d'Amérique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2" t="s">
        <v>186</v>
      </c>
      <c r="D112" s="312"/>
      <c r="E112" s="313" t="s">
        <v>187</v>
      </c>
      <c r="F112" s="314"/>
      <c r="G112" s="314"/>
      <c r="H112" s="31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132</v>
      </c>
      <c r="C114" s="53">
        <v>1</v>
      </c>
      <c r="D114" s="63">
        <v>50</v>
      </c>
      <c r="E114" s="54"/>
      <c r="F114" s="54"/>
      <c r="G114" s="54"/>
      <c r="H114" s="54">
        <v>1</v>
      </c>
      <c r="I114" s="56">
        <f>IFERROR(B114/A114,"")</f>
        <v>6.6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143</v>
      </c>
      <c r="C115" s="53">
        <v>2</v>
      </c>
      <c r="D115" s="63">
        <v>37</v>
      </c>
      <c r="E115" s="54"/>
      <c r="F115" s="54">
        <v>0.5</v>
      </c>
      <c r="G115" s="54">
        <v>0.5</v>
      </c>
      <c r="H115" s="54"/>
      <c r="I115" s="56">
        <f t="shared" ref="I115:I133" si="4">IF(A115&lt;&gt;0,(B115-(B114-D114))/(A115-A114),"")</f>
        <v>12.2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163</v>
      </c>
      <c r="C116" s="53">
        <v>3</v>
      </c>
      <c r="D116" s="63">
        <v>37</v>
      </c>
      <c r="E116" s="54"/>
      <c r="F116" s="54">
        <v>0.5</v>
      </c>
      <c r="G116" s="54">
        <v>0.5</v>
      </c>
      <c r="H116" s="54"/>
      <c r="I116" s="56">
        <f t="shared" si="4"/>
        <v>11.4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179</v>
      </c>
      <c r="C117" s="53">
        <v>4</v>
      </c>
      <c r="D117" s="63">
        <v>36</v>
      </c>
      <c r="E117" s="54"/>
      <c r="F117" s="54">
        <v>0.6</v>
      </c>
      <c r="G117" s="54">
        <v>0.4</v>
      </c>
      <c r="H117" s="54"/>
      <c r="I117" s="56">
        <f t="shared" si="4"/>
        <v>10.6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191</v>
      </c>
      <c r="C118" s="53">
        <v>5</v>
      </c>
      <c r="D118" s="63">
        <v>33</v>
      </c>
      <c r="E118" s="54"/>
      <c r="F118" s="54"/>
      <c r="G118" s="54"/>
      <c r="H118" s="54"/>
      <c r="I118" s="56">
        <f t="shared" si="4"/>
        <v>9.6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201</v>
      </c>
      <c r="C119" s="53">
        <v>6</v>
      </c>
      <c r="D119" s="63">
        <v>31</v>
      </c>
      <c r="E119" s="54"/>
      <c r="F119" s="54"/>
      <c r="G119" s="54"/>
      <c r="H119" s="54"/>
      <c r="I119" s="56">
        <f t="shared" si="4"/>
        <v>8.6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209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7.8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215</v>
      </c>
      <c r="C121" s="63">
        <v>8</v>
      </c>
      <c r="D121" s="63">
        <v>25</v>
      </c>
      <c r="E121" s="93"/>
      <c r="F121" s="93"/>
      <c r="G121" s="93"/>
      <c r="H121" s="93"/>
      <c r="I121" s="56">
        <f t="shared" si="4"/>
        <v>6.8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220</v>
      </c>
      <c r="C122" s="63">
        <v>9</v>
      </c>
      <c r="D122" s="63">
        <v>22</v>
      </c>
      <c r="E122" s="93"/>
      <c r="F122" s="93"/>
      <c r="G122" s="93"/>
      <c r="H122" s="93"/>
      <c r="I122" s="56">
        <f t="shared" si="4"/>
        <v>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224</v>
      </c>
      <c r="C123" s="63">
        <v>10</v>
      </c>
      <c r="D123" s="63">
        <v>20</v>
      </c>
      <c r="E123" s="93"/>
      <c r="F123" s="93"/>
      <c r="G123" s="93"/>
      <c r="H123" s="93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227</v>
      </c>
      <c r="C124" s="63">
        <v>11</v>
      </c>
      <c r="D124" s="63">
        <v>17</v>
      </c>
      <c r="E124" s="93"/>
      <c r="F124" s="93"/>
      <c r="G124" s="93"/>
      <c r="H124" s="93"/>
      <c r="I124" s="56">
        <f t="shared" si="4"/>
        <v>4.5999999999999996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230</v>
      </c>
      <c r="C125" s="63">
        <v>12</v>
      </c>
      <c r="D125" s="63">
        <v>15</v>
      </c>
      <c r="E125" s="93"/>
      <c r="F125" s="93"/>
      <c r="G125" s="93"/>
      <c r="H125" s="93"/>
      <c r="I125" s="56">
        <f t="shared" si="4"/>
        <v>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232</v>
      </c>
      <c r="C126" s="63">
        <v>13</v>
      </c>
      <c r="D126" s="63">
        <v>13</v>
      </c>
      <c r="E126" s="68"/>
      <c r="F126" s="68"/>
      <c r="G126" s="68"/>
      <c r="H126" s="68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234</v>
      </c>
      <c r="C127" s="63">
        <v>14</v>
      </c>
      <c r="D127" s="63">
        <v>12</v>
      </c>
      <c r="E127" s="68"/>
      <c r="F127" s="68"/>
      <c r="G127" s="68"/>
      <c r="H127" s="68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236</v>
      </c>
      <c r="C128" s="53">
        <v>15</v>
      </c>
      <c r="D128" s="53">
        <v>236</v>
      </c>
      <c r="E128" s="57"/>
      <c r="F128" s="57"/>
      <c r="G128" s="57"/>
      <c r="H128" s="57"/>
      <c r="I128" s="56">
        <f t="shared" si="4"/>
        <v>2.8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Châtaignier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2" t="s">
        <v>186</v>
      </c>
      <c r="D138" s="312"/>
      <c r="E138" s="313" t="s">
        <v>187</v>
      </c>
      <c r="F138" s="314"/>
      <c r="G138" s="314"/>
      <c r="H138" s="31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37</v>
      </c>
      <c r="C140" s="53">
        <v>1</v>
      </c>
      <c r="D140" s="63">
        <v>15</v>
      </c>
      <c r="E140" s="54"/>
      <c r="F140" s="54"/>
      <c r="G140" s="54"/>
      <c r="H140" s="54">
        <v>1</v>
      </c>
      <c r="I140" s="60">
        <f>IFERROR(B140/A140,"")</f>
        <v>2.4666666666666668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95-15</f>
        <v>80</v>
      </c>
      <c r="C141" s="53">
        <v>2</v>
      </c>
      <c r="D141" s="63">
        <v>28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11.6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158-15-28</f>
        <v>115</v>
      </c>
      <c r="C142" s="53">
        <v>3</v>
      </c>
      <c r="D142" s="63">
        <v>28</v>
      </c>
      <c r="E142" s="54">
        <v>0.3</v>
      </c>
      <c r="F142" s="54"/>
      <c r="G142" s="54"/>
      <c r="H142" s="54">
        <v>0.7</v>
      </c>
      <c r="I142" s="60">
        <f t="shared" si="5"/>
        <v>12.6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218-28-28-15</f>
        <v>147</v>
      </c>
      <c r="C143" s="53">
        <v>4</v>
      </c>
      <c r="D143" s="63">
        <v>28</v>
      </c>
      <c r="E143" s="54">
        <v>0.55000000000000004</v>
      </c>
      <c r="F143" s="54"/>
      <c r="G143" s="54"/>
      <c r="H143" s="54">
        <v>0.45</v>
      </c>
      <c r="I143" s="60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272-28-28-28-15</f>
        <v>173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10.8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319-28-28-28-28-15</f>
        <v>192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9.4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360-28-28-28-28-28-15</f>
        <v>205</v>
      </c>
      <c r="C146" s="53">
        <v>7</v>
      </c>
      <c r="D146" s="63">
        <v>22</v>
      </c>
      <c r="E146" s="54"/>
      <c r="F146" s="54"/>
      <c r="G146" s="54"/>
      <c r="H146" s="54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395-22-28-28-28-28-28-15</f>
        <v>218</v>
      </c>
      <c r="C147" s="53">
        <v>8</v>
      </c>
      <c r="D147" s="63">
        <v>17</v>
      </c>
      <c r="E147" s="54"/>
      <c r="F147" s="54"/>
      <c r="G147" s="54"/>
      <c r="H147" s="54"/>
      <c r="I147" s="60">
        <f>IF(A147&lt;&gt;0,(B147-(B146-D146))/(A147-A146),"")</f>
        <v>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426-17-22-28-28-28-28-28-15</f>
        <v>232</v>
      </c>
      <c r="C148" s="53">
        <v>9</v>
      </c>
      <c r="D148" s="63">
        <v>13</v>
      </c>
      <c r="E148" s="54"/>
      <c r="F148" s="54"/>
      <c r="G148" s="54"/>
      <c r="H148" s="54"/>
      <c r="I148" s="60">
        <f t="shared" si="5"/>
        <v>6.2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f>452-13-17-22-28-28-28-28-28-15</f>
        <v>245</v>
      </c>
      <c r="C149" s="53">
        <v>10</v>
      </c>
      <c r="D149" s="63">
        <v>12</v>
      </c>
      <c r="E149" s="54"/>
      <c r="F149" s="54"/>
      <c r="G149" s="54"/>
      <c r="H149" s="54"/>
      <c r="I149" s="60">
        <f t="shared" si="5"/>
        <v>5.2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f>473-12-13-17-22-28-28-28-28-28-15</f>
        <v>254</v>
      </c>
      <c r="C150" s="53">
        <v>11</v>
      </c>
      <c r="D150" s="63">
        <v>11</v>
      </c>
      <c r="E150" s="54"/>
      <c r="F150" s="54"/>
      <c r="G150" s="54"/>
      <c r="H150" s="54"/>
      <c r="I150" s="60">
        <f t="shared" si="5"/>
        <v>4.2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f>492-11-12-13-17-22-28-28-28-28-28-15</f>
        <v>262</v>
      </c>
      <c r="C151" s="53">
        <v>12</v>
      </c>
      <c r="D151" s="63">
        <v>10</v>
      </c>
      <c r="E151" s="54"/>
      <c r="F151" s="54"/>
      <c r="G151" s="54"/>
      <c r="H151" s="54"/>
      <c r="I151" s="60">
        <f t="shared" si="5"/>
        <v>3.8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f>509-10-11-12-13-17-22-28-28-28-28-28-18</f>
        <v>266</v>
      </c>
      <c r="C152" s="53">
        <v>13</v>
      </c>
      <c r="D152" s="63">
        <v>9</v>
      </c>
      <c r="E152" s="57"/>
      <c r="F152" s="57"/>
      <c r="G152" s="57"/>
      <c r="H152" s="57"/>
      <c r="I152" s="60">
        <f t="shared" si="5"/>
        <v>2.8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f>524-9-10-11-12-13-17-22-28-28-28-28-28-15</f>
        <v>275</v>
      </c>
      <c r="C153" s="53">
        <v>14</v>
      </c>
      <c r="D153" s="63">
        <v>275</v>
      </c>
      <c r="E153" s="57"/>
      <c r="F153" s="57"/>
      <c r="G153" s="57"/>
      <c r="H153" s="57"/>
      <c r="I153" s="60">
        <f t="shared" si="5"/>
        <v>3.6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2" t="s">
        <v>186</v>
      </c>
      <c r="D164" s="312"/>
      <c r="E164" s="313" t="s">
        <v>187</v>
      </c>
      <c r="F164" s="314"/>
      <c r="G164" s="314"/>
      <c r="H164" s="31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2" t="s">
        <v>186</v>
      </c>
      <c r="D190" s="312"/>
      <c r="E190" s="313" t="s">
        <v>187</v>
      </c>
      <c r="F190" s="314"/>
      <c r="G190" s="314"/>
      <c r="H190" s="31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2" t="s">
        <v>186</v>
      </c>
      <c r="D216" s="312"/>
      <c r="E216" s="313" t="s">
        <v>187</v>
      </c>
      <c r="F216" s="314"/>
      <c r="G216" s="314"/>
      <c r="H216" s="31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2" t="s">
        <v>186</v>
      </c>
      <c r="D242" s="312"/>
      <c r="E242" s="313" t="s">
        <v>187</v>
      </c>
      <c r="F242" s="314"/>
      <c r="G242" s="314"/>
      <c r="H242" s="31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2" t="s">
        <v>186</v>
      </c>
      <c r="D268" s="312"/>
      <c r="E268" s="313" t="s">
        <v>187</v>
      </c>
      <c r="F268" s="314"/>
      <c r="G268" s="314"/>
      <c r="H268" s="31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29" t="s">
        <v>176</v>
      </c>
      <c r="C1" s="330"/>
      <c r="D1" s="330"/>
      <c r="E1" s="330"/>
      <c r="F1" s="330"/>
      <c r="G1" s="330"/>
      <c r="H1" s="331"/>
      <c r="I1" s="326" t="str">
        <f>IF('Données projet'!$B$9="","",'Données projet'!$B$9)</f>
        <v>Chêne sessile</v>
      </c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8"/>
      <c r="AD1" s="327" t="str">
        <f>IF('Données projet'!$B$10="","",'Données projet'!$B$10)</f>
        <v>Chêne pubescent</v>
      </c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  <c r="AV1" s="327"/>
      <c r="AW1" s="327"/>
      <c r="AX1" s="328"/>
      <c r="AY1" s="326" t="str">
        <f>IF('Données projet'!$B$11="","",'Données projet'!$B$11)</f>
        <v>Alisier torminal</v>
      </c>
      <c r="AZ1" s="327"/>
      <c r="BA1" s="327"/>
      <c r="BB1" s="327"/>
      <c r="BC1" s="327"/>
      <c r="BD1" s="327"/>
      <c r="BE1" s="327"/>
      <c r="BF1" s="327"/>
      <c r="BG1" s="327"/>
      <c r="BH1" s="327"/>
      <c r="BI1" s="327"/>
      <c r="BJ1" s="327"/>
      <c r="BK1" s="327"/>
      <c r="BL1" s="327"/>
      <c r="BM1" s="327"/>
      <c r="BN1" s="327"/>
      <c r="BO1" s="327"/>
      <c r="BP1" s="327"/>
      <c r="BQ1" s="327"/>
      <c r="BR1" s="327"/>
      <c r="BS1" s="328"/>
      <c r="BT1" s="326" t="str">
        <f>IF('Données projet'!$B$12="","",'Données projet'!$B$12)</f>
        <v>Chêne rouge d'Amérique</v>
      </c>
      <c r="BU1" s="327"/>
      <c r="BV1" s="327"/>
      <c r="BW1" s="327"/>
      <c r="BX1" s="327"/>
      <c r="BY1" s="327"/>
      <c r="BZ1" s="327"/>
      <c r="CA1" s="327"/>
      <c r="CB1" s="327"/>
      <c r="CC1" s="327"/>
      <c r="CD1" s="327"/>
      <c r="CE1" s="327"/>
      <c r="CF1" s="327"/>
      <c r="CG1" s="327"/>
      <c r="CH1" s="327"/>
      <c r="CI1" s="327"/>
      <c r="CJ1" s="327"/>
      <c r="CK1" s="327"/>
      <c r="CL1" s="327"/>
      <c r="CM1" s="327"/>
      <c r="CN1" s="328"/>
      <c r="CO1" s="326" t="str">
        <f>IF('Données projet'!$B$13="","",'Données projet'!$B$13)</f>
        <v>Châtaignier</v>
      </c>
      <c r="CP1" s="327"/>
      <c r="CQ1" s="327"/>
      <c r="CR1" s="327"/>
      <c r="CS1" s="327"/>
      <c r="CT1" s="327"/>
      <c r="CU1" s="327"/>
      <c r="CV1" s="327"/>
      <c r="CW1" s="327"/>
      <c r="CX1" s="327"/>
      <c r="CY1" s="327"/>
      <c r="CZ1" s="327"/>
      <c r="DA1" s="327"/>
      <c r="DB1" s="327"/>
      <c r="DC1" s="327"/>
      <c r="DD1" s="327"/>
      <c r="DE1" s="327"/>
      <c r="DF1" s="327"/>
      <c r="DG1" s="327"/>
      <c r="DH1" s="327"/>
      <c r="DI1" s="328"/>
      <c r="DJ1" s="326" t="str">
        <f>IF('Données projet'!$B$14="","",'Données projet'!$B$14)</f>
        <v/>
      </c>
      <c r="DK1" s="327"/>
      <c r="DL1" s="327"/>
      <c r="DM1" s="327"/>
      <c r="DN1" s="327"/>
      <c r="DO1" s="327"/>
      <c r="DP1" s="327"/>
      <c r="DQ1" s="327"/>
      <c r="DR1" s="327"/>
      <c r="DS1" s="327"/>
      <c r="DT1" s="327"/>
      <c r="DU1" s="327"/>
      <c r="DV1" s="327"/>
      <c r="DW1" s="327"/>
      <c r="DX1" s="327"/>
      <c r="DY1" s="327"/>
      <c r="DZ1" s="327"/>
      <c r="EA1" s="327"/>
      <c r="EB1" s="327"/>
      <c r="EC1" s="327"/>
      <c r="ED1" s="328"/>
      <c r="EE1" s="326" t="str">
        <f>IF('Données projet'!$B$15="","",'Données projet'!$B$15)</f>
        <v/>
      </c>
      <c r="EF1" s="327"/>
      <c r="EG1" s="327"/>
      <c r="EH1" s="327"/>
      <c r="EI1" s="327"/>
      <c r="EJ1" s="327"/>
      <c r="EK1" s="327"/>
      <c r="EL1" s="327"/>
      <c r="EM1" s="327"/>
      <c r="EN1" s="327"/>
      <c r="EO1" s="327"/>
      <c r="EP1" s="327"/>
      <c r="EQ1" s="327"/>
      <c r="ER1" s="327"/>
      <c r="ES1" s="327"/>
      <c r="ET1" s="327"/>
      <c r="EU1" s="327"/>
      <c r="EV1" s="327"/>
      <c r="EW1" s="327"/>
      <c r="EX1" s="327"/>
      <c r="EY1" s="328"/>
      <c r="EZ1" s="326" t="str">
        <f>IF('Données projet'!$B$16="","",'Données projet'!$B$16)</f>
        <v/>
      </c>
      <c r="FA1" s="327"/>
      <c r="FB1" s="327"/>
      <c r="FC1" s="327"/>
      <c r="FD1" s="327"/>
      <c r="FE1" s="327"/>
      <c r="FF1" s="327"/>
      <c r="FG1" s="327"/>
      <c r="FH1" s="327"/>
      <c r="FI1" s="327"/>
      <c r="FJ1" s="327"/>
      <c r="FK1" s="327"/>
      <c r="FL1" s="327"/>
      <c r="FM1" s="327"/>
      <c r="FN1" s="327"/>
      <c r="FO1" s="327"/>
      <c r="FP1" s="327"/>
      <c r="FQ1" s="327"/>
      <c r="FR1" s="327"/>
      <c r="FS1" s="327"/>
      <c r="FT1" s="328"/>
      <c r="FU1" s="326" t="str">
        <f>IF('Données projet'!$B$17="","",'Données projet'!$B$17)</f>
        <v/>
      </c>
      <c r="FV1" s="327"/>
      <c r="FW1" s="327"/>
      <c r="FX1" s="327"/>
      <c r="FY1" s="327"/>
      <c r="FZ1" s="327"/>
      <c r="GA1" s="327"/>
      <c r="GB1" s="327"/>
      <c r="GC1" s="327"/>
      <c r="GD1" s="327"/>
      <c r="GE1" s="327"/>
      <c r="GF1" s="327"/>
      <c r="GG1" s="327"/>
      <c r="GH1" s="327"/>
      <c r="GI1" s="327"/>
      <c r="GJ1" s="327"/>
      <c r="GK1" s="327"/>
      <c r="GL1" s="327"/>
      <c r="GM1" s="327"/>
      <c r="GN1" s="327"/>
      <c r="GO1" s="328"/>
      <c r="GP1" s="326" t="str">
        <f>IF('Données projet'!$B$18="","",'Données projet'!$B$18)</f>
        <v/>
      </c>
      <c r="GQ1" s="327"/>
      <c r="GR1" s="327"/>
      <c r="GS1" s="327"/>
      <c r="GT1" s="327"/>
      <c r="GU1" s="327"/>
      <c r="GV1" s="327"/>
      <c r="GW1" s="327"/>
      <c r="GX1" s="327"/>
      <c r="GY1" s="327"/>
      <c r="GZ1" s="327"/>
      <c r="HA1" s="327"/>
      <c r="HB1" s="327"/>
      <c r="HC1" s="327"/>
      <c r="HD1" s="327"/>
      <c r="HE1" s="327"/>
      <c r="HF1" s="327"/>
      <c r="HG1" s="327"/>
      <c r="HH1" s="327"/>
      <c r="HI1" s="327"/>
      <c r="HJ1" s="328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364.63511534965755</v>
      </c>
      <c r="T3" s="62">
        <f>IF('Données projet'!E9&gt;30,$R$33-$H$33,LOOKUP('Données projet'!$E$9,$A$3:$A$203,R3:R203)-LOOKUP('Données projet'!$E$9,$A$3:$A$203,$H$3:$H$203))</f>
        <v>233.32640143610541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403.82490501309815</v>
      </c>
      <c r="AO3" s="62">
        <f>IF('Données projet'!E10&gt;30,$AM$33-$H$33,LOOKUP('Données projet'!$E$10,$A$3:$A$203,AM3:AM203)-LOOKUP('Données projet'!$E$10,$A$3:$A$203,$H$3:$H$203))</f>
        <v>256.4377087753457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387.04070351732537</v>
      </c>
      <c r="BJ3" s="62">
        <f>IF('Données projet'!E11&gt;30,$BH$33-$H$33,LOOKUP('Données projet'!$E$11,$A$3:$A$203,BH3:BH203)-LOOKUP('Données projet'!$E$11,$A$3:$A$203,$H$3:$H$203))</f>
        <v>246.54010105494137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327.62212115491479</v>
      </c>
      <c r="CE3" s="62">
        <f>IF('Données projet'!E12&gt;30,$CC$33-$H$33,LOOKUP('Données projet'!$E$12,$A$3:$A$203,CC3:CC203)-LOOKUP('Données projet'!$E$12,$A$3:$A$203,$H$3:$H$203))</f>
        <v>348.84706693879735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277.97613250285963</v>
      </c>
      <c r="CZ3" s="62">
        <f>IF('Données projet'!E13&gt;30,$CX$33-$H$33,LOOKUP('Données projet'!$E$13,$A$3:$A$203,CX3:CX203)-LOOKUP('Données projet'!$E$13,$A$3:$A$203,$H$3:$H$203))</f>
        <v>274.55710362891892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364.63511534965755</v>
      </c>
      <c r="T4" s="62">
        <f>$T$3</f>
        <v>233.32640143610541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403.82490501309815</v>
      </c>
      <c r="AO4" s="62">
        <f>$AO$3</f>
        <v>256.4377087753457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1.165946847124371</v>
      </c>
      <c r="BF4" s="14">
        <f>EXP(-1.0587+0.8836*LN(BE4)+0.284)</f>
        <v>0.52780002987456354</v>
      </c>
      <c r="BG4" s="22">
        <f t="shared" ref="BG4:BG67" si="7">(BE4+BF4)*0.475*44/12</f>
        <v>2.9499424774398109</v>
      </c>
      <c r="BH4" s="62">
        <f t="shared" ref="BH4:BH67" si="8">BG4+(AY4+AZ4)*44/12</f>
        <v>260.83883136632869</v>
      </c>
      <c r="BI4" s="62">
        <f ca="1">AVERAGE(OFFSET($BH$3,0,0,'Données projet'!$E$11+1,1))-AVERAGE(OFFSET($H$3,0,0,'Données projet'!$E$11+1,1))</f>
        <v>387.04070351732537</v>
      </c>
      <c r="BJ4" s="62">
        <f>$BJ$3</f>
        <v>246.54010105494137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6.6</v>
      </c>
      <c r="BY4" s="13">
        <f>IF('Données projet'!$A$114&gt;35,BY3+BX4-CG3,IF(A4&lt;'Données projet'!$A$114,$BV$205^A4,IF(A4='Données projet'!$A$114,'Données projet'!$B$114,BY3+BX4-CG3)))</f>
        <v>1.2765231539157764</v>
      </c>
      <c r="BZ4" s="14">
        <f>BY4*VLOOKUP('Données projet'!$B$12,Paramètres!$A$1:$I$89,3,0)*VLOOKUP('Données projet'!$B$12,Paramètres!$A$1:$I$89,5,0)</f>
        <v>1.1151706272608224</v>
      </c>
      <c r="CA4" s="14">
        <f>EXP(-1.0587+0.8836*LN(BZ4)+0.284)</f>
        <v>0.50743784838663863</v>
      </c>
      <c r="CB4" s="22">
        <f t="shared" ref="CB4:CB67" si="10">(BZ4+CA4)*0.475*44/12</f>
        <v>2.8260430950859945</v>
      </c>
      <c r="CC4" s="62">
        <f t="shared" ref="CC4:CC67" si="11">CB4+(BT4+BU4)*44/12</f>
        <v>260.71493198397485</v>
      </c>
      <c r="CD4" s="62">
        <f ca="1">AVERAGE(OFFSET($CC$3,0,0,'Données projet'!$E$12+1,1))-AVERAGE(OFFSET($H$3,0,0,'Données projet'!$E$12+1,1))</f>
        <v>327.62212115491479</v>
      </c>
      <c r="CE4" s="62">
        <f>$CE$3</f>
        <v>348.84706693879735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2.4666666666666668</v>
      </c>
      <c r="CT4" s="13">
        <f>IF('Données projet'!$A$140&gt;35,CT3+CS4-DB3,IF(A4&lt;'Données projet'!$A$140,$CQ$205^A4,IF(A4='Données projet'!$A$140,'Données projet'!$B$140,CT3+CS4-DB3)))</f>
        <v>1.2721747796233518</v>
      </c>
      <c r="CU4" s="18">
        <f>CT4*VLOOKUP('Données projet'!$B$13,Paramètres!$A$1:$I$89,3,0)*VLOOKUP('Données projet'!$B$13,Paramètres!$A$1:$I$89,5,0)</f>
        <v>0.9327585484198414</v>
      </c>
      <c r="CV4" s="14">
        <f>EXP(-1.0587+0.8836*LN(CU4)+0.284)</f>
        <v>0.43335135961225768</v>
      </c>
      <c r="CW4" s="22">
        <f t="shared" ref="CW4:CW67" si="13">(CU4+CV4)*0.475*44/12</f>
        <v>2.3793080898225729</v>
      </c>
      <c r="CX4" s="62">
        <f t="shared" ref="CX4:CX67" si="14">CW4+(CO4+CP4)*44/12</f>
        <v>260.26819697871144</v>
      </c>
      <c r="CY4" s="62">
        <f ca="1">AVERAGE(OFFSET($CX$3,0,0,'Données projet'!$E$13+1,1))-AVERAGE(OFFSET($H$3,0,0,'Données projet'!$E$13+1,1))</f>
        <v>277.97613250285963</v>
      </c>
      <c r="CZ4" s="62">
        <f>$CZ$3</f>
        <v>274.55710362891892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364.63511534965755</v>
      </c>
      <c r="T5" s="62">
        <f t="shared" ref="T5:T68" si="34">$T$3</f>
        <v>233.32640143610541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403.82490501309815</v>
      </c>
      <c r="AO5" s="62">
        <f t="shared" ref="AO5:AO68" si="36">$AO$3</f>
        <v>256.4377087753457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1.4055335507850097</v>
      </c>
      <c r="BF5" s="14">
        <f t="shared" ref="BF5:BF68" si="37">EXP(-1.0587+0.8836*LN(BE5)+0.284)</f>
        <v>0.62256480317525631</v>
      </c>
      <c r="BG5" s="22">
        <f t="shared" si="7"/>
        <v>3.5322712998141292</v>
      </c>
      <c r="BH5" s="62">
        <f t="shared" si="8"/>
        <v>262.64338241092526</v>
      </c>
      <c r="BI5" s="62">
        <f ca="1">AVERAGE(OFFSET($BH$3,0,0,'Données projet'!$E$11+1,1))-AVERAGE(OFFSET($H$3,0,0,'Données projet'!$E$11+1,1))</f>
        <v>387.04070351732537</v>
      </c>
      <c r="BJ5" s="62">
        <f t="shared" ref="BJ5:BJ68" si="38">$BJ$3</f>
        <v>246.54010105494137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6.6</v>
      </c>
      <c r="BY5" s="13">
        <f>IF('Données projet'!$A$114&gt;35,BY4+BX5-CG4,IF(A5&lt;'Données projet'!$A$114,$BV$205^A5,IF(A5='Données projet'!$A$114,'Données projet'!$B$114,BY4+BX5-CG4)))</f>
        <v>1.629511362483081</v>
      </c>
      <c r="BZ5" s="14">
        <f>BY5*VLOOKUP('Données projet'!$B$12,Paramètres!$A$1:$I$89,3,0)*VLOOKUP('Données projet'!$B$12,Paramètres!$A$1:$I$89,5,0)</f>
        <v>1.4235411262652198</v>
      </c>
      <c r="CA5" s="14">
        <f t="shared" ref="CA5:CA68" si="39">EXP(-1.0587+0.8836*LN(BZ5)+0.284)</f>
        <v>0.62960738463416654</v>
      </c>
      <c r="CB5" s="22">
        <f t="shared" si="10"/>
        <v>3.5759003231497637</v>
      </c>
      <c r="CC5" s="62">
        <f t="shared" si="11"/>
        <v>262.68701143426091</v>
      </c>
      <c r="CD5" s="62">
        <f ca="1">AVERAGE(OFFSET($CC$3,0,0,'Données projet'!$E$12+1,1))-AVERAGE(OFFSET($H$3,0,0,'Données projet'!$E$12+1,1))</f>
        <v>327.62212115491479</v>
      </c>
      <c r="CE5" s="62">
        <f t="shared" ref="CE5:CE68" si="40">$CE$3</f>
        <v>348.84706693879735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2.4666666666666668</v>
      </c>
      <c r="CT5" s="13">
        <f>IF('Données projet'!$A$140&gt;35,CT4+CS5-DB4,IF(A5&lt;'Données projet'!$A$140,$CQ$205^A5,IF(A5='Données projet'!$A$140,'Données projet'!$B$140,CT4+CS5-DB4)))</f>
        <v>1.6184286699097237</v>
      </c>
      <c r="CU5" s="18">
        <f>CT5*VLOOKUP('Données projet'!$B$13,Paramètres!$A$1:$I$89,3,0)*VLOOKUP('Données projet'!$B$13,Paramètres!$A$1:$I$89,5,0)</f>
        <v>1.1866319007778094</v>
      </c>
      <c r="CV5" s="14">
        <f t="shared" ref="CV5:CV68" si="41">EXP(-1.0587+0.8836*LN(CU5)+0.284)</f>
        <v>0.53606530474621483</v>
      </c>
      <c r="CW5" s="22">
        <f t="shared" si="13"/>
        <v>3.0003642996210083</v>
      </c>
      <c r="CX5" s="62">
        <f t="shared" si="14"/>
        <v>262.11147541073217</v>
      </c>
      <c r="CY5" s="62">
        <f ca="1">AVERAGE(OFFSET($CX$3,0,0,'Données projet'!$E$13+1,1))-AVERAGE(OFFSET($H$3,0,0,'Données projet'!$E$13+1,1))</f>
        <v>277.97613250285963</v>
      </c>
      <c r="CZ5" s="62">
        <f t="shared" ref="CZ5:CZ68" si="42">$CZ$3</f>
        <v>274.55710362891892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364.63511534965755</v>
      </c>
      <c r="T6" s="62">
        <f t="shared" si="34"/>
        <v>233.32640143610541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403.82490501309815</v>
      </c>
      <c r="AO6" s="62">
        <f t="shared" si="36"/>
        <v>256.4377087753457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1.694352163012101</v>
      </c>
      <c r="BF6" s="14">
        <f t="shared" si="37"/>
        <v>0.73434428233124405</v>
      </c>
      <c r="BG6" s="22">
        <f t="shared" si="7"/>
        <v>4.2299796423063247</v>
      </c>
      <c r="BH6" s="62">
        <f t="shared" si="8"/>
        <v>264.56331297563963</v>
      </c>
      <c r="BI6" s="62">
        <f ca="1">AVERAGE(OFFSET($BH$3,0,0,'Données projet'!$E$11+1,1))-AVERAGE(OFFSET($H$3,0,0,'Données projet'!$E$11+1,1))</f>
        <v>387.04070351732537</v>
      </c>
      <c r="BJ6" s="62">
        <f t="shared" si="38"/>
        <v>246.54010105494137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6.6</v>
      </c>
      <c r="BY6" s="13">
        <f>IF('Données projet'!$A$114&gt;35,BY5+BX6-CG5,IF(A6&lt;'Données projet'!$A$114,$BV$205^A6,IF(A6='Données projet'!$A$114,'Données projet'!$B$114,BY5+BX6-CG5)))</f>
        <v>2.0801089837784965</v>
      </c>
      <c r="BZ6" s="14">
        <f>BY6*VLOOKUP('Données projet'!$B$12,Paramètres!$A$1:$I$89,3,0)*VLOOKUP('Données projet'!$B$12,Paramètres!$A$1:$I$89,5,0)</f>
        <v>1.8171832082288948</v>
      </c>
      <c r="CA6" s="14">
        <f t="shared" si="39"/>
        <v>0.7811901694881791</v>
      </c>
      <c r="CB6" s="22">
        <f t="shared" si="10"/>
        <v>4.5255002995239044</v>
      </c>
      <c r="CC6" s="62">
        <f t="shared" si="11"/>
        <v>264.85883363285723</v>
      </c>
      <c r="CD6" s="62">
        <f ca="1">AVERAGE(OFFSET($CC$3,0,0,'Données projet'!$E$12+1,1))-AVERAGE(OFFSET($H$3,0,0,'Données projet'!$E$12+1,1))</f>
        <v>327.62212115491479</v>
      </c>
      <c r="CE6" s="62">
        <f t="shared" si="40"/>
        <v>348.84706693879735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2.4666666666666668</v>
      </c>
      <c r="CT6" s="13">
        <f>IF('Données projet'!$A$140&gt;35,CT5+CS6-DB5,IF(A6&lt;'Données projet'!$A$140,$CQ$205^A6,IF(A6='Données projet'!$A$140,'Données projet'!$B$140,CT5+CS6-DB5)))</f>
        <v>2.0589241364785171</v>
      </c>
      <c r="CU6" s="18">
        <f>CT6*VLOOKUP('Données projet'!$B$13,Paramètres!$A$1:$I$89,3,0)*VLOOKUP('Données projet'!$B$13,Paramètres!$A$1:$I$89,5,0)</f>
        <v>1.5096031768660487</v>
      </c>
      <c r="CV6" s="14">
        <f t="shared" si="41"/>
        <v>0.66312474757151718</v>
      </c>
      <c r="CW6" s="22">
        <f t="shared" si="13"/>
        <v>3.7841678017287599</v>
      </c>
      <c r="CX6" s="62">
        <f t="shared" si="14"/>
        <v>264.11750113506207</v>
      </c>
      <c r="CY6" s="62">
        <f ca="1">AVERAGE(OFFSET($CX$3,0,0,'Données projet'!$E$13+1,1))-AVERAGE(OFFSET($H$3,0,0,'Données projet'!$E$13+1,1))</f>
        <v>277.97613250285963</v>
      </c>
      <c r="CZ6" s="62">
        <f t="shared" si="42"/>
        <v>274.55710362891892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364.63511534965755</v>
      </c>
      <c r="T7" s="62">
        <f t="shared" si="34"/>
        <v>233.32640143610541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403.82490501309815</v>
      </c>
      <c r="AO7" s="62">
        <f t="shared" si="36"/>
        <v>256.4377087753457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2.042519191875845</v>
      </c>
      <c r="BF7" s="14">
        <f t="shared" si="37"/>
        <v>0.86619340226463792</v>
      </c>
      <c r="BG7" s="22">
        <f t="shared" si="7"/>
        <v>5.0660077681280073</v>
      </c>
      <c r="BH7" s="62">
        <f t="shared" si="8"/>
        <v>266.62156332368357</v>
      </c>
      <c r="BI7" s="62">
        <f ca="1">AVERAGE(OFFSET($BH$3,0,0,'Données projet'!$E$11+1,1))-AVERAGE(OFFSET($H$3,0,0,'Données projet'!$E$11+1,1))</f>
        <v>387.04070351732537</v>
      </c>
      <c r="BJ7" s="62">
        <f t="shared" si="38"/>
        <v>246.54010105494137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6.6</v>
      </c>
      <c r="BY7" s="13">
        <f>IF('Données projet'!$A$114&gt;35,BY6+BX7-CG6,IF(A7&lt;'Données projet'!$A$114,$BV$205^A7,IF(A7='Données projet'!$A$114,'Données projet'!$B$114,BY6+BX7-CG6)))</f>
        <v>2.655307280461467</v>
      </c>
      <c r="BZ7" s="14">
        <f>BY7*VLOOKUP('Données projet'!$B$12,Paramètres!$A$1:$I$89,3,0)*VLOOKUP('Données projet'!$B$12,Paramètres!$A$1:$I$89,5,0)</f>
        <v>2.3196764402111376</v>
      </c>
      <c r="CA7" s="14">
        <f t="shared" si="39"/>
        <v>0.96926766711854973</v>
      </c>
      <c r="CB7" s="22">
        <f t="shared" si="10"/>
        <v>5.7282443202658717</v>
      </c>
      <c r="CC7" s="62">
        <f t="shared" si="11"/>
        <v>267.28379987582139</v>
      </c>
      <c r="CD7" s="62">
        <f ca="1">AVERAGE(OFFSET($CC$3,0,0,'Données projet'!$E$12+1,1))-AVERAGE(OFFSET($H$3,0,0,'Données projet'!$E$12+1,1))</f>
        <v>327.62212115491479</v>
      </c>
      <c r="CE7" s="62">
        <f t="shared" si="40"/>
        <v>348.84706693879735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2.4666666666666668</v>
      </c>
      <c r="CT7" s="13">
        <f>IF('Données projet'!$A$140&gt;35,CT6+CS7-DB6,IF(A7&lt;'Données projet'!$A$140,$CQ$205^A7,IF(A7='Données projet'!$A$140,'Données projet'!$B$140,CT6+CS7-DB6)))</f>
        <v>2.6193113595857573</v>
      </c>
      <c r="CU7" s="18">
        <f>CT7*VLOOKUP('Données projet'!$B$13,Paramètres!$A$1:$I$89,3,0)*VLOOKUP('Données projet'!$B$13,Paramètres!$A$1:$I$89,5,0)</f>
        <v>1.9204790888482772</v>
      </c>
      <c r="CV7" s="14">
        <f t="shared" si="41"/>
        <v>0.82030011446080875</v>
      </c>
      <c r="CW7" s="22">
        <f t="shared" si="13"/>
        <v>4.7735237790966574</v>
      </c>
      <c r="CX7" s="62">
        <f t="shared" si="14"/>
        <v>266.32907933465219</v>
      </c>
      <c r="CY7" s="62">
        <f ca="1">AVERAGE(OFFSET($CX$3,0,0,'Données projet'!$E$13+1,1))-AVERAGE(OFFSET($H$3,0,0,'Données projet'!$E$13+1,1))</f>
        <v>277.97613250285963</v>
      </c>
      <c r="CZ7" s="62">
        <f t="shared" si="42"/>
        <v>274.55710362891892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364.63511534965755</v>
      </c>
      <c r="T8" s="62">
        <f t="shared" si="34"/>
        <v>233.32640143610541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403.82490501309815</v>
      </c>
      <c r="AO8" s="62">
        <f t="shared" si="36"/>
        <v>256.4377087753457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2.4622299544651152</v>
      </c>
      <c r="BF8" s="14">
        <f t="shared" si="37"/>
        <v>1.021715601495419</v>
      </c>
      <c r="BG8" s="22">
        <f t="shared" si="7"/>
        <v>6.0678718432979295</v>
      </c>
      <c r="BH8" s="62">
        <f t="shared" si="8"/>
        <v>268.84564962107572</v>
      </c>
      <c r="BI8" s="62">
        <f ca="1">AVERAGE(OFFSET($BH$3,0,0,'Données projet'!$E$11+1,1))-AVERAGE(OFFSET($H$3,0,0,'Données projet'!$E$11+1,1))</f>
        <v>387.04070351732537</v>
      </c>
      <c r="BJ8" s="62">
        <f t="shared" si="38"/>
        <v>246.54010105494137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6.6</v>
      </c>
      <c r="BY8" s="13">
        <f>IF('Données projet'!$A$114&gt;35,BY7+BX8-CG7,IF(A8&lt;'Données projet'!$A$114,$BV$205^A8,IF(A8='Données projet'!$A$114,'Données projet'!$B$114,BY7+BX8-CG7)))</f>
        <v>3.3895612242701949</v>
      </c>
      <c r="BZ8" s="14">
        <f>BY8*VLOOKUP('Données projet'!$B$12,Paramètres!$A$1:$I$89,3,0)*VLOOKUP('Données projet'!$B$12,Paramètres!$A$1:$I$89,5,0)</f>
        <v>2.9611206855224426</v>
      </c>
      <c r="CA8" s="14">
        <f t="shared" si="39"/>
        <v>1.2026262582604759</v>
      </c>
      <c r="CB8" s="22">
        <f t="shared" si="10"/>
        <v>7.2518592604219156</v>
      </c>
      <c r="CC8" s="62">
        <f t="shared" si="11"/>
        <v>270.02963703819967</v>
      </c>
      <c r="CD8" s="62">
        <f ca="1">AVERAGE(OFFSET($CC$3,0,0,'Données projet'!$E$12+1,1))-AVERAGE(OFFSET($H$3,0,0,'Données projet'!$E$12+1,1))</f>
        <v>327.62212115491479</v>
      </c>
      <c r="CE8" s="62">
        <f t="shared" si="40"/>
        <v>348.84706693879735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2.4666666666666668</v>
      </c>
      <c r="CT8" s="13">
        <f>IF('Données projet'!$A$140&gt;35,CT7+CS8-DB7,IF(A8&lt;'Données projet'!$A$140,$CQ$205^A8,IF(A8='Données projet'!$A$140,'Données projet'!$B$140,CT7+CS8-DB7)))</f>
        <v>3.332221851645953</v>
      </c>
      <c r="CU8" s="18">
        <f>CT8*VLOOKUP('Données projet'!$B$13,Paramètres!$A$1:$I$89,3,0)*VLOOKUP('Données projet'!$B$13,Paramètres!$A$1:$I$89,5,0)</f>
        <v>2.4431850616268127</v>
      </c>
      <c r="CV8" s="14">
        <f t="shared" si="41"/>
        <v>1.0147295516396715</v>
      </c>
      <c r="CW8" s="22">
        <f t="shared" si="13"/>
        <v>6.0225346181057935</v>
      </c>
      <c r="CX8" s="62">
        <f t="shared" si="14"/>
        <v>268.80031239588357</v>
      </c>
      <c r="CY8" s="62">
        <f ca="1">AVERAGE(OFFSET($CX$3,0,0,'Données projet'!$E$13+1,1))-AVERAGE(OFFSET($H$3,0,0,'Données projet'!$E$13+1,1))</f>
        <v>277.97613250285963</v>
      </c>
      <c r="CZ8" s="62">
        <f t="shared" si="42"/>
        <v>274.55710362891892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364.63511534965755</v>
      </c>
      <c r="T9" s="62">
        <f t="shared" si="34"/>
        <v>233.32640143610541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403.82490501309815</v>
      </c>
      <c r="AO9" s="62">
        <f t="shared" si="36"/>
        <v>256.4377087753457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2.9681857447309605</v>
      </c>
      <c r="BF9" s="14">
        <f t="shared" si="37"/>
        <v>1.2051613041728233</v>
      </c>
      <c r="BG9" s="22">
        <f t="shared" si="7"/>
        <v>7.2685794435074236</v>
      </c>
      <c r="BH9" s="62">
        <f t="shared" si="8"/>
        <v>271.26857944350741</v>
      </c>
      <c r="BI9" s="62">
        <f ca="1">AVERAGE(OFFSET($BH$3,0,0,'Données projet'!$E$11+1,1))-AVERAGE(OFFSET($H$3,0,0,'Données projet'!$E$11+1,1))</f>
        <v>387.04070351732537</v>
      </c>
      <c r="BJ9" s="62">
        <f t="shared" si="38"/>
        <v>246.54010105494137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6.6</v>
      </c>
      <c r="BY9" s="13">
        <f>IF('Données projet'!$A$114&gt;35,BY8+BX9-CG8,IF(A9&lt;'Données projet'!$A$114,$BV$205^A9,IF(A9='Données projet'!$A$114,'Données projet'!$B$114,BY8+BX9-CG8)))</f>
        <v>4.32685338439601</v>
      </c>
      <c r="BZ9" s="14">
        <f>BY9*VLOOKUP('Données projet'!$B$12,Paramètres!$A$1:$I$89,3,0)*VLOOKUP('Données projet'!$B$12,Paramètres!$A$1:$I$89,5,0)</f>
        <v>3.7799391166083551</v>
      </c>
      <c r="CA9" s="14">
        <f t="shared" si="39"/>
        <v>1.4921677118944865</v>
      </c>
      <c r="CB9" s="22">
        <f t="shared" si="10"/>
        <v>9.1822527263091143</v>
      </c>
      <c r="CC9" s="62">
        <f t="shared" si="11"/>
        <v>273.18225272630912</v>
      </c>
      <c r="CD9" s="62">
        <f ca="1">AVERAGE(OFFSET($CC$3,0,0,'Données projet'!$E$12+1,1))-AVERAGE(OFFSET($H$3,0,0,'Données projet'!$E$12+1,1))</f>
        <v>327.62212115491479</v>
      </c>
      <c r="CE9" s="62">
        <f t="shared" si="40"/>
        <v>348.84706693879735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2.4666666666666668</v>
      </c>
      <c r="CT9" s="13">
        <f>IF('Données projet'!$A$140&gt;35,CT8+CS9-DB8,IF(A9&lt;'Données projet'!$A$140,$CQ$205^A9,IF(A9='Données projet'!$A$140,'Données projet'!$B$140,CT8+CS9-DB8)))</f>
        <v>4.2391685997738069</v>
      </c>
      <c r="CU9" s="18">
        <f>CT9*VLOOKUP('Données projet'!$B$13,Paramètres!$A$1:$I$89,3,0)*VLOOKUP('Données projet'!$B$13,Paramètres!$A$1:$I$89,5,0)</f>
        <v>3.1081584173541552</v>
      </c>
      <c r="CV9" s="14">
        <f t="shared" si="41"/>
        <v>1.2552431053208675</v>
      </c>
      <c r="CW9" s="22">
        <f t="shared" si="13"/>
        <v>7.5995909853256647</v>
      </c>
      <c r="CX9" s="62">
        <f t="shared" si="14"/>
        <v>271.59959098532568</v>
      </c>
      <c r="CY9" s="62">
        <f ca="1">AVERAGE(OFFSET($CX$3,0,0,'Données projet'!$E$13+1,1))-AVERAGE(OFFSET($H$3,0,0,'Données projet'!$E$13+1,1))</f>
        <v>277.97613250285963</v>
      </c>
      <c r="CZ9" s="62">
        <f t="shared" si="42"/>
        <v>274.55710362891892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364.63511534965755</v>
      </c>
      <c r="T10" s="62">
        <f t="shared" si="34"/>
        <v>233.32640143610541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403.82490501309815</v>
      </c>
      <c r="AO10" s="62">
        <f t="shared" si="36"/>
        <v>256.4377087753457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3.5781087786895851</v>
      </c>
      <c r="BF10" s="14">
        <f t="shared" si="37"/>
        <v>1.4215440842341414</v>
      </c>
      <c r="BG10" s="22">
        <f t="shared" si="7"/>
        <v>8.707728736258824</v>
      </c>
      <c r="BH10" s="62">
        <f t="shared" si="8"/>
        <v>273.92995095848107</v>
      </c>
      <c r="BI10" s="62">
        <f ca="1">AVERAGE(OFFSET($BH$3,0,0,'Données projet'!$E$11+1,1))-AVERAGE(OFFSET($H$3,0,0,'Données projet'!$E$11+1,1))</f>
        <v>387.04070351732537</v>
      </c>
      <c r="BJ10" s="62">
        <f t="shared" si="38"/>
        <v>246.54010105494137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6.6</v>
      </c>
      <c r="BY10" s="13">
        <f>IF('Données projet'!$A$114&gt;35,BY9+BX10-CG9,IF(A10&lt;'Données projet'!$A$114,$BV$205^A10,IF(A10='Données projet'!$A$114,'Données projet'!$B$114,BY9+BX10-CG9)))</f>
        <v>5.5233285287803451</v>
      </c>
      <c r="BZ10" s="14">
        <f>BY10*VLOOKUP('Données projet'!$B$12,Paramètres!$A$1:$I$89,3,0)*VLOOKUP('Données projet'!$B$12,Paramètres!$A$1:$I$89,5,0)</f>
        <v>4.8251798027425101</v>
      </c>
      <c r="CA10" s="14">
        <f t="shared" si="39"/>
        <v>1.8514184811173284</v>
      </c>
      <c r="CB10" s="22">
        <f t="shared" si="10"/>
        <v>11.628408677722552</v>
      </c>
      <c r="CC10" s="62">
        <f t="shared" si="11"/>
        <v>276.8506308999448</v>
      </c>
      <c r="CD10" s="62">
        <f ca="1">AVERAGE(OFFSET($CC$3,0,0,'Données projet'!$E$12+1,1))-AVERAGE(OFFSET($H$3,0,0,'Données projet'!$E$12+1,1))</f>
        <v>327.62212115491479</v>
      </c>
      <c r="CE10" s="62">
        <f t="shared" si="40"/>
        <v>348.84706693879735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2.4666666666666668</v>
      </c>
      <c r="CT10" s="13">
        <f>IF('Données projet'!$A$140&gt;35,CT9+CS10-DB9,IF(A10&lt;'Données projet'!$A$140,$CQ$205^A10,IF(A10='Données projet'!$A$140,'Données projet'!$B$140,CT9+CS10-DB9)))</f>
        <v>5.3929633792034757</v>
      </c>
      <c r="CU10" s="18">
        <f>CT10*VLOOKUP('Données projet'!$B$13,Paramètres!$A$1:$I$89,3,0)*VLOOKUP('Données projet'!$B$13,Paramètres!$A$1:$I$89,5,0)</f>
        <v>3.9541207496319881</v>
      </c>
      <c r="CV10" s="14">
        <f t="shared" si="41"/>
        <v>1.5527637397664751</v>
      </c>
      <c r="CW10" s="22">
        <f t="shared" si="13"/>
        <v>9.5911571523689911</v>
      </c>
      <c r="CX10" s="62">
        <f t="shared" si="14"/>
        <v>274.81337937459119</v>
      </c>
      <c r="CY10" s="62">
        <f ca="1">AVERAGE(OFFSET($CX$3,0,0,'Données projet'!$E$13+1,1))-AVERAGE(OFFSET($H$3,0,0,'Données projet'!$E$13+1,1))</f>
        <v>277.97613250285963</v>
      </c>
      <c r="CZ10" s="62">
        <f t="shared" si="42"/>
        <v>274.55710362891892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364.63511534965755</v>
      </c>
      <c r="T11" s="62">
        <f t="shared" si="34"/>
        <v>233.32640143610541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403.82490501309815</v>
      </c>
      <c r="AO11" s="62">
        <f t="shared" si="36"/>
        <v>256.4377087753457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4.3133629540748091</v>
      </c>
      <c r="BF11" s="14">
        <f t="shared" si="37"/>
        <v>1.6767776864592203</v>
      </c>
      <c r="BG11" s="22">
        <f t="shared" si="7"/>
        <v>10.432828282263435</v>
      </c>
      <c r="BH11" s="62">
        <f t="shared" si="8"/>
        <v>276.87727272670787</v>
      </c>
      <c r="BI11" s="62">
        <f ca="1">AVERAGE(OFFSET($BH$3,0,0,'Données projet'!$E$11+1,1))-AVERAGE(OFFSET($H$3,0,0,'Données projet'!$E$11+1,1))</f>
        <v>387.04070351732537</v>
      </c>
      <c r="BJ11" s="62">
        <f t="shared" si="38"/>
        <v>246.54010105494137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6.6</v>
      </c>
      <c r="BY11" s="13">
        <f>IF('Données projet'!$A$114&gt;35,BY10+BX11-CG10,IF(A11&lt;'Données projet'!$A$114,$BV$205^A11,IF(A11='Données projet'!$A$114,'Données projet'!$B$114,BY10+BX11-CG10)))</f>
        <v>7.0506567536716718</v>
      </c>
      <c r="BZ11" s="14">
        <f>BY11*VLOOKUP('Données projet'!$B$12,Paramètres!$A$1:$I$89,3,0)*VLOOKUP('Données projet'!$B$12,Paramètres!$A$1:$I$89,5,0)</f>
        <v>6.1594537400075735</v>
      </c>
      <c r="CA11" s="14">
        <f t="shared" si="39"/>
        <v>2.2971616158822084</v>
      </c>
      <c r="CB11" s="22">
        <f t="shared" si="10"/>
        <v>14.728605078174702</v>
      </c>
      <c r="CC11" s="62">
        <f t="shared" si="11"/>
        <v>281.17304952261918</v>
      </c>
      <c r="CD11" s="62">
        <f ca="1">AVERAGE(OFFSET($CC$3,0,0,'Données projet'!$E$12+1,1))-AVERAGE(OFFSET($H$3,0,0,'Données projet'!$E$12+1,1))</f>
        <v>327.62212115491479</v>
      </c>
      <c r="CE11" s="62">
        <f t="shared" si="40"/>
        <v>348.84706693879735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2.4666666666666668</v>
      </c>
      <c r="CT11" s="13">
        <f>IF('Données projet'!$A$140&gt;35,CT10+CS11-DB10,IF(A11&lt;'Données projet'!$A$140,$CQ$205^A11,IF(A11='Données projet'!$A$140,'Données projet'!$B$140,CT10+CS11-DB10)))</f>
        <v>6.8607919984549888</v>
      </c>
      <c r="CU11" s="18">
        <f>CT11*VLOOKUP('Données projet'!$B$13,Paramètres!$A$1:$I$89,3,0)*VLOOKUP('Données projet'!$B$13,Paramètres!$A$1:$I$89,5,0)</f>
        <v>5.0303326932671979</v>
      </c>
      <c r="CV11" s="14">
        <f t="shared" si="41"/>
        <v>1.9208034055819379</v>
      </c>
      <c r="CW11" s="22">
        <f t="shared" si="13"/>
        <v>12.106562038828912</v>
      </c>
      <c r="CX11" s="62">
        <f t="shared" si="14"/>
        <v>278.55100648327334</v>
      </c>
      <c r="CY11" s="62">
        <f ca="1">AVERAGE(OFFSET($CX$3,0,0,'Données projet'!$E$13+1,1))-AVERAGE(OFFSET($H$3,0,0,'Données projet'!$E$13+1,1))</f>
        <v>277.97613250285963</v>
      </c>
      <c r="CZ11" s="62">
        <f t="shared" si="42"/>
        <v>274.55710362891892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364.63511534965755</v>
      </c>
      <c r="T12" s="62">
        <f t="shared" si="34"/>
        <v>233.32640143610541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403.82490501309815</v>
      </c>
      <c r="AO12" s="62">
        <f t="shared" si="36"/>
        <v>256.4377087753457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5.1997021679141717</v>
      </c>
      <c r="BF12" s="14">
        <f t="shared" si="37"/>
        <v>1.977837649208241</v>
      </c>
      <c r="BG12" s="22">
        <f t="shared" si="7"/>
        <v>12.500881848154869</v>
      </c>
      <c r="BH12" s="62">
        <f t="shared" si="8"/>
        <v>280.16754851482153</v>
      </c>
      <c r="BI12" s="62">
        <f ca="1">AVERAGE(OFFSET($BH$3,0,0,'Données projet'!$E$11+1,1))-AVERAGE(OFFSET($H$3,0,0,'Données projet'!$E$11+1,1))</f>
        <v>387.04070351732537</v>
      </c>
      <c r="BJ12" s="62">
        <f t="shared" si="38"/>
        <v>246.54010105494137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6.6</v>
      </c>
      <c r="BY12" s="13">
        <f>IF('Données projet'!$A$114&gt;35,BY11+BX12-CG11,IF(A12&lt;'Données projet'!$A$114,$BV$205^A12,IF(A12='Données projet'!$A$114,'Données projet'!$B$114,BY11+BX12-CG11)))</f>
        <v>9.0003265963745314</v>
      </c>
      <c r="BZ12" s="14">
        <f>BY12*VLOOKUP('Données projet'!$B$12,Paramètres!$A$1:$I$89,3,0)*VLOOKUP('Données projet'!$B$12,Paramètres!$A$1:$I$89,5,0)</f>
        <v>7.8626853145927917</v>
      </c>
      <c r="CA12" s="14">
        <f t="shared" si="39"/>
        <v>2.8502208135558442</v>
      </c>
      <c r="CB12" s="22">
        <f t="shared" si="10"/>
        <v>18.658311506525539</v>
      </c>
      <c r="CC12" s="62">
        <f t="shared" si="11"/>
        <v>286.32497817319222</v>
      </c>
      <c r="CD12" s="62">
        <f ca="1">AVERAGE(OFFSET($CC$3,0,0,'Données projet'!$E$12+1,1))-AVERAGE(OFFSET($H$3,0,0,'Données projet'!$E$12+1,1))</f>
        <v>327.62212115491479</v>
      </c>
      <c r="CE12" s="62">
        <f t="shared" si="40"/>
        <v>348.84706693879735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2.4666666666666668</v>
      </c>
      <c r="CT12" s="13">
        <f>IF('Données projet'!$A$140&gt;35,CT11+CS12-DB11,IF(A12&lt;'Données projet'!$A$140,$CQ$205^A12,IF(A12='Données projet'!$A$140,'Données projet'!$B$140,CT11+CS12-DB11)))</f>
        <v>8.7281265486761299</v>
      </c>
      <c r="CU12" s="18">
        <f>CT12*VLOOKUP('Données projet'!$B$13,Paramètres!$A$1:$I$89,3,0)*VLOOKUP('Données projet'!$B$13,Paramètres!$A$1:$I$89,5,0)</f>
        <v>6.399462385489338</v>
      </c>
      <c r="CV12" s="14">
        <f t="shared" si="41"/>
        <v>2.3760766872686268</v>
      </c>
      <c r="CW12" s="22">
        <f t="shared" si="13"/>
        <v>15.284063885053456</v>
      </c>
      <c r="CX12" s="62">
        <f t="shared" si="14"/>
        <v>282.95073055172014</v>
      </c>
      <c r="CY12" s="62">
        <f ca="1">AVERAGE(OFFSET($CX$3,0,0,'Données projet'!$E$13+1,1))-AVERAGE(OFFSET($H$3,0,0,'Données projet'!$E$13+1,1))</f>
        <v>277.97613250285963</v>
      </c>
      <c r="CZ12" s="62">
        <f t="shared" si="42"/>
        <v>274.55710362891892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364.63511534965755</v>
      </c>
      <c r="T13" s="62">
        <f t="shared" si="34"/>
        <v>233.32640143610541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403.82490501309815</v>
      </c>
      <c r="AO13" s="62">
        <f t="shared" si="36"/>
        <v>256.4377087753457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6.2681724035000874</v>
      </c>
      <c r="BF13" s="14">
        <f t="shared" si="37"/>
        <v>2.3329519459947301</v>
      </c>
      <c r="BG13" s="22">
        <f t="shared" si="7"/>
        <v>14.98029157537014</v>
      </c>
      <c r="BH13" s="62">
        <f t="shared" si="8"/>
        <v>283.86918046425899</v>
      </c>
      <c r="BI13" s="62">
        <f ca="1">AVERAGE(OFFSET($BH$3,0,0,'Données projet'!$E$11+1,1))-AVERAGE(OFFSET($H$3,0,0,'Données projet'!$E$11+1,1))</f>
        <v>387.04070351732537</v>
      </c>
      <c r="BJ13" s="62">
        <f t="shared" si="38"/>
        <v>246.54010105494137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6.6</v>
      </c>
      <c r="BY13" s="13">
        <f>IF('Données projet'!$A$114&gt;35,BY12+BX13-CG12,IF(A13&lt;'Données projet'!$A$114,$BV$205^A13,IF(A13='Données projet'!$A$114,'Données projet'!$B$114,BY12+BX13-CG12)))</f>
        <v>11.489125293076063</v>
      </c>
      <c r="BZ13" s="14">
        <f>BY13*VLOOKUP('Données projet'!$B$12,Paramètres!$A$1:$I$89,3,0)*VLOOKUP('Données projet'!$B$12,Paramètres!$A$1:$I$89,5,0)</f>
        <v>10.036899856031249</v>
      </c>
      <c r="CA13" s="14">
        <f t="shared" si="39"/>
        <v>3.5364332356333024</v>
      </c>
      <c r="CB13" s="22">
        <f t="shared" si="10"/>
        <v>23.640221801315761</v>
      </c>
      <c r="CC13" s="62">
        <f t="shared" si="11"/>
        <v>292.52911069020462</v>
      </c>
      <c r="CD13" s="62">
        <f ca="1">AVERAGE(OFFSET($CC$3,0,0,'Données projet'!$E$12+1,1))-AVERAGE(OFFSET($H$3,0,0,'Données projet'!$E$12+1,1))</f>
        <v>327.62212115491479</v>
      </c>
      <c r="CE13" s="62">
        <f t="shared" si="40"/>
        <v>348.84706693879735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2.4666666666666668</v>
      </c>
      <c r="CT13" s="13">
        <f>IF('Données projet'!$A$140&gt;35,CT12+CS13-DB12,IF(A13&lt;'Données projet'!$A$140,$CQ$205^A13,IF(A13='Données projet'!$A$140,'Données projet'!$B$140,CT12+CS13-DB12)))</f>
        <v>11.103702468586782</v>
      </c>
      <c r="CU13" s="18">
        <f>CT13*VLOOKUP('Données projet'!$B$13,Paramètres!$A$1:$I$89,3,0)*VLOOKUP('Données projet'!$B$13,Paramètres!$A$1:$I$89,5,0)</f>
        <v>8.1412346499678296</v>
      </c>
      <c r="CV13" s="14">
        <f t="shared" si="41"/>
        <v>2.9392598989436851</v>
      </c>
      <c r="CW13" s="22">
        <f t="shared" si="13"/>
        <v>19.298528006020888</v>
      </c>
      <c r="CX13" s="62">
        <f t="shared" si="14"/>
        <v>288.18741689490975</v>
      </c>
      <c r="CY13" s="62">
        <f ca="1">AVERAGE(OFFSET($CX$3,0,0,'Données projet'!$E$13+1,1))-AVERAGE(OFFSET($H$3,0,0,'Données projet'!$E$13+1,1))</f>
        <v>277.97613250285963</v>
      </c>
      <c r="CZ13" s="62">
        <f t="shared" si="42"/>
        <v>274.55710362891892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364.63511534965755</v>
      </c>
      <c r="T14" s="62">
        <f t="shared" si="34"/>
        <v>233.32640143610541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403.82490501309815</v>
      </c>
      <c r="AO14" s="62">
        <f t="shared" si="36"/>
        <v>256.4377087753457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7.5561991843392455</v>
      </c>
      <c r="BF14" s="14">
        <f t="shared" si="37"/>
        <v>2.7518258561310041</v>
      </c>
      <c r="BG14" s="22">
        <f t="shared" si="7"/>
        <v>17.953143612152349</v>
      </c>
      <c r="BH14" s="62">
        <f t="shared" si="8"/>
        <v>288.0642547232635</v>
      </c>
      <c r="BI14" s="62">
        <f ca="1">AVERAGE(OFFSET($BH$3,0,0,'Données projet'!$E$11+1,1))-AVERAGE(OFFSET($H$3,0,0,'Données projet'!$E$11+1,1))</f>
        <v>387.04070351732537</v>
      </c>
      <c r="BJ14" s="62">
        <f t="shared" si="38"/>
        <v>246.54010105494137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6.6</v>
      </c>
      <c r="BY14" s="13">
        <f>IF('Données projet'!$A$114&gt;35,BY13+BX14-CG13,IF(A14&lt;'Données projet'!$A$114,$BV$205^A14,IF(A14='Données projet'!$A$114,'Données projet'!$B$114,BY13+BX14-CG13)))</f>
        <v>14.666134454850974</v>
      </c>
      <c r="BZ14" s="14">
        <f>BY14*VLOOKUP('Données projet'!$B$12,Paramètres!$A$1:$I$89,3,0)*VLOOKUP('Données projet'!$B$12,Paramètres!$A$1:$I$89,5,0)</f>
        <v>12.812335059757812</v>
      </c>
      <c r="CA14" s="14">
        <f t="shared" si="39"/>
        <v>4.3878565375042955</v>
      </c>
      <c r="CB14" s="22">
        <f t="shared" si="10"/>
        <v>29.957000365231504</v>
      </c>
      <c r="CC14" s="62">
        <f t="shared" si="11"/>
        <v>300.06811147634266</v>
      </c>
      <c r="CD14" s="62">
        <f ca="1">AVERAGE(OFFSET($CC$3,0,0,'Données projet'!$E$12+1,1))-AVERAGE(OFFSET($H$3,0,0,'Données projet'!$E$12+1,1))</f>
        <v>327.62212115491479</v>
      </c>
      <c r="CE14" s="62">
        <f t="shared" si="40"/>
        <v>348.84706693879735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2.4666666666666668</v>
      </c>
      <c r="CT14" s="13">
        <f>IF('Données projet'!$A$140&gt;35,CT13+CS14-DB13,IF(A14&lt;'Données projet'!$A$140,$CQ$205^A14,IF(A14='Données projet'!$A$140,'Données projet'!$B$140,CT13+CS14-DB13)))</f>
        <v>14.125850240977657</v>
      </c>
      <c r="CU14" s="18">
        <f>CT14*VLOOKUP('Données projet'!$B$13,Paramètres!$A$1:$I$89,3,0)*VLOOKUP('Données projet'!$B$13,Paramètres!$A$1:$I$89,5,0)</f>
        <v>10.357073396684818</v>
      </c>
      <c r="CV14" s="14">
        <f t="shared" si="41"/>
        <v>3.6359301026893722</v>
      </c>
      <c r="CW14" s="22">
        <f t="shared" si="13"/>
        <v>24.371147761410047</v>
      </c>
      <c r="CX14" s="62">
        <f t="shared" si="14"/>
        <v>294.48225887252119</v>
      </c>
      <c r="CY14" s="62">
        <f ca="1">AVERAGE(OFFSET($CX$3,0,0,'Données projet'!$E$13+1,1))-AVERAGE(OFFSET($H$3,0,0,'Données projet'!$E$13+1,1))</f>
        <v>277.97613250285963</v>
      </c>
      <c r="CZ14" s="62">
        <f t="shared" si="42"/>
        <v>274.55710362891892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364.63511534965755</v>
      </c>
      <c r="T15" s="62">
        <f t="shared" si="34"/>
        <v>233.32640143610541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403.82490501309815</v>
      </c>
      <c r="AO15" s="62">
        <f t="shared" si="36"/>
        <v>256.4377087753457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9.1088984855501316</v>
      </c>
      <c r="BF15" s="14">
        <f t="shared" si="37"/>
        <v>3.2459072101643005</v>
      </c>
      <c r="BG15" s="22">
        <f t="shared" si="7"/>
        <v>21.517953253369303</v>
      </c>
      <c r="BH15" s="62">
        <f t="shared" si="8"/>
        <v>292.8512865867026</v>
      </c>
      <c r="BI15" s="62">
        <f ca="1">AVERAGE(OFFSET($BH$3,0,0,'Données projet'!$E$11+1,1))-AVERAGE(OFFSET($H$3,0,0,'Données projet'!$E$11+1,1))</f>
        <v>387.04070351732537</v>
      </c>
      <c r="BJ15" s="62">
        <f t="shared" si="38"/>
        <v>246.54010105494137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6.6</v>
      </c>
      <c r="BY15" s="13">
        <f>IF('Données projet'!$A$114&gt;35,BY14+BX15-CG14,IF(A15&lt;'Données projet'!$A$114,$BV$205^A15,IF(A15='Données projet'!$A$114,'Données projet'!$B$114,BY14+BX15-CG14)))</f>
        <v>18.721660210059202</v>
      </c>
      <c r="BZ15" s="14">
        <f>BY15*VLOOKUP('Données projet'!$B$12,Paramètres!$A$1:$I$89,3,0)*VLOOKUP('Données projet'!$B$12,Paramètres!$A$1:$I$89,5,0)</f>
        <v>16.35524235950772</v>
      </c>
      <c r="CA15" s="14">
        <f t="shared" si="39"/>
        <v>5.4442664998513175</v>
      </c>
      <c r="CB15" s="22">
        <f t="shared" si="10"/>
        <v>37.967477930050322</v>
      </c>
      <c r="CC15" s="62">
        <f t="shared" si="11"/>
        <v>309.30081126338365</v>
      </c>
      <c r="CD15" s="62">
        <f ca="1">AVERAGE(OFFSET($CC$3,0,0,'Données projet'!$E$12+1,1))-AVERAGE(OFFSET($H$3,0,0,'Données projet'!$E$12+1,1))</f>
        <v>327.62212115491479</v>
      </c>
      <c r="CE15" s="62">
        <f t="shared" si="40"/>
        <v>348.84706693879735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2.4666666666666668</v>
      </c>
      <c r="CT15" s="13">
        <f>IF('Données projet'!$A$140&gt;35,CT14+CS15-DB14,IF(A15&lt;'Données projet'!$A$140,$CQ$205^A15,IF(A15='Données projet'!$A$140,'Données projet'!$B$140,CT14+CS15-DB14)))</f>
        <v>17.970550417308221</v>
      </c>
      <c r="CU15" s="18">
        <f>CT15*VLOOKUP('Données projet'!$B$13,Paramètres!$A$1:$I$89,3,0)*VLOOKUP('Données projet'!$B$13,Paramètres!$A$1:$I$89,5,0)</f>
        <v>13.176007565970389</v>
      </c>
      <c r="CV15" s="14">
        <f t="shared" si="41"/>
        <v>4.4977266952111856</v>
      </c>
      <c r="CW15" s="22">
        <f t="shared" si="13"/>
        <v>30.781753838224574</v>
      </c>
      <c r="CX15" s="62">
        <f t="shared" si="14"/>
        <v>302.11508717155789</v>
      </c>
      <c r="CY15" s="62">
        <f ca="1">AVERAGE(OFFSET($CX$3,0,0,'Données projet'!$E$13+1,1))-AVERAGE(OFFSET($H$3,0,0,'Données projet'!$E$13+1,1))</f>
        <v>277.97613250285963</v>
      </c>
      <c r="CZ15" s="62">
        <f t="shared" si="42"/>
        <v>274.55710362891892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364.63511534965755</v>
      </c>
      <c r="T16" s="62">
        <f t="shared" si="34"/>
        <v>233.32640143610541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403.82490501309815</v>
      </c>
      <c r="AO16" s="62">
        <f t="shared" si="36"/>
        <v>256.4377087753457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10.98065702026792</v>
      </c>
      <c r="BF16" s="14">
        <f t="shared" si="37"/>
        <v>3.8286992592655618</v>
      </c>
      <c r="BG16" s="22">
        <f t="shared" si="7"/>
        <v>25.792962186854144</v>
      </c>
      <c r="BH16" s="62">
        <f t="shared" si="8"/>
        <v>298.34851774240968</v>
      </c>
      <c r="BI16" s="62">
        <f ca="1">AVERAGE(OFFSET($BH$3,0,0,'Données projet'!$E$11+1,1))-AVERAGE(OFFSET($H$3,0,0,'Données projet'!$E$11+1,1))</f>
        <v>387.04070351732537</v>
      </c>
      <c r="BJ16" s="62">
        <f t="shared" si="38"/>
        <v>246.54010105494137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6.6</v>
      </c>
      <c r="BY16" s="13">
        <f>IF('Données projet'!$A$114&gt;35,BY15+BX16-CG15,IF(A16&lt;'Données projet'!$A$114,$BV$205^A16,IF(A16='Données projet'!$A$114,'Données projet'!$B$114,BY15+BX16-CG15)))</f>
        <v>23.89863273788427</v>
      </c>
      <c r="BZ16" s="14">
        <f>BY16*VLOOKUP('Données projet'!$B$12,Paramètres!$A$1:$I$89,3,0)*VLOOKUP('Données projet'!$B$12,Paramètres!$A$1:$I$89,5,0)</f>
        <v>20.8778455598157</v>
      </c>
      <c r="CA16" s="14">
        <f t="shared" si="39"/>
        <v>6.7550152262411558</v>
      </c>
      <c r="CB16" s="22">
        <f t="shared" si="10"/>
        <v>48.127232535715684</v>
      </c>
      <c r="CC16" s="62">
        <f t="shared" si="11"/>
        <v>320.68278809127122</v>
      </c>
      <c r="CD16" s="62">
        <f ca="1">AVERAGE(OFFSET($CC$3,0,0,'Données projet'!$E$12+1,1))-AVERAGE(OFFSET($H$3,0,0,'Données projet'!$E$12+1,1))</f>
        <v>327.62212115491479</v>
      </c>
      <c r="CE16" s="62">
        <f t="shared" si="40"/>
        <v>348.84706693879735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2.4666666666666668</v>
      </c>
      <c r="CT16" s="13">
        <f>IF('Données projet'!$A$140&gt;35,CT15+CS16-DB15,IF(A16&lt;'Données projet'!$A$140,$CQ$205^A16,IF(A16='Données projet'!$A$140,'Données projet'!$B$140,CT15+CS16-DB15)))</f>
        <v>22.86168101684942</v>
      </c>
      <c r="CU16" s="18">
        <f>CT16*VLOOKUP('Données projet'!$B$13,Paramètres!$A$1:$I$89,3,0)*VLOOKUP('Données projet'!$B$13,Paramètres!$A$1:$I$89,5,0)</f>
        <v>16.762184521553994</v>
      </c>
      <c r="CV16" s="14">
        <f t="shared" si="41"/>
        <v>5.5637883164619248</v>
      </c>
      <c r="CW16" s="22">
        <f t="shared" si="13"/>
        <v>38.884402692877721</v>
      </c>
      <c r="CX16" s="62">
        <f t="shared" si="14"/>
        <v>311.43995824843324</v>
      </c>
      <c r="CY16" s="62">
        <f ca="1">AVERAGE(OFFSET($CX$3,0,0,'Données projet'!$E$13+1,1))-AVERAGE(OFFSET($H$3,0,0,'Données projet'!$E$13+1,1))</f>
        <v>277.97613250285963</v>
      </c>
      <c r="CZ16" s="62">
        <f t="shared" si="42"/>
        <v>274.55710362891892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364.63511534965755</v>
      </c>
      <c r="T17" s="62">
        <f t="shared" si="34"/>
        <v>233.32640143610541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403.82490501309815</v>
      </c>
      <c r="AO17" s="62">
        <f t="shared" si="36"/>
        <v>256.4377087753457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13.237037254068934</v>
      </c>
      <c r="BF17" s="14">
        <f t="shared" si="37"/>
        <v>4.5161297192961545</v>
      </c>
      <c r="BG17" s="22">
        <f t="shared" si="7"/>
        <v>30.920099145277529</v>
      </c>
      <c r="BH17" s="62">
        <f t="shared" si="8"/>
        <v>304.69787692305528</v>
      </c>
      <c r="BI17" s="62">
        <f ca="1">AVERAGE(OFFSET($BH$3,0,0,'Données projet'!$E$11+1,1))-AVERAGE(OFFSET($H$3,0,0,'Données projet'!$E$11+1,1))</f>
        <v>387.04070351732537</v>
      </c>
      <c r="BJ17" s="62">
        <f t="shared" si="38"/>
        <v>246.54010105494137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6.6</v>
      </c>
      <c r="BY17" s="13">
        <f>IF('Données projet'!$A$114&gt;35,BY16+BX17-CG16,IF(A17&lt;'Données projet'!$A$114,$BV$205^A17,IF(A17='Données projet'!$A$114,'Données projet'!$B$114,BY16+BX17-CG16)))</f>
        <v>30.50715803683886</v>
      </c>
      <c r="BZ17" s="14">
        <f>BY17*VLOOKUP('Données projet'!$B$12,Paramètres!$A$1:$I$89,3,0)*VLOOKUP('Données projet'!$B$12,Paramètres!$A$1:$I$89,5,0)</f>
        <v>26.651053260982433</v>
      </c>
      <c r="CA17" s="14">
        <f t="shared" si="39"/>
        <v>8.3813367159737684</v>
      </c>
      <c r="CB17" s="22">
        <f t="shared" si="10"/>
        <v>61.014745876532061</v>
      </c>
      <c r="CC17" s="62">
        <f t="shared" si="11"/>
        <v>334.79252365430983</v>
      </c>
      <c r="CD17" s="62">
        <f ca="1">AVERAGE(OFFSET($CC$3,0,0,'Données projet'!$E$12+1,1))-AVERAGE(OFFSET($H$3,0,0,'Données projet'!$E$12+1,1))</f>
        <v>327.62212115491479</v>
      </c>
      <c r="CE17" s="62">
        <f t="shared" si="40"/>
        <v>348.84706693879735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2.4666666666666668</v>
      </c>
      <c r="CT17" s="13">
        <f>IF('Données projet'!$A$140&gt;35,CT16+CS17-DB16,IF(A17&lt;'Données projet'!$A$140,$CQ$205^A17,IF(A17='Données projet'!$A$140,'Données projet'!$B$140,CT16+CS17-DB16)))</f>
        <v>29.084054009429774</v>
      </c>
      <c r="CU17" s="18">
        <f>CT17*VLOOKUP('Données projet'!$B$13,Paramètres!$A$1:$I$89,3,0)*VLOOKUP('Données projet'!$B$13,Paramètres!$A$1:$I$89,5,0)</f>
        <v>21.324428399713909</v>
      </c>
      <c r="CV17" s="14">
        <f t="shared" si="41"/>
        <v>6.8825303376831179</v>
      </c>
      <c r="CW17" s="22">
        <f t="shared" si="13"/>
        <v>49.127119800966483</v>
      </c>
      <c r="CX17" s="62">
        <f t="shared" si="14"/>
        <v>322.90489757874423</v>
      </c>
      <c r="CY17" s="62">
        <f ca="1">AVERAGE(OFFSET($CX$3,0,0,'Données projet'!$E$13+1,1))-AVERAGE(OFFSET($H$3,0,0,'Données projet'!$E$13+1,1))</f>
        <v>277.97613250285963</v>
      </c>
      <c r="CZ17" s="62">
        <f t="shared" si="42"/>
        <v>274.55710362891892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364.63511534965755</v>
      </c>
      <c r="T18" s="62">
        <f t="shared" si="34"/>
        <v>233.32640143610541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403.82490501309815</v>
      </c>
      <c r="AO18" s="62">
        <f t="shared" si="36"/>
        <v>256.4377087753457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15.957073874741019</v>
      </c>
      <c r="BF18" s="14">
        <f t="shared" si="37"/>
        <v>5.3269860755326848</v>
      </c>
      <c r="BG18" s="22">
        <f t="shared" si="7"/>
        <v>37.069737746726702</v>
      </c>
      <c r="BH18" s="62">
        <f t="shared" si="8"/>
        <v>312.06973774672667</v>
      </c>
      <c r="BI18" s="62">
        <f ca="1">AVERAGE(OFFSET($BH$3,0,0,'Données projet'!$E$11+1,1))-AVERAGE(OFFSET($H$3,0,0,'Données projet'!$E$11+1,1))</f>
        <v>387.04070351732537</v>
      </c>
      <c r="BJ18" s="62">
        <f t="shared" si="38"/>
        <v>246.54010105494137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6.6</v>
      </c>
      <c r="BY18" s="13">
        <f>IF('Données projet'!$A$114&gt;35,BY17+BX18-CG17,IF(A18&lt;'Données projet'!$A$114,$BV$205^A18,IF(A18='Données projet'!$A$114,'Données projet'!$B$114,BY17+BX18-CG17)))</f>
        <v>38.943093594192561</v>
      </c>
      <c r="BZ18" s="14">
        <f>BY18*VLOOKUP('Données projet'!$B$12,Paramètres!$A$1:$I$89,3,0)*VLOOKUP('Données projet'!$B$12,Paramètres!$A$1:$I$89,5,0)</f>
        <v>34.02068656388662</v>
      </c>
      <c r="CA18" s="14">
        <f t="shared" si="39"/>
        <v>10.399207521197393</v>
      </c>
      <c r="CB18" s="22">
        <f t="shared" si="10"/>
        <v>77.364648864854644</v>
      </c>
      <c r="CC18" s="62">
        <f t="shared" si="11"/>
        <v>352.36464886485464</v>
      </c>
      <c r="CD18" s="62">
        <f ca="1">AVERAGE(OFFSET($CC$3,0,0,'Données projet'!$E$12+1,1))-AVERAGE(OFFSET($H$3,0,0,'Données projet'!$E$12+1,1))</f>
        <v>327.62212115491479</v>
      </c>
      <c r="CE18" s="62">
        <f t="shared" si="40"/>
        <v>348.84706693879735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</v>
      </c>
      <c r="CR18" s="13">
        <f>VLOOKUP(A18,'Données projet'!$A$139:$I$159,9,0)</f>
        <v>2.4666666666666668</v>
      </c>
      <c r="CS18" s="13">
        <f t="array" ref="CS18">INDEX(CR:CR,MIN(IF(ISNUMBER(CR18:CR214),ROW(CR18:CR214),"")))</f>
        <v>2.4666666666666668</v>
      </c>
      <c r="CT18" s="13">
        <f>IF('Données projet'!$A$140&gt;35,CT17+CS18-DB17,IF(A18&lt;'Données projet'!$A$140,$CQ$205^A18,IF(A18='Données projet'!$A$140,'Données projet'!$B$140,CT17+CS18-DB17)))</f>
        <v>37</v>
      </c>
      <c r="CU18" s="18">
        <f>CT18*VLOOKUP('Données projet'!$B$13,Paramètres!$A$1:$I$89,3,0)*VLOOKUP('Données projet'!$B$13,Paramètres!$A$1:$I$89,5,0)</f>
        <v>27.128400000000003</v>
      </c>
      <c r="CV18" s="14">
        <f t="shared" si="41"/>
        <v>8.5138436537878839</v>
      </c>
      <c r="CW18" s="22">
        <f t="shared" si="13"/>
        <v>62.076907697013901</v>
      </c>
      <c r="CX18" s="62">
        <f t="shared" si="14"/>
        <v>337.07690769701389</v>
      </c>
      <c r="CY18" s="62">
        <f ca="1">AVERAGE(OFFSET($CX$3,0,0,'Données projet'!$E$13+1,1))-AVERAGE(OFFSET($H$3,0,0,'Données projet'!$E$13+1,1))</f>
        <v>277.97613250285963</v>
      </c>
      <c r="CZ18" s="62">
        <f t="shared" si="42"/>
        <v>274.55710362891892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15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364.63511534965755</v>
      </c>
      <c r="T19" s="62">
        <f t="shared" si="34"/>
        <v>233.32640143610541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403.82490501309815</v>
      </c>
      <c r="AO19" s="62">
        <f t="shared" si="36"/>
        <v>256.4377087753457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19.236042156311996</v>
      </c>
      <c r="BF19" s="14">
        <f t="shared" si="37"/>
        <v>6.2834290449348904</v>
      </c>
      <c r="BG19" s="22">
        <f t="shared" si="7"/>
        <v>44.446412342171662</v>
      </c>
      <c r="BH19" s="62">
        <f t="shared" si="8"/>
        <v>320.66863456439387</v>
      </c>
      <c r="BI19" s="62">
        <f ca="1">AVERAGE(OFFSET($BH$3,0,0,'Données projet'!$E$11+1,1))-AVERAGE(OFFSET($H$3,0,0,'Données projet'!$E$11+1,1))</f>
        <v>387.04070351732537</v>
      </c>
      <c r="BJ19" s="62">
        <f t="shared" si="38"/>
        <v>246.54010105494137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6.6</v>
      </c>
      <c r="BY19" s="13">
        <f>IF('Données projet'!$A$114&gt;35,BY18+BX19-CG18,IF(A19&lt;'Données projet'!$A$114,$BV$205^A19,IF(A19='Données projet'!$A$114,'Données projet'!$B$114,BY18+BX19-CG18)))</f>
        <v>49.711760658095955</v>
      </c>
      <c r="BZ19" s="14">
        <f>BY19*VLOOKUP('Données projet'!$B$12,Paramètres!$A$1:$I$89,3,0)*VLOOKUP('Données projet'!$B$12,Paramètres!$A$1:$I$89,5,0)</f>
        <v>43.428194110912635</v>
      </c>
      <c r="CA19" s="14">
        <f t="shared" si="39"/>
        <v>12.902896129065022</v>
      </c>
      <c r="CB19" s="22">
        <f t="shared" si="10"/>
        <v>98.109982167961064</v>
      </c>
      <c r="CC19" s="62">
        <f t="shared" si="11"/>
        <v>374.33220439018328</v>
      </c>
      <c r="CD19" s="62">
        <f ca="1">AVERAGE(OFFSET($CC$3,0,0,'Données projet'!$E$12+1,1))-AVERAGE(OFFSET($H$3,0,0,'Données projet'!$E$12+1,1))</f>
        <v>327.62212115491479</v>
      </c>
      <c r="CE19" s="62">
        <f t="shared" si="40"/>
        <v>348.84706693879735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</v>
      </c>
      <c r="CT19" s="13">
        <f>IF('Données projet'!$A$140&gt;35,CT18+CS19-DB18,IF(A19&lt;'Données projet'!$A$140,$CQ$205^A19,IF(A19='Données projet'!$A$140,'Données projet'!$B$140,CT18+CS19-DB18)))</f>
        <v>33.6</v>
      </c>
      <c r="CU19" s="18">
        <f>CT19*VLOOKUP('Données projet'!$B$13,Paramètres!$A$1:$I$89,3,0)*VLOOKUP('Données projet'!$B$13,Paramètres!$A$1:$I$89,5,0)</f>
        <v>24.63552</v>
      </c>
      <c r="CV19" s="14">
        <f t="shared" si="41"/>
        <v>7.8187263384607988</v>
      </c>
      <c r="CW19" s="22">
        <f t="shared" si="13"/>
        <v>56.52447903948589</v>
      </c>
      <c r="CX19" s="62">
        <f t="shared" si="14"/>
        <v>332.7467012617081</v>
      </c>
      <c r="CY19" s="62">
        <f ca="1">AVERAGE(OFFSET($CX$3,0,0,'Données projet'!$E$13+1,1))-AVERAGE(OFFSET($H$3,0,0,'Données projet'!$E$13+1,1))</f>
        <v>277.97613250285963</v>
      </c>
      <c r="CZ19" s="62">
        <f t="shared" si="42"/>
        <v>274.55710362891892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364.63511534965755</v>
      </c>
      <c r="T20" s="62">
        <f t="shared" si="34"/>
        <v>233.32640143610541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403.82490501309815</v>
      </c>
      <c r="AO20" s="62">
        <f t="shared" si="36"/>
        <v>256.4377087753457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23.188795185384055</v>
      </c>
      <c r="BF20" s="14">
        <f t="shared" si="37"/>
        <v>7.4115982288884323</v>
      </c>
      <c r="BG20" s="22">
        <f t="shared" si="7"/>
        <v>53.29568519652458</v>
      </c>
      <c r="BH20" s="62">
        <f t="shared" si="8"/>
        <v>330.74012964096903</v>
      </c>
      <c r="BI20" s="62">
        <f ca="1">AVERAGE(OFFSET($BH$3,0,0,'Données projet'!$E$11+1,1))-AVERAGE(OFFSET($H$3,0,0,'Données projet'!$E$11+1,1))</f>
        <v>387.04070351732537</v>
      </c>
      <c r="BJ20" s="62">
        <f t="shared" si="38"/>
        <v>246.54010105494137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6.6</v>
      </c>
      <c r="BY20" s="13">
        <f>IF('Données projet'!$A$114&gt;35,BY19+BX20-CG19,IF(A20&lt;'Données projet'!$A$114,$BV$205^A20,IF(A20='Données projet'!$A$114,'Données projet'!$B$114,BY19+BX20-CG19)))</f>
        <v>63.458213501978861</v>
      </c>
      <c r="BZ20" s="14">
        <f>BY20*VLOOKUP('Données projet'!$B$12,Paramètres!$A$1:$I$89,3,0)*VLOOKUP('Données projet'!$B$12,Paramètres!$A$1:$I$89,5,0)</f>
        <v>55.437095315328747</v>
      </c>
      <c r="CA20" s="14">
        <f t="shared" si="39"/>
        <v>16.009366884744278</v>
      </c>
      <c r="CB20" s="22">
        <f t="shared" si="10"/>
        <v>124.4359216651272</v>
      </c>
      <c r="CC20" s="62">
        <f t="shared" si="11"/>
        <v>401.88036610957164</v>
      </c>
      <c r="CD20" s="62">
        <f ca="1">AVERAGE(OFFSET($CC$3,0,0,'Données projet'!$E$12+1,1))-AVERAGE(OFFSET($H$3,0,0,'Données projet'!$E$12+1,1))</f>
        <v>327.62212115491479</v>
      </c>
      <c r="CE20" s="62">
        <f t="shared" si="40"/>
        <v>348.84706693879735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</v>
      </c>
      <c r="CT20" s="13">
        <f>IF('Données projet'!$A$140&gt;35,CT19+CS20-DB19,IF(A20&lt;'Données projet'!$A$140,$CQ$205^A20,IF(A20='Données projet'!$A$140,'Données projet'!$B$140,CT19+CS20-DB19)))</f>
        <v>45.2</v>
      </c>
      <c r="CU20" s="18">
        <f>CT20*VLOOKUP('Données projet'!$B$13,Paramètres!$A$1:$I$89,3,0)*VLOOKUP('Données projet'!$B$13,Paramètres!$A$1:$I$89,5,0)</f>
        <v>33.140639999999998</v>
      </c>
      <c r="CV20" s="14">
        <f t="shared" si="41"/>
        <v>10.161152005886803</v>
      </c>
      <c r="CW20" s="22">
        <f t="shared" si="13"/>
        <v>75.417287743586172</v>
      </c>
      <c r="CX20" s="62">
        <f t="shared" si="14"/>
        <v>352.8617321880306</v>
      </c>
      <c r="CY20" s="62">
        <f ca="1">AVERAGE(OFFSET($CX$3,0,0,'Données projet'!$E$13+1,1))-AVERAGE(OFFSET($H$3,0,0,'Données projet'!$E$13+1,1))</f>
        <v>277.97613250285963</v>
      </c>
      <c r="CZ20" s="62">
        <f t="shared" si="42"/>
        <v>274.55710362891892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364.63511534965755</v>
      </c>
      <c r="T21" s="62">
        <f t="shared" si="34"/>
        <v>233.32640143610541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403.82490501309815</v>
      </c>
      <c r="AO21" s="62">
        <f t="shared" si="36"/>
        <v>256.4377087753457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27.953786843477392</v>
      </c>
      <c r="BF21" s="14">
        <f t="shared" si="37"/>
        <v>8.7423265089215931</v>
      </c>
      <c r="BG21" s="22">
        <f t="shared" si="7"/>
        <v>63.912397422094891</v>
      </c>
      <c r="BH21" s="62">
        <f t="shared" si="8"/>
        <v>342.57906408876158</v>
      </c>
      <c r="BI21" s="62">
        <f ca="1">AVERAGE(OFFSET($BH$3,0,0,'Données projet'!$E$11+1,1))-AVERAGE(OFFSET($H$3,0,0,'Données projet'!$E$11+1,1))</f>
        <v>387.04070351732537</v>
      </c>
      <c r="BJ21" s="62">
        <f t="shared" si="38"/>
        <v>246.54010105494137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6.6</v>
      </c>
      <c r="BY21" s="13">
        <f>IF('Données projet'!$A$114&gt;35,BY20+BX21-CG20,IF(A21&lt;'Données projet'!$A$114,$BV$205^A21,IF(A21='Données projet'!$A$114,'Données projet'!$B$114,BY20+BX21-CG20)))</f>
        <v>81.005878841406769</v>
      </c>
      <c r="BZ21" s="14">
        <f>BY21*VLOOKUP('Données projet'!$B$12,Paramètres!$A$1:$I$89,3,0)*VLOOKUP('Données projet'!$B$12,Paramètres!$A$1:$I$89,5,0)</f>
        <v>70.766735755852963</v>
      </c>
      <c r="CA21" s="14">
        <f t="shared" si="39"/>
        <v>19.863744192515547</v>
      </c>
      <c r="CB21" s="22">
        <f t="shared" si="10"/>
        <v>157.84808591007513</v>
      </c>
      <c r="CC21" s="62">
        <f t="shared" si="11"/>
        <v>436.51475257674178</v>
      </c>
      <c r="CD21" s="62">
        <f ca="1">AVERAGE(OFFSET($CC$3,0,0,'Données projet'!$E$12+1,1))-AVERAGE(OFFSET($H$3,0,0,'Données projet'!$E$12+1,1))</f>
        <v>327.62212115491479</v>
      </c>
      <c r="CE21" s="62">
        <f t="shared" si="40"/>
        <v>348.84706693879735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11.6</v>
      </c>
      <c r="CT21" s="13">
        <f>IF('Données projet'!$A$140&gt;35,CT20+CS21-DB20,IF(A21&lt;'Données projet'!$A$140,$CQ$205^A21,IF(A21='Données projet'!$A$140,'Données projet'!$B$140,CT20+CS21-DB20)))</f>
        <v>56.800000000000004</v>
      </c>
      <c r="CU21" s="18">
        <f>CT21*VLOOKUP('Données projet'!$B$13,Paramètres!$A$1:$I$89,3,0)*VLOOKUP('Données projet'!$B$13,Paramètres!$A$1:$I$89,5,0)</f>
        <v>41.645760000000003</v>
      </c>
      <c r="CV21" s="14">
        <f t="shared" si="41"/>
        <v>12.433826892120967</v>
      </c>
      <c r="CW21" s="22">
        <f t="shared" si="13"/>
        <v>94.18861383711068</v>
      </c>
      <c r="CX21" s="62">
        <f t="shared" si="14"/>
        <v>372.85528050377735</v>
      </c>
      <c r="CY21" s="62">
        <f ca="1">AVERAGE(OFFSET($CX$3,0,0,'Données projet'!$E$13+1,1))-AVERAGE(OFFSET($H$3,0,0,'Données projet'!$E$13+1,1))</f>
        <v>277.97613250285963</v>
      </c>
      <c r="CZ21" s="62">
        <f t="shared" si="42"/>
        <v>274.55710362891892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364.63511534965755</v>
      </c>
      <c r="T22" s="62">
        <f t="shared" si="34"/>
        <v>233.32640143610541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403.82490501309815</v>
      </c>
      <c r="AO22" s="62">
        <f t="shared" si="36"/>
        <v>256.4377087753457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33.697921459200977</v>
      </c>
      <c r="BF22" s="14">
        <f t="shared" si="37"/>
        <v>10.31198270984201</v>
      </c>
      <c r="BG22" s="22">
        <f t="shared" si="7"/>
        <v>76.650583094416518</v>
      </c>
      <c r="BH22" s="62">
        <f t="shared" si="8"/>
        <v>356.53947198330536</v>
      </c>
      <c r="BI22" s="62">
        <f ca="1">AVERAGE(OFFSET($BH$3,0,0,'Données projet'!$E$11+1,1))-AVERAGE(OFFSET($H$3,0,0,'Données projet'!$E$11+1,1))</f>
        <v>387.04070351732537</v>
      </c>
      <c r="BJ22" s="62">
        <f t="shared" si="38"/>
        <v>246.54010105494137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6.6</v>
      </c>
      <c r="BY22" s="13">
        <f>IF('Données projet'!$A$114&gt;35,BY21+BX22-CG21,IF(A22&lt;'Données projet'!$A$114,$BV$205^A22,IF(A22='Données projet'!$A$114,'Données projet'!$B$114,BY21+BX22-CG21)))</f>
        <v>103.40587994435182</v>
      </c>
      <c r="BZ22" s="14">
        <f>BY22*VLOOKUP('Données projet'!$B$12,Paramètres!$A$1:$I$89,3,0)*VLOOKUP('Données projet'!$B$12,Paramètres!$A$1:$I$89,5,0)</f>
        <v>90.335376719385764</v>
      </c>
      <c r="CA22" s="14">
        <f t="shared" si="39"/>
        <v>24.646092265003244</v>
      </c>
      <c r="CB22" s="22">
        <f t="shared" si="10"/>
        <v>200.25939181447754</v>
      </c>
      <c r="CC22" s="62">
        <f t="shared" si="11"/>
        <v>480.14828070336637</v>
      </c>
      <c r="CD22" s="62">
        <f ca="1">AVERAGE(OFFSET($CC$3,0,0,'Données projet'!$E$12+1,1))-AVERAGE(OFFSET($H$3,0,0,'Données projet'!$E$12+1,1))</f>
        <v>327.62212115491479</v>
      </c>
      <c r="CE22" s="62">
        <f t="shared" si="40"/>
        <v>348.84706693879735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11.6</v>
      </c>
      <c r="CT22" s="13">
        <f>IF('Données projet'!$A$140&gt;35,CT21+CS22-DB21,IF(A22&lt;'Données projet'!$A$140,$CQ$205^A22,IF(A22='Données projet'!$A$140,'Données projet'!$B$140,CT21+CS22-DB21)))</f>
        <v>68.400000000000006</v>
      </c>
      <c r="CU22" s="18">
        <f>CT22*VLOOKUP('Données projet'!$B$13,Paramètres!$A$1:$I$89,3,0)*VLOOKUP('Données projet'!$B$13,Paramètres!$A$1:$I$89,5,0)</f>
        <v>50.150880000000008</v>
      </c>
      <c r="CV22" s="14">
        <f t="shared" si="41"/>
        <v>14.652718245804536</v>
      </c>
      <c r="CW22" s="22">
        <f t="shared" si="13"/>
        <v>112.86626694477626</v>
      </c>
      <c r="CX22" s="62">
        <f t="shared" si="14"/>
        <v>392.75515583366513</v>
      </c>
      <c r="CY22" s="62">
        <f ca="1">AVERAGE(OFFSET($CX$3,0,0,'Données projet'!$E$13+1,1))-AVERAGE(OFFSET($H$3,0,0,'Données projet'!$E$13+1,1))</f>
        <v>277.97613250285963</v>
      </c>
      <c r="CZ22" s="62">
        <f t="shared" si="42"/>
        <v>274.55710362891892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364.63511534965755</v>
      </c>
      <c r="T23" s="62">
        <f t="shared" si="34"/>
        <v>233.32640143610541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403.82490501309815</v>
      </c>
      <c r="AO23" s="62">
        <f t="shared" si="36"/>
        <v>256.4377087753457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40.622399999999999</v>
      </c>
      <c r="BF23" s="14">
        <f t="shared" si="37"/>
        <v>12.163465560290264</v>
      </c>
      <c r="BG23" s="22">
        <f t="shared" si="7"/>
        <v>91.935382517505545</v>
      </c>
      <c r="BH23" s="62">
        <f t="shared" si="8"/>
        <v>373.0464936286167</v>
      </c>
      <c r="BI23" s="62">
        <f ca="1">AVERAGE(OFFSET($BH$3,0,0,'Données projet'!$E$11+1,1))-AVERAGE(OFFSET($H$3,0,0,'Données projet'!$E$11+1,1))</f>
        <v>387.04070351732537</v>
      </c>
      <c r="BJ23" s="62">
        <f t="shared" si="38"/>
        <v>246.54010105494137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132</v>
      </c>
      <c r="BW23" s="13">
        <f>VLOOKUP(A23,'Données projet'!$A$113:$I$133,9,0)</f>
        <v>6.6</v>
      </c>
      <c r="BX23" s="13">
        <f t="array" ref="BX23">INDEX(BW:BW,MIN(IF(ISNUMBER(BW23:BW219),ROW(BW23:BW219),"")))</f>
        <v>6.6</v>
      </c>
      <c r="BY23" s="13">
        <f>IF('Données projet'!$A$114&gt;35,BY22+BX23-CG22,IF(A23&lt;'Données projet'!$A$114,$BV$205^A23,IF(A23='Données projet'!$A$114,'Données projet'!$B$114,BY22+BX23-CG22)))</f>
        <v>132</v>
      </c>
      <c r="BZ23" s="14">
        <f>BY23*VLOOKUP('Données projet'!$B$12,Paramètres!$A$1:$I$89,3,0)*VLOOKUP('Données projet'!$B$12,Paramètres!$A$1:$I$89,5,0)</f>
        <v>115.3152</v>
      </c>
      <c r="CA23" s="14">
        <f t="shared" si="39"/>
        <v>30.579827148797317</v>
      </c>
      <c r="CB23" s="22">
        <f t="shared" si="10"/>
        <v>254.10050561748861</v>
      </c>
      <c r="CC23" s="62">
        <f t="shared" si="11"/>
        <v>535.21161672859978</v>
      </c>
      <c r="CD23" s="62">
        <f ca="1">AVERAGE(OFFSET($CC$3,0,0,'Données projet'!$E$12+1,1))-AVERAGE(OFFSET($H$3,0,0,'Données projet'!$E$12+1,1))</f>
        <v>327.62212115491479</v>
      </c>
      <c r="CE23" s="62">
        <f t="shared" si="40"/>
        <v>348.84706693879735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50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80</v>
      </c>
      <c r="CR23" s="13">
        <f>VLOOKUP(A23,'Données projet'!$A$139:$I$159,9,0)</f>
        <v>11.6</v>
      </c>
      <c r="CS23" s="13">
        <f t="array" ref="CS23">INDEX(CR:CR,MIN(IF(ISNUMBER(CR23:CR219),ROW(CR23:CR219),"")))</f>
        <v>11.6</v>
      </c>
      <c r="CT23" s="13">
        <f>IF('Données projet'!$A$140&gt;35,CT22+CS23-DB22,IF(A23&lt;'Données projet'!$A$140,$CQ$205^A23,IF(A23='Données projet'!$A$140,'Données projet'!$B$140,CT22+CS23-DB22)))</f>
        <v>80</v>
      </c>
      <c r="CU23" s="18">
        <f>CT23*VLOOKUP('Données projet'!$B$13,Paramètres!$A$1:$I$89,3,0)*VLOOKUP('Données projet'!$B$13,Paramètres!$A$1:$I$89,5,0)</f>
        <v>58.655999999999992</v>
      </c>
      <c r="CV23" s="14">
        <f t="shared" si="41"/>
        <v>16.828016909929062</v>
      </c>
      <c r="CW23" s="22">
        <f t="shared" si="13"/>
        <v>131.46799611812642</v>
      </c>
      <c r="CX23" s="62">
        <f t="shared" si="14"/>
        <v>412.57910722923759</v>
      </c>
      <c r="CY23" s="62">
        <f ca="1">AVERAGE(OFFSET($CX$3,0,0,'Données projet'!$E$13+1,1))-AVERAGE(OFFSET($H$3,0,0,'Données projet'!$E$13+1,1))</f>
        <v>277.97613250285963</v>
      </c>
      <c r="CZ23" s="62">
        <f t="shared" si="42"/>
        <v>274.55710362891892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5.8</v>
      </c>
      <c r="N24" s="14">
        <f>IF('Données projet'!$A$36&gt;35,N23+M24-V23,IF(A24&lt;'Données projet'!$A$36,$K$205^A24,IF(A24='Données projet'!$A$36,'Données projet'!$B$36,N23+M24-V23)))</f>
        <v>47.8</v>
      </c>
      <c r="O24" s="14">
        <f>N24*VLOOKUP('Données projet'!$B$9,Paramètres!$A$1:$I$89,3,0)*VLOOKUP('Données projet'!$B$9,Paramètres!$A$1:$I$89,5,0)</f>
        <v>43.249439999999993</v>
      </c>
      <c r="P24" s="14">
        <f t="shared" si="33"/>
        <v>12.85595739620004</v>
      </c>
      <c r="Q24" s="22">
        <f t="shared" si="2"/>
        <v>97.716900465048397</v>
      </c>
      <c r="R24" s="62">
        <f t="shared" si="0"/>
        <v>380.05023379838173</v>
      </c>
      <c r="S24" s="62">
        <f ca="1">AVERAGE(OFFSET($R$3,0,0,'Données projet'!$E$9+1,1))-AVERAGE(OFFSET($H$3,0,0,'Données projet'!$E$9+1,1))</f>
        <v>364.63511534965755</v>
      </c>
      <c r="T24" s="62">
        <f t="shared" si="34"/>
        <v>233.32640143610541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5.8</v>
      </c>
      <c r="AI24" s="14">
        <f>IF('Données projet'!$A$62&gt;35,AI23+AH24-AQ23,IF(A24&lt;'Données projet'!$A$62,$AF$205^A24,IF(A24='Données projet'!$A$62,'Données projet'!$B$62,AI23+AH24-AQ23)))</f>
        <v>47.8</v>
      </c>
      <c r="AJ24" s="14">
        <f>AI24*VLOOKUP('Données projet'!$B$10,Paramètres!$A$1:$I$89,3,0)*VLOOKUP('Données projet'!$B$10,Paramètres!$A$1:$I$89,5,0)</f>
        <v>48.469200000000001</v>
      </c>
      <c r="AK24" s="14">
        <f t="shared" si="35"/>
        <v>14.217711300184344</v>
      </c>
      <c r="AL24" s="22">
        <f t="shared" si="4"/>
        <v>109.17970384782107</v>
      </c>
      <c r="AM24" s="62">
        <f t="shared" si="5"/>
        <v>391.5130371811544</v>
      </c>
      <c r="AN24" s="62">
        <f ca="1">AVERAGE(OFFSET($AM$3,0,0,'Données projet'!$E$10+1,1))-AVERAGE(OFFSET($H$3,0,0,'Données projet'!$E$10+1,1))</f>
        <v>403.82490501309815</v>
      </c>
      <c r="AO24" s="62">
        <f t="shared" si="36"/>
        <v>256.4377087753457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5.8</v>
      </c>
      <c r="BD24" s="13">
        <f>IF('Données projet'!$A$88&gt;35,BD23+BC24-BL23,IF(A24&lt;'Données projet'!$A$88,$BA$205^A24,IF(A24='Données projet'!$A$88,'Données projet'!$B$88,BD23+BC24-BL23)))</f>
        <v>47.8</v>
      </c>
      <c r="BE24" s="14">
        <f>BD24*VLOOKUP('Données projet'!$B$11,Paramètres!$A$1:$I$89,3,0)*VLOOKUP('Données projet'!$B$11,Paramètres!$A$1:$I$89,5,0)</f>
        <v>46.23216</v>
      </c>
      <c r="BF24" s="14">
        <f t="shared" si="37"/>
        <v>13.636306250785369</v>
      </c>
      <c r="BG24" s="22">
        <f t="shared" si="7"/>
        <v>104.27091205345118</v>
      </c>
      <c r="BH24" s="62">
        <f t="shared" si="8"/>
        <v>386.6042453867845</v>
      </c>
      <c r="BI24" s="62">
        <f ca="1">AVERAGE(OFFSET($BH$3,0,0,'Données projet'!$E$11+1,1))-AVERAGE(OFFSET($H$3,0,0,'Données projet'!$E$11+1,1))</f>
        <v>387.04070351732537</v>
      </c>
      <c r="BJ24" s="62">
        <f t="shared" si="38"/>
        <v>246.54010105494137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12.2</v>
      </c>
      <c r="BY24" s="13">
        <f>IF('Données projet'!$A$114&gt;35,BY23+BX24-CG23,IF(A24&lt;'Données projet'!$A$114,$BV$205^A24,IF(A24='Données projet'!$A$114,'Données projet'!$B$114,BY23+BX24-CG23)))</f>
        <v>94.199999999999989</v>
      </c>
      <c r="BZ24" s="14">
        <f>BY24*VLOOKUP('Données projet'!$B$12,Paramètres!$A$1:$I$89,3,0)*VLOOKUP('Données projet'!$B$12,Paramètres!$A$1:$I$89,5,0)</f>
        <v>82.293120000000002</v>
      </c>
      <c r="CA24" s="14">
        <f t="shared" si="39"/>
        <v>22.696938367376966</v>
      </c>
      <c r="CB24" s="22">
        <f t="shared" si="10"/>
        <v>182.85768498984825</v>
      </c>
      <c r="CC24" s="62">
        <f t="shared" si="11"/>
        <v>465.19101832318154</v>
      </c>
      <c r="CD24" s="62">
        <f ca="1">AVERAGE(OFFSET($CC$3,0,0,'Données projet'!$E$12+1,1))-AVERAGE(OFFSET($H$3,0,0,'Données projet'!$E$12+1,1))</f>
        <v>327.62212115491479</v>
      </c>
      <c r="CE24" s="62">
        <f t="shared" si="40"/>
        <v>348.84706693879735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12.6</v>
      </c>
      <c r="CT24" s="13">
        <f>IF('Données projet'!$A$140&gt;35,CT23+CS24-DB23,IF(A24&lt;'Données projet'!$A$140,$CQ$205^A24,IF(A24='Données projet'!$A$140,'Données projet'!$B$140,CT23+CS24-DB23)))</f>
        <v>64.599999999999994</v>
      </c>
      <c r="CU24" s="18">
        <f>CT24*VLOOKUP('Données projet'!$B$13,Paramètres!$A$1:$I$89,3,0)*VLOOKUP('Données projet'!$B$13,Paramètres!$A$1:$I$89,5,0)</f>
        <v>47.364719999999991</v>
      </c>
      <c r="CV24" s="14">
        <f t="shared" si="41"/>
        <v>13.931057351916726</v>
      </c>
      <c r="CW24" s="22">
        <f t="shared" si="13"/>
        <v>106.75681222125495</v>
      </c>
      <c r="CX24" s="62">
        <f t="shared" si="14"/>
        <v>389.09014555458828</v>
      </c>
      <c r="CY24" s="62">
        <f ca="1">AVERAGE(OFFSET($CX$3,0,0,'Données projet'!$E$13+1,1))-AVERAGE(OFFSET($H$3,0,0,'Données projet'!$E$13+1,1))</f>
        <v>277.97613250285963</v>
      </c>
      <c r="CZ24" s="62">
        <f t="shared" si="42"/>
        <v>274.55710362891892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5.8</v>
      </c>
      <c r="N25" s="14">
        <f>IF('Données projet'!$A$36&gt;35,N24+M25-V24,IF(A25&lt;'Données projet'!$A$36,$K$205^A25,IF(A25='Données projet'!$A$36,'Données projet'!$B$36,N24+M25-V24)))</f>
        <v>53.599999999999994</v>
      </c>
      <c r="O25" s="14">
        <f>N25*VLOOKUP('Données projet'!$B$9,Paramètres!$A$1:$I$89,3,0)*VLOOKUP('Données projet'!$B$9,Paramètres!$A$1:$I$89,5,0)</f>
        <v>48.497279999999989</v>
      </c>
      <c r="P25" s="14">
        <f t="shared" si="33"/>
        <v>14.224989131913244</v>
      </c>
      <c r="Q25" s="22">
        <f t="shared" si="2"/>
        <v>109.24128540474889</v>
      </c>
      <c r="R25" s="62">
        <f t="shared" si="0"/>
        <v>392.79684096030445</v>
      </c>
      <c r="S25" s="62">
        <f ca="1">AVERAGE(OFFSET($R$3,0,0,'Données projet'!$E$9+1,1))-AVERAGE(OFFSET($H$3,0,0,'Données projet'!$E$9+1,1))</f>
        <v>364.63511534965755</v>
      </c>
      <c r="T25" s="62">
        <f t="shared" si="34"/>
        <v>233.32640143610541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5.8</v>
      </c>
      <c r="AI25" s="14">
        <f>IF('Données projet'!$A$62&gt;35,AI24+AH25-AQ24,IF(A25&lt;'Données projet'!$A$62,$AF$205^A25,IF(A25='Données projet'!$A$62,'Données projet'!$B$62,AI24+AH25-AQ24)))</f>
        <v>53.599999999999994</v>
      </c>
      <c r="AJ25" s="14">
        <f>AI25*VLOOKUP('Données projet'!$B$10,Paramètres!$A$1:$I$89,3,0)*VLOOKUP('Données projet'!$B$10,Paramètres!$A$1:$I$89,5,0)</f>
        <v>54.350399999999993</v>
      </c>
      <c r="AK25" s="14">
        <f t="shared" si="35"/>
        <v>15.731756297324257</v>
      </c>
      <c r="AL25" s="22">
        <f t="shared" si="4"/>
        <v>122.05975555117305</v>
      </c>
      <c r="AM25" s="62">
        <f t="shared" si="5"/>
        <v>405.6153111067286</v>
      </c>
      <c r="AN25" s="62">
        <f ca="1">AVERAGE(OFFSET($AM$3,0,0,'Données projet'!$E$10+1,1))-AVERAGE(OFFSET($H$3,0,0,'Données projet'!$E$10+1,1))</f>
        <v>403.82490501309815</v>
      </c>
      <c r="AO25" s="62">
        <f t="shared" si="36"/>
        <v>256.4377087753457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5.8</v>
      </c>
      <c r="BD25" s="13">
        <f>IF('Données projet'!$A$88&gt;35,BD24+BC25-BL24,IF(A25&lt;'Données projet'!$A$88,$BA$205^A25,IF(A25='Données projet'!$A$88,'Données projet'!$B$88,BD24+BC25-BL24)))</f>
        <v>53.599999999999994</v>
      </c>
      <c r="BE25" s="14">
        <f>BD25*VLOOKUP('Données projet'!$B$11,Paramètres!$A$1:$I$89,3,0)*VLOOKUP('Données projet'!$B$11,Paramètres!$A$1:$I$89,5,0)</f>
        <v>51.841920000000002</v>
      </c>
      <c r="BF25" s="14">
        <f t="shared" si="37"/>
        <v>15.08843738656118</v>
      </c>
      <c r="BG25" s="22">
        <f t="shared" si="7"/>
        <v>116.57037244826073</v>
      </c>
      <c r="BH25" s="62">
        <f t="shared" si="8"/>
        <v>400.12592800381628</v>
      </c>
      <c r="BI25" s="62">
        <f ca="1">AVERAGE(OFFSET($BH$3,0,0,'Données projet'!$E$11+1,1))-AVERAGE(OFFSET($H$3,0,0,'Données projet'!$E$11+1,1))</f>
        <v>387.04070351732537</v>
      </c>
      <c r="BJ25" s="62">
        <f t="shared" si="38"/>
        <v>246.54010105494137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12.2</v>
      </c>
      <c r="BY25" s="13">
        <f>IF('Données projet'!$A$114&gt;35,BY24+BX25-CG24,IF(A25&lt;'Données projet'!$A$114,$BV$205^A25,IF(A25='Données projet'!$A$114,'Données projet'!$B$114,BY24+BX25-CG24)))</f>
        <v>106.39999999999999</v>
      </c>
      <c r="BZ25" s="14">
        <f>BY25*VLOOKUP('Données projet'!$B$12,Paramètres!$A$1:$I$89,3,0)*VLOOKUP('Données projet'!$B$12,Paramètres!$A$1:$I$89,5,0)</f>
        <v>92.951040000000006</v>
      </c>
      <c r="CA25" s="14">
        <f t="shared" si="39"/>
        <v>25.275602869272223</v>
      </c>
      <c r="CB25" s="22">
        <f t="shared" si="10"/>
        <v>205.9114029973158</v>
      </c>
      <c r="CC25" s="62">
        <f t="shared" si="11"/>
        <v>489.46695855287135</v>
      </c>
      <c r="CD25" s="62">
        <f ca="1">AVERAGE(OFFSET($CC$3,0,0,'Données projet'!$E$12+1,1))-AVERAGE(OFFSET($H$3,0,0,'Données projet'!$E$12+1,1))</f>
        <v>327.62212115491479</v>
      </c>
      <c r="CE25" s="62">
        <f t="shared" si="40"/>
        <v>348.84706693879735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12.6</v>
      </c>
      <c r="CT25" s="13">
        <f>IF('Données projet'!$A$140&gt;35,CT24+CS25-DB24,IF(A25&lt;'Données projet'!$A$140,$CQ$205^A25,IF(A25='Données projet'!$A$140,'Données projet'!$B$140,CT24+CS25-DB24)))</f>
        <v>77.199999999999989</v>
      </c>
      <c r="CU25" s="18">
        <f>CT25*VLOOKUP('Données projet'!$B$13,Paramètres!$A$1:$I$89,3,0)*VLOOKUP('Données projet'!$B$13,Paramètres!$A$1:$I$89,5,0)</f>
        <v>56.603039999999986</v>
      </c>
      <c r="CV25" s="14">
        <f t="shared" si="41"/>
        <v>16.306519487923971</v>
      </c>
      <c r="CW25" s="22">
        <f t="shared" si="13"/>
        <v>126.98414944146755</v>
      </c>
      <c r="CX25" s="62">
        <f t="shared" si="14"/>
        <v>410.53970499702308</v>
      </c>
      <c r="CY25" s="62">
        <f ca="1">AVERAGE(OFFSET($CX$3,0,0,'Données projet'!$E$13+1,1))-AVERAGE(OFFSET($H$3,0,0,'Données projet'!$E$13+1,1))</f>
        <v>277.97613250285963</v>
      </c>
      <c r="CZ25" s="62">
        <f t="shared" si="42"/>
        <v>274.55710362891892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5.8</v>
      </c>
      <c r="N26" s="14">
        <f>IF('Données projet'!$A$36&gt;35,N25+M26-V25,IF(A26&lt;'Données projet'!$A$36,$K$205^A26,IF(A26='Données projet'!$A$36,'Données projet'!$B$36,N25+M26-V25)))</f>
        <v>59.399999999999991</v>
      </c>
      <c r="O26" s="14">
        <f>N26*VLOOKUP('Données projet'!$B$9,Paramètres!$A$1:$I$89,3,0)*VLOOKUP('Données projet'!$B$9,Paramètres!$A$1:$I$89,5,0)</f>
        <v>53.745119999999986</v>
      </c>
      <c r="P26" s="14">
        <f t="shared" si="33"/>
        <v>15.576850002330584</v>
      </c>
      <c r="Q26" s="22">
        <f t="shared" si="2"/>
        <v>120.73576442072574</v>
      </c>
      <c r="R26" s="62">
        <f t="shared" si="0"/>
        <v>405.5135421985035</v>
      </c>
      <c r="S26" s="62">
        <f ca="1">AVERAGE(OFFSET($R$3,0,0,'Données projet'!$E$9+1,1))-AVERAGE(OFFSET($H$3,0,0,'Données projet'!$E$9+1,1))</f>
        <v>364.63511534965755</v>
      </c>
      <c r="T26" s="62">
        <f t="shared" si="34"/>
        <v>233.32640143610541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5.8</v>
      </c>
      <c r="AI26" s="14">
        <f>IF('Données projet'!$A$62&gt;35,AI25+AH26-AQ25,IF(A26&lt;'Données projet'!$A$62,$AF$205^A26,IF(A26='Données projet'!$A$62,'Données projet'!$B$62,AI25+AH26-AQ25)))</f>
        <v>59.399999999999991</v>
      </c>
      <c r="AJ26" s="14">
        <f>AI26*VLOOKUP('Données projet'!$B$10,Paramètres!$A$1:$I$89,3,0)*VLOOKUP('Données projet'!$B$10,Paramètres!$A$1:$I$89,5,0)</f>
        <v>60.231599999999993</v>
      </c>
      <c r="AK26" s="14">
        <f t="shared" si="35"/>
        <v>17.226811623136925</v>
      </c>
      <c r="AL26" s="22">
        <f t="shared" si="4"/>
        <v>134.90673357696349</v>
      </c>
      <c r="AM26" s="62">
        <f t="shared" si="5"/>
        <v>419.68451135474129</v>
      </c>
      <c r="AN26" s="62">
        <f ca="1">AVERAGE(OFFSET($AM$3,0,0,'Données projet'!$E$10+1,1))-AVERAGE(OFFSET($H$3,0,0,'Données projet'!$E$10+1,1))</f>
        <v>403.82490501309815</v>
      </c>
      <c r="AO26" s="62">
        <f t="shared" si="36"/>
        <v>256.4377087753457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5.8</v>
      </c>
      <c r="BD26" s="13">
        <f>IF('Données projet'!$A$88&gt;35,BD25+BC26-BL25,IF(A26&lt;'Données projet'!$A$88,$BA$205^A26,IF(A26='Données projet'!$A$88,'Données projet'!$B$88,BD25+BC26-BL25)))</f>
        <v>59.399999999999991</v>
      </c>
      <c r="BE26" s="14">
        <f>BD26*VLOOKUP('Données projet'!$B$11,Paramètres!$A$1:$I$89,3,0)*VLOOKUP('Données projet'!$B$11,Paramètres!$A$1:$I$89,5,0)</f>
        <v>57.451679999999996</v>
      </c>
      <c r="BF26" s="14">
        <f t="shared" si="37"/>
        <v>16.522355395881359</v>
      </c>
      <c r="BG26" s="22">
        <f t="shared" si="7"/>
        <v>128.83811164782671</v>
      </c>
      <c r="BH26" s="62">
        <f t="shared" si="8"/>
        <v>413.61588942560445</v>
      </c>
      <c r="BI26" s="62">
        <f ca="1">AVERAGE(OFFSET($BH$3,0,0,'Données projet'!$E$11+1,1))-AVERAGE(OFFSET($H$3,0,0,'Données projet'!$E$11+1,1))</f>
        <v>387.04070351732537</v>
      </c>
      <c r="BJ26" s="62">
        <f t="shared" si="38"/>
        <v>246.54010105494137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12.2</v>
      </c>
      <c r="BY26" s="13">
        <f>IF('Données projet'!$A$114&gt;35,BY25+BX26-CG25,IF(A26&lt;'Données projet'!$A$114,$BV$205^A26,IF(A26='Données projet'!$A$114,'Données projet'!$B$114,BY25+BX26-CG25)))</f>
        <v>118.6</v>
      </c>
      <c r="BZ26" s="14">
        <f>BY26*VLOOKUP('Données projet'!$B$12,Paramètres!$A$1:$I$89,3,0)*VLOOKUP('Données projet'!$B$12,Paramètres!$A$1:$I$89,5,0)</f>
        <v>103.60896</v>
      </c>
      <c r="CA26" s="14">
        <f t="shared" si="39"/>
        <v>27.820000397643376</v>
      </c>
      <c r="CB26" s="22">
        <f t="shared" si="10"/>
        <v>228.90543935922889</v>
      </c>
      <c r="CC26" s="62">
        <f t="shared" si="11"/>
        <v>513.68321713700664</v>
      </c>
      <c r="CD26" s="62">
        <f ca="1">AVERAGE(OFFSET($CC$3,0,0,'Données projet'!$E$12+1,1))-AVERAGE(OFFSET($H$3,0,0,'Données projet'!$E$12+1,1))</f>
        <v>327.62212115491479</v>
      </c>
      <c r="CE26" s="62">
        <f t="shared" si="40"/>
        <v>348.84706693879735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12.6</v>
      </c>
      <c r="CT26" s="13">
        <f>IF('Données projet'!$A$140&gt;35,CT25+CS26-DB25,IF(A26&lt;'Données projet'!$A$140,$CQ$205^A26,IF(A26='Données projet'!$A$140,'Données projet'!$B$140,CT25+CS26-DB25)))</f>
        <v>89.799999999999983</v>
      </c>
      <c r="CU26" s="18">
        <f>CT26*VLOOKUP('Données projet'!$B$13,Paramètres!$A$1:$I$89,3,0)*VLOOKUP('Données projet'!$B$13,Paramètres!$A$1:$I$89,5,0)</f>
        <v>65.84135999999998</v>
      </c>
      <c r="CV26" s="14">
        <f t="shared" si="41"/>
        <v>18.637068365902625</v>
      </c>
      <c r="CW26" s="22">
        <f t="shared" si="13"/>
        <v>147.13326273728035</v>
      </c>
      <c r="CX26" s="62">
        <f t="shared" si="14"/>
        <v>431.91104051505812</v>
      </c>
      <c r="CY26" s="62">
        <f ca="1">AVERAGE(OFFSET($CX$3,0,0,'Données projet'!$E$13+1,1))-AVERAGE(OFFSET($H$3,0,0,'Données projet'!$E$13+1,1))</f>
        <v>277.97613250285963</v>
      </c>
      <c r="CZ26" s="62">
        <f t="shared" si="42"/>
        <v>274.55710362891892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5.8</v>
      </c>
      <c r="N27" s="14">
        <f>IF('Données projet'!$A$36&gt;35,N26+M27-V26,IF(A27&lt;'Données projet'!$A$36,$K$205^A27,IF(A27='Données projet'!$A$36,'Données projet'!$B$36,N26+M27-V26)))</f>
        <v>65.199999999999989</v>
      </c>
      <c r="O27" s="14">
        <f>N27*VLOOKUP('Données projet'!$B$9,Paramètres!$A$1:$I$89,3,0)*VLOOKUP('Données projet'!$B$9,Paramètres!$A$1:$I$89,5,0)</f>
        <v>58.992959999999982</v>
      </c>
      <c r="P27" s="14">
        <f t="shared" si="33"/>
        <v>16.913407425602649</v>
      </c>
      <c r="Q27" s="22">
        <f t="shared" si="2"/>
        <v>132.20358993292459</v>
      </c>
      <c r="R27" s="62">
        <f t="shared" si="0"/>
        <v>418.20358993292461</v>
      </c>
      <c r="S27" s="62">
        <f ca="1">AVERAGE(OFFSET($R$3,0,0,'Données projet'!$E$9+1,1))-AVERAGE(OFFSET($H$3,0,0,'Données projet'!$E$9+1,1))</f>
        <v>364.63511534965755</v>
      </c>
      <c r="T27" s="62">
        <f t="shared" si="34"/>
        <v>233.32640143610541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5.8</v>
      </c>
      <c r="AI27" s="14">
        <f>IF('Données projet'!$A$62&gt;35,AI26+AH27-AQ26,IF(A27&lt;'Données projet'!$A$62,$AF$205^A27,IF(A27='Données projet'!$A$62,'Données projet'!$B$62,AI26+AH27-AQ26)))</f>
        <v>65.199999999999989</v>
      </c>
      <c r="AJ27" s="14">
        <f>AI27*VLOOKUP('Données projet'!$B$10,Paramètres!$A$1:$I$89,3,0)*VLOOKUP('Données projet'!$B$10,Paramètres!$A$1:$I$89,5,0)</f>
        <v>66.112799999999993</v>
      </c>
      <c r="AK27" s="14">
        <f t="shared" si="35"/>
        <v>18.704942500096539</v>
      </c>
      <c r="AL27" s="22">
        <f t="shared" si="4"/>
        <v>147.72423485433478</v>
      </c>
      <c r="AM27" s="62">
        <f t="shared" si="5"/>
        <v>433.72423485433478</v>
      </c>
      <c r="AN27" s="62">
        <f ca="1">AVERAGE(OFFSET($AM$3,0,0,'Données projet'!$E$10+1,1))-AVERAGE(OFFSET($H$3,0,0,'Données projet'!$E$10+1,1))</f>
        <v>403.82490501309815</v>
      </c>
      <c r="AO27" s="62">
        <f t="shared" si="36"/>
        <v>256.4377087753457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5.8</v>
      </c>
      <c r="BD27" s="13">
        <f>IF('Données projet'!$A$88&gt;35,BD26+BC27-BL26,IF(A27&lt;'Données projet'!$A$88,$BA$205^A27,IF(A27='Données projet'!$A$88,'Données projet'!$B$88,BD26+BC27-BL26)))</f>
        <v>65.199999999999989</v>
      </c>
      <c r="BE27" s="14">
        <f>BD27*VLOOKUP('Données projet'!$B$11,Paramètres!$A$1:$I$89,3,0)*VLOOKUP('Données projet'!$B$11,Paramètres!$A$1:$I$89,5,0)</f>
        <v>63.06143999999999</v>
      </c>
      <c r="BF27" s="14">
        <f t="shared" si="37"/>
        <v>17.940041048051118</v>
      </c>
      <c r="BG27" s="22">
        <f t="shared" si="7"/>
        <v>141.07757949202232</v>
      </c>
      <c r="BH27" s="62">
        <f t="shared" si="8"/>
        <v>427.07757949202232</v>
      </c>
      <c r="BI27" s="62">
        <f ca="1">AVERAGE(OFFSET($BH$3,0,0,'Données projet'!$E$11+1,1))-AVERAGE(OFFSET($H$3,0,0,'Données projet'!$E$11+1,1))</f>
        <v>387.04070351732537</v>
      </c>
      <c r="BJ27" s="62">
        <f t="shared" si="38"/>
        <v>246.54010105494137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12.2</v>
      </c>
      <c r="BY27" s="13">
        <f>IF('Données projet'!$A$114&gt;35,BY26+BX27-CG26,IF(A27&lt;'Données projet'!$A$114,$BV$205^A27,IF(A27='Données projet'!$A$114,'Données projet'!$B$114,BY26+BX27-CG26)))</f>
        <v>130.79999999999998</v>
      </c>
      <c r="BZ27" s="14">
        <f>BY27*VLOOKUP('Données projet'!$B$12,Paramètres!$A$1:$I$89,3,0)*VLOOKUP('Données projet'!$B$12,Paramètres!$A$1:$I$89,5,0)</f>
        <v>114.26687999999999</v>
      </c>
      <c r="CA27" s="14">
        <f t="shared" si="39"/>
        <v>30.334057329879929</v>
      </c>
      <c r="CB27" s="22">
        <f t="shared" si="10"/>
        <v>251.84663251620748</v>
      </c>
      <c r="CC27" s="62">
        <f t="shared" si="11"/>
        <v>537.84663251620748</v>
      </c>
      <c r="CD27" s="62">
        <f ca="1">AVERAGE(OFFSET($CC$3,0,0,'Données projet'!$E$12+1,1))-AVERAGE(OFFSET($H$3,0,0,'Données projet'!$E$12+1,1))</f>
        <v>327.62212115491479</v>
      </c>
      <c r="CE27" s="62">
        <f t="shared" si="40"/>
        <v>348.84706693879735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12.6</v>
      </c>
      <c r="CT27" s="13">
        <f>IF('Données projet'!$A$140&gt;35,CT26+CS27-DB26,IF(A27&lt;'Données projet'!$A$140,$CQ$205^A27,IF(A27='Données projet'!$A$140,'Données projet'!$B$140,CT26+CS27-DB26)))</f>
        <v>102.39999999999998</v>
      </c>
      <c r="CU27" s="18">
        <f>CT27*VLOOKUP('Données projet'!$B$13,Paramètres!$A$1:$I$89,3,0)*VLOOKUP('Données projet'!$B$13,Paramètres!$A$1:$I$89,5,0)</f>
        <v>75.079679999999982</v>
      </c>
      <c r="CV27" s="14">
        <f t="shared" si="41"/>
        <v>20.929732076759169</v>
      </c>
      <c r="CW27" s="22">
        <f t="shared" si="13"/>
        <v>167.2163927003555</v>
      </c>
      <c r="CX27" s="62">
        <f t="shared" si="14"/>
        <v>453.21639270035553</v>
      </c>
      <c r="CY27" s="62">
        <f ca="1">AVERAGE(OFFSET($CX$3,0,0,'Données projet'!$E$13+1,1))-AVERAGE(OFFSET($H$3,0,0,'Données projet'!$E$13+1,1))</f>
        <v>277.97613250285963</v>
      </c>
      <c r="CZ27" s="62">
        <f t="shared" si="42"/>
        <v>274.55710362891892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5.8</v>
      </c>
      <c r="M28" s="13">
        <f t="array" ref="M28">INDEX(L:L,MIN(IF(ISNUMBER(L28:L224),ROW(L28:L224),"")))</f>
        <v>5.8</v>
      </c>
      <c r="N28" s="14">
        <f>IF('Données projet'!$A$36&gt;35,N27+M28-V27,IF(A28&lt;'Données projet'!$A$36,$K$205^A28,IF(A28='Données projet'!$A$36,'Données projet'!$B$36,N27+M28-V27)))</f>
        <v>70.999999999999986</v>
      </c>
      <c r="O28" s="14">
        <f>N28*VLOOKUP('Données projet'!$B$9,Paramètres!$A$1:$I$89,3,0)*VLOOKUP('Données projet'!$B$9,Paramètres!$A$1:$I$89,5,0)</f>
        <v>64.240799999999979</v>
      </c>
      <c r="P28" s="14">
        <f t="shared" si="33"/>
        <v>18.236177554745847</v>
      </c>
      <c r="Q28" s="22">
        <f t="shared" si="2"/>
        <v>143.64740257451564</v>
      </c>
      <c r="R28" s="62">
        <f t="shared" si="0"/>
        <v>430.86962479673787</v>
      </c>
      <c r="S28" s="62">
        <f ca="1">AVERAGE(OFFSET($R$3,0,0,'Données projet'!$E$9+1,1))-AVERAGE(OFFSET($H$3,0,0,'Données projet'!$E$9+1,1))</f>
        <v>364.63511534965755</v>
      </c>
      <c r="T28" s="62">
        <f t="shared" si="34"/>
        <v>233.32640143610541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5.8</v>
      </c>
      <c r="AH28" s="13">
        <f t="array" ref="AH28">INDEX(AG:AG,MIN(IF(ISNUMBER(AG28:AG224),ROW(AG28:AG224),"")))</f>
        <v>5.8</v>
      </c>
      <c r="AI28" s="14">
        <f>IF('Données projet'!$A$62&gt;35,AI27+AH28-AQ27,IF(A28&lt;'Données projet'!$A$62,$AF$205^A28,IF(A28='Données projet'!$A$62,'Données projet'!$B$62,AI27+AH28-AQ27)))</f>
        <v>70.999999999999986</v>
      </c>
      <c r="AJ28" s="14">
        <f>AI28*VLOOKUP('Données projet'!$B$10,Paramètres!$A$1:$I$89,3,0)*VLOOKUP('Données projet'!$B$10,Paramètres!$A$1:$I$89,5,0)</f>
        <v>71.993999999999986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447.73740194499908</v>
      </c>
      <c r="AN28" s="62">
        <f ca="1">AVERAGE(OFFSET($AM$3,0,0,'Données projet'!$E$10+1,1))-AVERAGE(OFFSET($H$3,0,0,'Données projet'!$E$10+1,1))</f>
        <v>403.82490501309815</v>
      </c>
      <c r="AO28" s="62">
        <f t="shared" si="36"/>
        <v>256.4377087753457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5.8</v>
      </c>
      <c r="BC28" s="13">
        <f t="array" ref="BC28">INDEX(BB:BB,MIN(IF(ISNUMBER(BB28:BB224),ROW(BB28:BB224),"")))</f>
        <v>5.8</v>
      </c>
      <c r="BD28" s="13">
        <f>IF('Données projet'!$A$88&gt;35,BD27+BC28-BL27,IF(A28&lt;'Données projet'!$A$88,$BA$205^A28,IF(A28='Données projet'!$A$88,'Données projet'!$B$88,BD27+BC28-BL27)))</f>
        <v>70.999999999999986</v>
      </c>
      <c r="BE28" s="14">
        <f>BD28*VLOOKUP('Données projet'!$B$11,Paramètres!$A$1:$I$89,3,0)*VLOOKUP('Données projet'!$B$11,Paramètres!$A$1:$I$89,5,0)</f>
        <v>68.671199999999985</v>
      </c>
      <c r="BF28" s="14">
        <f t="shared" si="37"/>
        <v>19.343102525659866</v>
      </c>
      <c r="BG28" s="22">
        <f t="shared" si="7"/>
        <v>153.29157689885756</v>
      </c>
      <c r="BH28" s="62">
        <f t="shared" si="8"/>
        <v>440.51379912107978</v>
      </c>
      <c r="BI28" s="62">
        <f ca="1">AVERAGE(OFFSET($BH$3,0,0,'Données projet'!$E$11+1,1))-AVERAGE(OFFSET($H$3,0,0,'Données projet'!$E$11+1,1))</f>
        <v>387.04070351732537</v>
      </c>
      <c r="BJ28" s="62">
        <f t="shared" si="38"/>
        <v>246.54010105494137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143</v>
      </c>
      <c r="BW28" s="13">
        <f>VLOOKUP(A28,'Données projet'!$A$113:$I$133,9,0)</f>
        <v>12.2</v>
      </c>
      <c r="BX28" s="13">
        <f t="array" ref="BX28">INDEX(BW:BW,MIN(IF(ISNUMBER(BW28:BW224),ROW(BW28:BW224),"")))</f>
        <v>12.2</v>
      </c>
      <c r="BY28" s="13">
        <f>IF('Données projet'!$A$114&gt;35,BY27+BX28-CG27,IF(A28&lt;'Données projet'!$A$114,$BV$205^A28,IF(A28='Données projet'!$A$114,'Données projet'!$B$114,BY27+BX28-CG27)))</f>
        <v>142.99999999999997</v>
      </c>
      <c r="BZ28" s="14">
        <f>BY28*VLOOKUP('Données projet'!$B$12,Paramètres!$A$1:$I$89,3,0)*VLOOKUP('Données projet'!$B$12,Paramètres!$A$1:$I$89,5,0)</f>
        <v>124.9248</v>
      </c>
      <c r="CA28" s="14">
        <f t="shared" si="39"/>
        <v>32.820925500842712</v>
      </c>
      <c r="CB28" s="22">
        <f t="shared" si="10"/>
        <v>274.74047191396772</v>
      </c>
      <c r="CC28" s="62">
        <f t="shared" si="11"/>
        <v>561.96269413618995</v>
      </c>
      <c r="CD28" s="62">
        <f ca="1">AVERAGE(OFFSET($CC$3,0,0,'Données projet'!$E$12+1,1))-AVERAGE(OFFSET($H$3,0,0,'Données projet'!$E$12+1,1))</f>
        <v>327.62212115491479</v>
      </c>
      <c r="CE28" s="62">
        <f t="shared" si="40"/>
        <v>348.84706693879735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37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0.215</v>
      </c>
      <c r="CJ28" s="17">
        <f>IF(ISNA(VLOOKUP(A28,'Données projet'!$A$113:$I$133,7,0)),0%,VLOOKUP(A28,'Données projet'!$A$113:$I$133,7,0))</f>
        <v>0.5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7.6522043916754932</v>
      </c>
      <c r="CM28" s="23">
        <f>EXP(-LN(2)/2)*CM27+(1-EXP(-LN(2)/2))/(LN(2)/2)*CG28*CJ28*VLOOKUP('Données projet'!$B$12,Paramètres!$A$1:$I$89,3,0)*0.475*44/12</f>
        <v>15.248904583086444</v>
      </c>
      <c r="CN28" s="24">
        <f t="shared" si="12"/>
        <v>22.901108974761939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115</v>
      </c>
      <c r="CR28" s="13">
        <f>VLOOKUP(A28,'Données projet'!$A$139:$I$159,9,0)</f>
        <v>12.6</v>
      </c>
      <c r="CS28" s="13">
        <f t="array" ref="CS28">INDEX(CR:CR,MIN(IF(ISNUMBER(CR28:CR224),ROW(CR28:CR224),"")))</f>
        <v>12.6</v>
      </c>
      <c r="CT28" s="13">
        <f>IF('Données projet'!$A$140&gt;35,CT27+CS28-DB27,IF(A28&lt;'Données projet'!$A$140,$CQ$205^A28,IF(A28='Données projet'!$A$140,'Données projet'!$B$140,CT27+CS28-DB27)))</f>
        <v>114.99999999999997</v>
      </c>
      <c r="CU28" s="18">
        <f>CT28*VLOOKUP('Données projet'!$B$13,Paramètres!$A$1:$I$89,3,0)*VLOOKUP('Données projet'!$B$13,Paramètres!$A$1:$I$89,5,0)</f>
        <v>84.317999999999969</v>
      </c>
      <c r="CV28" s="14">
        <f t="shared" si="41"/>
        <v>23.189705803157239</v>
      </c>
      <c r="CW28" s="22">
        <f t="shared" si="13"/>
        <v>187.24258760716546</v>
      </c>
      <c r="CX28" s="62">
        <f t="shared" si="14"/>
        <v>474.46480982938772</v>
      </c>
      <c r="CY28" s="62">
        <f ca="1">AVERAGE(OFFSET($CX$3,0,0,'Données projet'!$E$13+1,1))-AVERAGE(OFFSET($H$3,0,0,'Données projet'!$E$13+1,1))</f>
        <v>277.97613250285963</v>
      </c>
      <c r="CZ28" s="62">
        <f t="shared" si="42"/>
        <v>274.55710362891892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0.129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2.927637546772095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2.927637546772095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69.999999999999986</v>
      </c>
      <c r="O29" s="14">
        <f>N29*VLOOKUP('Données projet'!$B$9,Paramètres!$A$1:$I$89,3,0)*VLOOKUP('Données projet'!$B$9,Paramètres!$A$1:$I$89,5,0)</f>
        <v>63.335999999999984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364.63511534965755</v>
      </c>
      <c r="T29" s="62">
        <f t="shared" si="34"/>
        <v>233.32640143610541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69.999999999999986</v>
      </c>
      <c r="AJ29" s="14">
        <f>AI29*VLOOKUP('Données projet'!$B$10,Paramètres!$A$1:$I$89,3,0)*VLOOKUP('Données projet'!$B$10,Paramètres!$A$1:$I$89,5,0)</f>
        <v>70.97999999999999</v>
      </c>
      <c r="AK29" s="14">
        <f t="shared" si="35"/>
        <v>19.916628839746853</v>
      </c>
      <c r="AL29" s="22">
        <f t="shared" si="4"/>
        <v>158.31162856255909</v>
      </c>
      <c r="AM29" s="62">
        <f t="shared" si="5"/>
        <v>446.75607300700358</v>
      </c>
      <c r="AN29" s="62">
        <f ca="1">AVERAGE(OFFSET($AM$3,0,0,'Données projet'!$E$10+1,1))-AVERAGE(OFFSET($H$3,0,0,'Données projet'!$E$10+1,1))</f>
        <v>403.82490501309815</v>
      </c>
      <c r="AO29" s="62">
        <f t="shared" si="36"/>
        <v>256.4377087753457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69.999999999999986</v>
      </c>
      <c r="BE29" s="14">
        <f>BD29*VLOOKUP('Données projet'!$B$11,Paramètres!$A$1:$I$89,3,0)*VLOOKUP('Données projet'!$B$11,Paramètres!$A$1:$I$89,5,0)</f>
        <v>67.703999999999994</v>
      </c>
      <c r="BF29" s="14">
        <f t="shared" si="37"/>
        <v>19.102177882771514</v>
      </c>
      <c r="BG29" s="22">
        <f t="shared" si="7"/>
        <v>151.18742647916039</v>
      </c>
      <c r="BH29" s="62">
        <f t="shared" si="8"/>
        <v>439.63187092360488</v>
      </c>
      <c r="BI29" s="62">
        <f ca="1">AVERAGE(OFFSET($BH$3,0,0,'Données projet'!$E$11+1,1))-AVERAGE(OFFSET($H$3,0,0,'Données projet'!$E$11+1,1))</f>
        <v>387.04070351732537</v>
      </c>
      <c r="BJ29" s="62">
        <f t="shared" si="38"/>
        <v>246.54010105494137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11.4</v>
      </c>
      <c r="BY29" s="13">
        <f>IF('Données projet'!$A$114&gt;35,BY28+BX29-CG28,IF(A29&lt;'Données projet'!$A$114,$BV$205^A29,IF(A29='Données projet'!$A$114,'Données projet'!$B$114,BY28+BX29-CG28)))</f>
        <v>117.39999999999998</v>
      </c>
      <c r="BZ29" s="14">
        <f>BY29*VLOOKUP('Données projet'!$B$12,Paramètres!$A$1:$I$89,3,0)*VLOOKUP('Données projet'!$B$12,Paramètres!$A$1:$I$89,5,0)</f>
        <v>102.56064000000001</v>
      </c>
      <c r="CA29" s="14">
        <f t="shared" si="39"/>
        <v>27.571134131783779</v>
      </c>
      <c r="CB29" s="22">
        <f t="shared" si="10"/>
        <v>226.64617327952342</v>
      </c>
      <c r="CC29" s="62">
        <f t="shared" si="11"/>
        <v>515.09061772396785</v>
      </c>
      <c r="CD29" s="62">
        <f ca="1">AVERAGE(OFFSET($CC$3,0,0,'Données projet'!$E$12+1,1))-AVERAGE(OFFSET($H$3,0,0,'Données projet'!$E$12+1,1))</f>
        <v>327.62212115491479</v>
      </c>
      <c r="CE29" s="62">
        <f t="shared" si="40"/>
        <v>348.84706693879735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7.442954460173187</v>
      </c>
      <c r="CM29" s="23">
        <f>EXP(-LN(2)/2)*CM28+(1-EXP(-LN(2)/2))/(LN(2)/2)*CG29*CJ29*VLOOKUP('Données projet'!$B$12,Paramètres!$A$1:$I$89,3,0)*0.475*44/12</f>
        <v>10.782603836367048</v>
      </c>
      <c r="CN29" s="24">
        <f t="shared" si="12"/>
        <v>18.225558296540235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98.999999999999972</v>
      </c>
      <c r="CU29" s="18">
        <f>CT29*VLOOKUP('Données projet'!$B$13,Paramètres!$A$1:$I$89,3,0)*VLOOKUP('Données projet'!$B$13,Paramètres!$A$1:$I$89,5,0)</f>
        <v>72.586799999999982</v>
      </c>
      <c r="CV29" s="14">
        <f t="shared" si="41"/>
        <v>20.314488197199065</v>
      </c>
      <c r="CW29" s="22">
        <f t="shared" si="13"/>
        <v>161.80307694345501</v>
      </c>
      <c r="CX29" s="62">
        <f t="shared" si="14"/>
        <v>450.2475213878995</v>
      </c>
      <c r="CY29" s="62">
        <f ca="1">AVERAGE(OFFSET($CX$3,0,0,'Données projet'!$E$13+1,1))-AVERAGE(OFFSET($H$3,0,0,'Données projet'!$E$13+1,1))</f>
        <v>277.97613250285963</v>
      </c>
      <c r="CZ29" s="62">
        <f t="shared" si="42"/>
        <v>274.55710362891892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2.8702283601624763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2.8702283601624763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76.999999999999986</v>
      </c>
      <c r="O30" s="14">
        <f>N30*VLOOKUP('Données projet'!$B$9,Paramètres!$A$1:$I$89,3,0)*VLOOKUP('Données projet'!$B$9,Paramètres!$A$1:$I$89,5,0)</f>
        <v>69.669599999999988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364.63511534965755</v>
      </c>
      <c r="T30" s="62">
        <f t="shared" si="34"/>
        <v>233.32640143610541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76.999999999999986</v>
      </c>
      <c r="AJ30" s="14">
        <f>AI30*VLOOKUP('Données projet'!$B$10,Paramètres!$A$1:$I$89,3,0)*VLOOKUP('Données projet'!$B$10,Paramètres!$A$1:$I$89,5,0)</f>
        <v>78.077999999999989</v>
      </c>
      <c r="AK30" s="14">
        <f t="shared" si="35"/>
        <v>21.666582091642084</v>
      </c>
      <c r="AL30" s="22">
        <f t="shared" si="4"/>
        <v>173.72181380960993</v>
      </c>
      <c r="AM30" s="62">
        <f t="shared" si="5"/>
        <v>463.38848047627664</v>
      </c>
      <c r="AN30" s="62">
        <f ca="1">AVERAGE(OFFSET($AM$3,0,0,'Données projet'!$E$10+1,1))-AVERAGE(OFFSET($H$3,0,0,'Données projet'!$E$10+1,1))</f>
        <v>403.82490501309815</v>
      </c>
      <c r="AO30" s="62">
        <f t="shared" si="36"/>
        <v>256.4377087753457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76.999999999999986</v>
      </c>
      <c r="BE30" s="14">
        <f>BD30*VLOOKUP('Données projet'!$B$11,Paramètres!$A$1:$I$89,3,0)*VLOOKUP('Données projet'!$B$11,Paramètres!$A$1:$I$89,5,0)</f>
        <v>74.474399999999989</v>
      </c>
      <c r="BF30" s="14">
        <f t="shared" si="37"/>
        <v>20.780570274034357</v>
      </c>
      <c r="BG30" s="22">
        <f t="shared" si="7"/>
        <v>165.90240656060982</v>
      </c>
      <c r="BH30" s="62">
        <f t="shared" si="8"/>
        <v>455.56907322727648</v>
      </c>
      <c r="BI30" s="62">
        <f ca="1">AVERAGE(OFFSET($BH$3,0,0,'Données projet'!$E$11+1,1))-AVERAGE(OFFSET($H$3,0,0,'Données projet'!$E$11+1,1))</f>
        <v>387.04070351732537</v>
      </c>
      <c r="BJ30" s="62">
        <f t="shared" si="38"/>
        <v>246.54010105494137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11.4</v>
      </c>
      <c r="BY30" s="13">
        <f>IF('Données projet'!$A$114&gt;35,BY29+BX30-CG29,IF(A30&lt;'Données projet'!$A$114,$BV$205^A30,IF(A30='Données projet'!$A$114,'Données projet'!$B$114,BY29+BX30-CG29)))</f>
        <v>128.79999999999998</v>
      </c>
      <c r="BZ30" s="14">
        <f>BY30*VLOOKUP('Données projet'!$B$12,Paramètres!$A$1:$I$89,3,0)*VLOOKUP('Données projet'!$B$12,Paramètres!$A$1:$I$89,5,0)</f>
        <v>112.51968000000001</v>
      </c>
      <c r="CA30" s="14">
        <f t="shared" si="39"/>
        <v>29.923856072189899</v>
      </c>
      <c r="CB30" s="22">
        <f t="shared" si="10"/>
        <v>248.08915865906408</v>
      </c>
      <c r="CC30" s="62">
        <f t="shared" si="11"/>
        <v>537.75582532573071</v>
      </c>
      <c r="CD30" s="62">
        <f ca="1">AVERAGE(OFFSET($CC$3,0,0,'Données projet'!$E$12+1,1))-AVERAGE(OFFSET($H$3,0,0,'Données projet'!$E$12+1,1))</f>
        <v>327.62212115491479</v>
      </c>
      <c r="CE30" s="62">
        <f t="shared" si="40"/>
        <v>348.84706693879735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7.2394264790517875</v>
      </c>
      <c r="CM30" s="23">
        <f>EXP(-LN(2)/2)*CM29+(1-EXP(-LN(2)/2))/(LN(2)/2)*CG30*CJ30*VLOOKUP('Données projet'!$B$12,Paramètres!$A$1:$I$89,3,0)*0.475*44/12</f>
        <v>7.6244522915432231</v>
      </c>
      <c r="CN30" s="24">
        <f t="shared" si="12"/>
        <v>14.863878770595012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110.99999999999997</v>
      </c>
      <c r="CU30" s="18">
        <f>CT30*VLOOKUP('Données projet'!$B$13,Paramètres!$A$1:$I$89,3,0)*VLOOKUP('Données projet'!$B$13,Paramètres!$A$1:$I$89,5,0)</f>
        <v>81.385199999999969</v>
      </c>
      <c r="CV30" s="14">
        <f t="shared" si="41"/>
        <v>22.475533601501123</v>
      </c>
      <c r="CW30" s="22">
        <f t="shared" si="13"/>
        <v>180.89077768928109</v>
      </c>
      <c r="CX30" s="62">
        <f t="shared" si="14"/>
        <v>470.55744435594778</v>
      </c>
      <c r="CY30" s="62">
        <f ca="1">AVERAGE(OFFSET($CX$3,0,0,'Données projet'!$E$13+1,1))-AVERAGE(OFFSET($H$3,0,0,'Données projet'!$E$13+1,1))</f>
        <v>277.97613250285963</v>
      </c>
      <c r="CZ30" s="62">
        <f t="shared" si="42"/>
        <v>274.55710362891892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2.8139449326861259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2.8139449326861259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83.999999999999986</v>
      </c>
      <c r="O31" s="14">
        <f>N31*VLOOKUP('Données projet'!$B$9,Paramètres!$A$1:$I$89,3,0)*VLOOKUP('Données projet'!$B$9,Paramètres!$A$1:$I$89,5,0)</f>
        <v>76.003199999999993</v>
      </c>
      <c r="P31" s="14">
        <f t="shared" si="33"/>
        <v>21.157049992000438</v>
      </c>
      <c r="Q31" s="22">
        <f t="shared" si="2"/>
        <v>169.22076873606741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364.63511534965755</v>
      </c>
      <c r="T31" s="62">
        <f t="shared" si="34"/>
        <v>233.32640143610541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83.999999999999986</v>
      </c>
      <c r="AJ31" s="14">
        <f>AI31*VLOOKUP('Données projet'!$B$10,Paramètres!$A$1:$I$89,3,0)*VLOOKUP('Données projet'!$B$10,Paramètres!$A$1:$I$89,5,0)</f>
        <v>85.175999999999988</v>
      </c>
      <c r="AK31" s="14">
        <f t="shared" si="35"/>
        <v>23.398088487656434</v>
      </c>
      <c r="AL31" s="22">
        <f t="shared" si="4"/>
        <v>189.09987078266826</v>
      </c>
      <c r="AM31" s="62">
        <f t="shared" si="5"/>
        <v>479.98875967155709</v>
      </c>
      <c r="AN31" s="62">
        <f ca="1">AVERAGE(OFFSET($AM$3,0,0,'Données projet'!$E$10+1,1))-AVERAGE(OFFSET($H$3,0,0,'Données projet'!$E$10+1,1))</f>
        <v>403.82490501309815</v>
      </c>
      <c r="AO31" s="62">
        <f t="shared" si="36"/>
        <v>256.4377087753457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83.999999999999986</v>
      </c>
      <c r="BE31" s="14">
        <f>BD31*VLOOKUP('Données projet'!$B$11,Paramètres!$A$1:$I$89,3,0)*VLOOKUP('Données projet'!$B$11,Paramètres!$A$1:$I$89,5,0)</f>
        <v>81.244799999999984</v>
      </c>
      <c r="BF31" s="14">
        <f t="shared" si="37"/>
        <v>22.441270156928962</v>
      </c>
      <c r="BG31" s="22">
        <f t="shared" si="7"/>
        <v>180.58657218998459</v>
      </c>
      <c r="BH31" s="62">
        <f t="shared" si="8"/>
        <v>471.47546107887342</v>
      </c>
      <c r="BI31" s="62">
        <f ca="1">AVERAGE(OFFSET($BH$3,0,0,'Données projet'!$E$11+1,1))-AVERAGE(OFFSET($H$3,0,0,'Données projet'!$E$11+1,1))</f>
        <v>387.04070351732537</v>
      </c>
      <c r="BJ31" s="62">
        <f t="shared" si="38"/>
        <v>246.54010105494137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11.4</v>
      </c>
      <c r="BY31" s="13">
        <f>IF('Données projet'!$A$114&gt;35,BY30+BX31-CG30,IF(A31&lt;'Données projet'!$A$114,$BV$205^A31,IF(A31='Données projet'!$A$114,'Données projet'!$B$114,BY30+BX31-CG30)))</f>
        <v>140.19999999999999</v>
      </c>
      <c r="BZ31" s="14">
        <f>BY31*VLOOKUP('Données projet'!$B$12,Paramètres!$A$1:$I$89,3,0)*VLOOKUP('Données projet'!$B$12,Paramètres!$A$1:$I$89,5,0)</f>
        <v>122.47872000000001</v>
      </c>
      <c r="CA31" s="14">
        <f t="shared" si="39"/>
        <v>32.252430308904003</v>
      </c>
      <c r="CB31" s="22">
        <f t="shared" si="10"/>
        <v>269.49008678800777</v>
      </c>
      <c r="CC31" s="62">
        <f t="shared" si="11"/>
        <v>560.37897567689663</v>
      </c>
      <c r="CD31" s="62">
        <f ca="1">AVERAGE(OFFSET($CC$3,0,0,'Données projet'!$E$12+1,1))-AVERAGE(OFFSET($H$3,0,0,'Données projet'!$E$12+1,1))</f>
        <v>327.62212115491479</v>
      </c>
      <c r="CE31" s="62">
        <f t="shared" si="40"/>
        <v>348.84706693879735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7.0414639812772242</v>
      </c>
      <c r="CM31" s="23">
        <f>EXP(-LN(2)/2)*CM30+(1-EXP(-LN(2)/2))/(LN(2)/2)*CG31*CJ31*VLOOKUP('Données projet'!$B$12,Paramètres!$A$1:$I$89,3,0)*0.475*44/12</f>
        <v>5.3913019181835251</v>
      </c>
      <c r="CN31" s="24">
        <f t="shared" si="12"/>
        <v>12.432765899460749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122.99999999999997</v>
      </c>
      <c r="CU31" s="18">
        <f>CT31*VLOOKUP('Données projet'!$B$13,Paramètres!$A$1:$I$89,3,0)*VLOOKUP('Données projet'!$B$13,Paramètres!$A$1:$I$89,5,0)</f>
        <v>90.18359999999997</v>
      </c>
      <c r="CV31" s="14">
        <f t="shared" si="41"/>
        <v>24.609499639553768</v>
      </c>
      <c r="CW31" s="22">
        <f t="shared" si="13"/>
        <v>199.93131520555607</v>
      </c>
      <c r="CX31" s="62">
        <f t="shared" si="14"/>
        <v>490.82020409444493</v>
      </c>
      <c r="CY31" s="62">
        <f ca="1">AVERAGE(OFFSET($CX$3,0,0,'Données projet'!$E$13+1,1))-AVERAGE(OFFSET($H$3,0,0,'Données projet'!$E$13+1,1))</f>
        <v>277.97613250285963</v>
      </c>
      <c r="CZ31" s="62">
        <f t="shared" si="42"/>
        <v>274.55710362891892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2.7587651888930855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2.7587651888930855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90.999999999999986</v>
      </c>
      <c r="O32" s="14">
        <f>N32*VLOOKUP('Données projet'!$B$9,Paramètres!$A$1:$I$89,3,0)*VLOOKUP('Données projet'!$B$9,Paramètres!$A$1:$I$89,5,0)</f>
        <v>82.336799999999982</v>
      </c>
      <c r="P32" s="14">
        <f t="shared" si="33"/>
        <v>22.707582950885364</v>
      </c>
      <c r="Q32" s="22">
        <f t="shared" si="2"/>
        <v>182.9523003061253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364.63511534965755</v>
      </c>
      <c r="T32" s="62">
        <f t="shared" si="34"/>
        <v>233.32640143610541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90.999999999999986</v>
      </c>
      <c r="AJ32" s="14">
        <f>AI32*VLOOKUP('Données projet'!$B$10,Paramètres!$A$1:$I$89,3,0)*VLOOKUP('Données projet'!$B$10,Paramètres!$A$1:$I$89,5,0)</f>
        <v>92.273999999999987</v>
      </c>
      <c r="AK32" s="14">
        <f t="shared" si="35"/>
        <v>25.112860036087554</v>
      </c>
      <c r="AL32" s="22">
        <f t="shared" si="4"/>
        <v>204.44878122951911</v>
      </c>
      <c r="AM32" s="62">
        <f t="shared" si="5"/>
        <v>496.55989234063026</v>
      </c>
      <c r="AN32" s="62">
        <f ca="1">AVERAGE(OFFSET($AM$3,0,0,'Données projet'!$E$10+1,1))-AVERAGE(OFFSET($H$3,0,0,'Données projet'!$E$10+1,1))</f>
        <v>403.82490501309815</v>
      </c>
      <c r="AO32" s="62">
        <f t="shared" si="36"/>
        <v>256.4377087753457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90.999999999999986</v>
      </c>
      <c r="BE32" s="14">
        <f>BD32*VLOOKUP('Données projet'!$B$11,Paramètres!$A$1:$I$89,3,0)*VLOOKUP('Données projet'!$B$11,Paramètres!$A$1:$I$89,5,0)</f>
        <v>88.015199999999979</v>
      </c>
      <c r="BF32" s="14">
        <f t="shared" si="37"/>
        <v>24.085919530575829</v>
      </c>
      <c r="BG32" s="22">
        <f t="shared" si="7"/>
        <v>195.24278318241952</v>
      </c>
      <c r="BH32" s="62">
        <f t="shared" si="8"/>
        <v>487.35389429353063</v>
      </c>
      <c r="BI32" s="62">
        <f ca="1">AVERAGE(OFFSET($BH$3,0,0,'Données projet'!$E$11+1,1))-AVERAGE(OFFSET($H$3,0,0,'Données projet'!$E$11+1,1))</f>
        <v>387.04070351732537</v>
      </c>
      <c r="BJ32" s="62">
        <f t="shared" si="38"/>
        <v>246.54010105494137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11.4</v>
      </c>
      <c r="BY32" s="13">
        <f>IF('Données projet'!$A$114&gt;35,BY31+BX32-CG31,IF(A32&lt;'Données projet'!$A$114,$BV$205^A32,IF(A32='Données projet'!$A$114,'Données projet'!$B$114,BY31+BX32-CG31)))</f>
        <v>151.6</v>
      </c>
      <c r="BZ32" s="14">
        <f>BY32*VLOOKUP('Données projet'!$B$12,Paramètres!$A$1:$I$89,3,0)*VLOOKUP('Données projet'!$B$12,Paramètres!$A$1:$I$89,5,0)</f>
        <v>132.43776</v>
      </c>
      <c r="CA32" s="14">
        <f t="shared" si="39"/>
        <v>34.559043580858436</v>
      </c>
      <c r="CB32" s="22">
        <f t="shared" si="10"/>
        <v>290.85276623666175</v>
      </c>
      <c r="CC32" s="62">
        <f t="shared" si="11"/>
        <v>582.96387734777295</v>
      </c>
      <c r="CD32" s="62">
        <f ca="1">AVERAGE(OFFSET($CC$3,0,0,'Données projet'!$E$12+1,1))-AVERAGE(OFFSET($H$3,0,0,'Données projet'!$E$12+1,1))</f>
        <v>327.62212115491479</v>
      </c>
      <c r="CE32" s="62">
        <f t="shared" si="40"/>
        <v>348.84706693879735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6.8489147784147013</v>
      </c>
      <c r="CM32" s="23">
        <f>EXP(-LN(2)/2)*CM31+(1-EXP(-LN(2)/2))/(LN(2)/2)*CG32*CJ32*VLOOKUP('Données projet'!$B$12,Paramètres!$A$1:$I$89,3,0)*0.475*44/12</f>
        <v>3.812226145771612</v>
      </c>
      <c r="CN32" s="24">
        <f t="shared" si="12"/>
        <v>10.661140924186313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134.99999999999997</v>
      </c>
      <c r="CU32" s="18">
        <f>CT32*VLOOKUP('Données projet'!$B$13,Paramètres!$A$1:$I$89,3,0)*VLOOKUP('Données projet'!$B$13,Paramètres!$A$1:$I$89,5,0)</f>
        <v>98.981999999999971</v>
      </c>
      <c r="CV32" s="14">
        <f t="shared" si="41"/>
        <v>26.719328849010743</v>
      </c>
      <c r="CW32" s="22">
        <f t="shared" si="13"/>
        <v>218.92981441202699</v>
      </c>
      <c r="CX32" s="62">
        <f t="shared" si="14"/>
        <v>511.04092552313813</v>
      </c>
      <c r="CY32" s="62">
        <f ca="1">AVERAGE(OFFSET($CX$3,0,0,'Données projet'!$E$13+1,1))-AVERAGE(OFFSET($H$3,0,0,'Données projet'!$E$13+1,1))</f>
        <v>277.97613250285963</v>
      </c>
      <c r="CZ32" s="62">
        <f t="shared" si="42"/>
        <v>274.55710362891892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2.7046674862195066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2.7046674862195066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97.999999999999986</v>
      </c>
      <c r="O33" s="14">
        <f>N33*VLOOKUP('Données projet'!$B$9,Paramètres!$A$1:$I$89,3,0)*VLOOKUP('Données projet'!$B$9,Paramètres!$A$1:$I$89,5,0)</f>
        <v>88.670399999999987</v>
      </c>
      <c r="P33" s="14">
        <f t="shared" si="33"/>
        <v>24.244280250395512</v>
      </c>
      <c r="Q33" s="22">
        <f t="shared" si="2"/>
        <v>196.65973476943881</v>
      </c>
      <c r="R33" s="62">
        <f t="shared" si="0"/>
        <v>489.9930681027721</v>
      </c>
      <c r="S33" s="62">
        <f ca="1">AVERAGE(OFFSET($R$3,0,0,'Données projet'!$E$9+1,1))-AVERAGE(OFFSET($H$3,0,0,'Données projet'!$E$9+1,1))</f>
        <v>364.63511534965755</v>
      </c>
      <c r="T33" s="62">
        <f t="shared" si="34"/>
        <v>233.32640143610541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0.129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2.6989531705774374</v>
      </c>
      <c r="AB33" s="23">
        <f>EXP(-LN(2)/2)*AB32+(1-EXP(-LN(2)/2))/(LN(2)/2)*V33*Y33*VLOOKUP('Données projet'!$B$9,Paramètres!$A$1:$I$89,3,0)*0.475*44/12</f>
        <v>12.54943633932384</v>
      </c>
      <c r="AC33" s="24">
        <f t="shared" si="3"/>
        <v>15.248389509901278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97.999999999999986</v>
      </c>
      <c r="AJ33" s="14">
        <f>AI33*VLOOKUP('Données projet'!$B$10,Paramètres!$A$1:$I$89,3,0)*VLOOKUP('Données projet'!$B$10,Paramètres!$A$1:$I$89,5,0)</f>
        <v>99.372</v>
      </c>
      <c r="AK33" s="14">
        <f t="shared" si="35"/>
        <v>26.812330397327713</v>
      </c>
      <c r="AL33" s="22">
        <f t="shared" si="4"/>
        <v>219.7710421086791</v>
      </c>
      <c r="AM33" s="62">
        <f t="shared" si="5"/>
        <v>513.10437544201238</v>
      </c>
      <c r="AN33" s="62">
        <f ca="1">AVERAGE(OFFSET($AM$3,0,0,'Données projet'!$E$10+1,1))-AVERAGE(OFFSET($H$3,0,0,'Données projet'!$E$10+1,1))</f>
        <v>403.82490501309815</v>
      </c>
      <c r="AO33" s="62">
        <f t="shared" si="36"/>
        <v>256.4377087753457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3.024688898060921</v>
      </c>
      <c r="AW33" s="23">
        <f>EXP(-LN(2)/2)*AW32+(1-EXP(-LN(2)/2))/(LN(2)/2)*AQ33*AT33*VLOOKUP('Données projet'!$B$10,Paramètres!$A$1:$I$89,3,0)*0.475*44/12</f>
        <v>14.064023483724995</v>
      </c>
      <c r="AX33" s="23">
        <f t="shared" si="6"/>
        <v>17.088712381785918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97.999999999999986</v>
      </c>
      <c r="BE33" s="14">
        <f>BD33*VLOOKUP('Données projet'!$B$11,Paramètres!$A$1:$I$89,3,0)*VLOOKUP('Données projet'!$B$11,Paramètres!$A$1:$I$89,5,0)</f>
        <v>94.785599999999988</v>
      </c>
      <c r="BF33" s="14">
        <f t="shared" si="37"/>
        <v>25.715893428674526</v>
      </c>
      <c r="BG33" s="22">
        <f t="shared" si="7"/>
        <v>209.87343438827475</v>
      </c>
      <c r="BH33" s="62">
        <f t="shared" si="8"/>
        <v>503.20676772160806</v>
      </c>
      <c r="BI33" s="62">
        <f ca="1">AVERAGE(OFFSET($BH$3,0,0,'Données projet'!$E$11+1,1))-AVERAGE(OFFSET($H$3,0,0,'Données projet'!$E$11+1,1))</f>
        <v>387.04070351732537</v>
      </c>
      <c r="BJ33" s="62">
        <f t="shared" si="38"/>
        <v>246.54010105494137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0.129</v>
      </c>
      <c r="BO33" s="17">
        <f>IF(ISNA(VLOOKUP(A33,'Données projet'!$A$87:$I$107,7,0)),0%,VLOOKUP(A33,'Données projet'!$A$87:$I$107,7,0))</f>
        <v>0.7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2.8850878719965709</v>
      </c>
      <c r="BR33" s="23">
        <f>EXP(-LN(2)/2)*BR32+(1-EXP(-LN(2)/2))/(LN(2)/2)*BL33*BO33*VLOOKUP('Données projet'!$B$11,Paramètres!$A$1:$I$89,3,0)*0.475*44/12</f>
        <v>13.414914707553072</v>
      </c>
      <c r="BS33" s="24">
        <f t="shared" si="9"/>
        <v>16.300002579549641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163</v>
      </c>
      <c r="BW33" s="13">
        <f>VLOOKUP(A33,'Données projet'!$A$113:$I$133,9,0)</f>
        <v>11.4</v>
      </c>
      <c r="BX33" s="13">
        <f t="array" ref="BX33">INDEX(BW:BW,MIN(IF(ISNUMBER(BW33:BW229),ROW(BW33:BW229),"")))</f>
        <v>11.4</v>
      </c>
      <c r="BY33" s="13">
        <f>IF('Données projet'!$A$114&gt;35,BY32+BX33-CG32,IF(A33&lt;'Données projet'!$A$114,$BV$205^A33,IF(A33='Données projet'!$A$114,'Données projet'!$B$114,BY32+BX33-CG32)))</f>
        <v>163</v>
      </c>
      <c r="BZ33" s="14">
        <f>BY33*VLOOKUP('Données projet'!$B$12,Paramètres!$A$1:$I$89,3,0)*VLOOKUP('Données projet'!$B$12,Paramètres!$A$1:$I$89,5,0)</f>
        <v>142.39680000000004</v>
      </c>
      <c r="CA33" s="14">
        <f t="shared" si="39"/>
        <v>36.845535084476985</v>
      </c>
      <c r="CB33" s="22">
        <f t="shared" si="10"/>
        <v>312.18040027213078</v>
      </c>
      <c r="CC33" s="62">
        <f t="shared" si="11"/>
        <v>605.51373360546404</v>
      </c>
      <c r="CD33" s="62">
        <f ca="1">AVERAGE(OFFSET($CC$3,0,0,'Données projet'!$E$12+1,1))-AVERAGE(OFFSET($H$3,0,0,'Données projet'!$E$12+1,1))</f>
        <v>327.62212115491479</v>
      </c>
      <c r="CE33" s="62">
        <f t="shared" si="40"/>
        <v>348.84706693879735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37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0.215</v>
      </c>
      <c r="CJ33" s="17">
        <f>IF(ISNA(VLOOKUP(A33,'Données projet'!$A$113:$I$133,7,0)),0%,VLOOKUP(A33,'Données projet'!$A$113:$I$133,7,0))</f>
        <v>0.5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14.313835235305669</v>
      </c>
      <c r="CM33" s="23">
        <f>EXP(-LN(2)/2)*CM32+(1-EXP(-LN(2)/2))/(LN(2)/2)*CG33*CJ33*VLOOKUP('Données projet'!$B$12,Paramètres!$A$1:$I$89,3,0)*0.475*44/12</f>
        <v>17.944555542178207</v>
      </c>
      <c r="CN33" s="24">
        <f t="shared" si="12"/>
        <v>32.258390777483875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147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146.99999999999997</v>
      </c>
      <c r="CU33" s="18">
        <f>CT33*VLOOKUP('Données projet'!$B$13,Paramètres!$A$1:$I$89,3,0)*VLOOKUP('Données projet'!$B$13,Paramètres!$A$1:$I$89,5,0)</f>
        <v>107.78039999999999</v>
      </c>
      <c r="CV33" s="14">
        <f t="shared" si="41"/>
        <v>28.807410696030036</v>
      </c>
      <c r="CW33" s="22">
        <f t="shared" si="13"/>
        <v>237.89043696225227</v>
      </c>
      <c r="CX33" s="62">
        <f t="shared" si="14"/>
        <v>531.22377029558561</v>
      </c>
      <c r="CY33" s="62">
        <f ca="1">AVERAGE(OFFSET($CX$3,0,0,'Données projet'!$E$13+1,1))-AVERAGE(OFFSET($H$3,0,0,'Données projet'!$E$13+1,1))</f>
        <v>277.97613250285963</v>
      </c>
      <c r="CZ33" s="62">
        <f t="shared" si="42"/>
        <v>274.55710362891892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0.23650000000000002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8.0189661089145226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8.0189661089145226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84.799999999999983</v>
      </c>
      <c r="O34" s="14">
        <f>N34*VLOOKUP('Données projet'!$B$9,Paramètres!$A$1:$I$89,3,0)*VLOOKUP('Données projet'!$B$9,Paramètres!$A$1:$I$89,5,0)</f>
        <v>76.727039999999974</v>
      </c>
      <c r="P34" s="14">
        <f t="shared" si="33"/>
        <v>21.334993267156708</v>
      </c>
      <c r="Q34" s="22">
        <f t="shared" si="2"/>
        <v>170.79137460696452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364.63511534965755</v>
      </c>
      <c r="T34" s="62">
        <f t="shared" si="34"/>
        <v>233.32640143610541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2.6251501541962186</v>
      </c>
      <c r="AB34" s="23">
        <f>EXP(-LN(2)/2)*AB33+(1-EXP(-LN(2)/2))/(LN(2)/2)*V34*Y34*VLOOKUP('Données projet'!$B$9,Paramètres!$A$1:$I$89,3,0)*0.475*44/12</f>
        <v>8.8737915356047719</v>
      </c>
      <c r="AC34" s="24">
        <f t="shared" si="3"/>
        <v>11.49894168980099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84.799999999999983</v>
      </c>
      <c r="AJ34" s="14">
        <f>AI34*VLOOKUP('Données projet'!$B$10,Paramètres!$A$1:$I$89,3,0)*VLOOKUP('Données projet'!$B$10,Paramètres!$A$1:$I$89,5,0)</f>
        <v>85.987199999999987</v>
      </c>
      <c r="AK34" s="14">
        <f t="shared" si="35"/>
        <v>23.594880218992504</v>
      </c>
      <c r="AL34" s="22">
        <f t="shared" si="4"/>
        <v>190.85545638141193</v>
      </c>
      <c r="AM34" s="62">
        <f t="shared" si="5"/>
        <v>484.18878971474521</v>
      </c>
      <c r="AN34" s="62">
        <f ca="1">AVERAGE(OFFSET($AM$3,0,0,'Données projet'!$E$10+1,1))-AVERAGE(OFFSET($H$3,0,0,'Données projet'!$E$10+1,1))</f>
        <v>403.82490501309815</v>
      </c>
      <c r="AO34" s="62">
        <f t="shared" si="36"/>
        <v>256.4377087753457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2.9419786210819692</v>
      </c>
      <c r="AW34" s="23">
        <f>EXP(-LN(2)/2)*AW33+(1-EXP(-LN(2)/2))/(LN(2)/2)*AQ34*AT34*VLOOKUP('Données projet'!$B$10,Paramètres!$A$1:$I$89,3,0)*0.475*44/12</f>
        <v>9.944766376108797</v>
      </c>
      <c r="AX34" s="23">
        <f t="shared" si="6"/>
        <v>12.886744997190766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84.799999999999983</v>
      </c>
      <c r="BE34" s="14">
        <f>BD34*VLOOKUP('Données projet'!$B$11,Paramètres!$A$1:$I$89,3,0)*VLOOKUP('Données projet'!$B$11,Paramètres!$A$1:$I$89,5,0)</f>
        <v>82.018559999999979</v>
      </c>
      <c r="BF34" s="14">
        <f t="shared" si="37"/>
        <v>22.630014481487464</v>
      </c>
      <c r="BG34" s="22">
        <f t="shared" si="7"/>
        <v>182.26293388859062</v>
      </c>
      <c r="BH34" s="62">
        <f t="shared" si="8"/>
        <v>475.59626722192394</v>
      </c>
      <c r="BI34" s="62">
        <f ca="1">AVERAGE(OFFSET($BH$3,0,0,'Données projet'!$E$11+1,1))-AVERAGE(OFFSET($H$3,0,0,'Données projet'!$E$11+1,1))</f>
        <v>387.04070351732537</v>
      </c>
      <c r="BJ34" s="62">
        <f t="shared" si="38"/>
        <v>246.54010105494137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2.8061949924166476</v>
      </c>
      <c r="BR34" s="23">
        <f>EXP(-LN(2)/2)*BR33+(1-EXP(-LN(2)/2))/(LN(2)/2)*BL34*BO34*VLOOKUP('Données projet'!$B$11,Paramètres!$A$1:$I$89,3,0)*0.475*44/12</f>
        <v>9.4857771587499293</v>
      </c>
      <c r="BS34" s="24">
        <f t="shared" si="9"/>
        <v>12.291972151166577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IF('Données projet'!$A$114&gt;35,BY33+BX34-CG33,IF(A34&lt;'Données projet'!$A$114,$BV$205^A34,IF(A34='Données projet'!$A$114,'Données projet'!$B$114,BY33+BX34-CG33)))</f>
        <v>136.6</v>
      </c>
      <c r="BZ34" s="14">
        <f>BY34*VLOOKUP('Données projet'!$B$12,Paramètres!$A$1:$I$89,3,0)*VLOOKUP('Données projet'!$B$12,Paramètres!$A$1:$I$89,5,0)</f>
        <v>119.33376000000001</v>
      </c>
      <c r="CA34" s="14">
        <f t="shared" si="39"/>
        <v>31.519559440518702</v>
      </c>
      <c r="CB34" s="22">
        <f t="shared" si="10"/>
        <v>262.7361980255701</v>
      </c>
      <c r="CC34" s="62">
        <f t="shared" si="11"/>
        <v>556.06953135890342</v>
      </c>
      <c r="CD34" s="62">
        <f ca="1">AVERAGE(OFFSET($CC$3,0,0,'Données projet'!$E$12+1,1))-AVERAGE(OFFSET($H$3,0,0,'Données projet'!$E$12+1,1))</f>
        <v>327.62212115491479</v>
      </c>
      <c r="CE34" s="62">
        <f t="shared" si="40"/>
        <v>348.84706693879735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13.922422658064356</v>
      </c>
      <c r="CM34" s="23">
        <f>EXP(-LN(2)/2)*CM33+(1-EXP(-LN(2)/2))/(LN(2)/2)*CG34*CJ34*VLOOKUP('Données projet'!$B$12,Paramètres!$A$1:$I$89,3,0)*0.475*44/12</f>
        <v>12.688716909252856</v>
      </c>
      <c r="CN34" s="24">
        <f t="shared" si="12"/>
        <v>26.61113956731721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129.79999999999998</v>
      </c>
      <c r="CU34" s="18">
        <f>CT34*VLOOKUP('Données projet'!$B$13,Paramètres!$A$1:$I$89,3,0)*VLOOKUP('Données projet'!$B$13,Paramètres!$A$1:$I$89,5,0)</f>
        <v>95.169359999999983</v>
      </c>
      <c r="CV34" s="14">
        <f t="shared" si="41"/>
        <v>25.807868995534712</v>
      </c>
      <c r="CW34" s="22">
        <f t="shared" si="13"/>
        <v>210.70200716722289</v>
      </c>
      <c r="CX34" s="62">
        <f t="shared" si="14"/>
        <v>504.03534050055623</v>
      </c>
      <c r="CY34" s="62">
        <f ca="1">AVERAGE(OFFSET($CX$3,0,0,'Données projet'!$E$13+1,1))-AVERAGE(OFFSET($H$3,0,0,'Données projet'!$E$13+1,1))</f>
        <v>277.97613250285963</v>
      </c>
      <c r="CZ34" s="62">
        <f t="shared" si="42"/>
        <v>274.55710362891892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7.8617190746050802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7.8617190746050802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92.59999999999998</v>
      </c>
      <c r="O35" s="14">
        <f>N35*VLOOKUP('Données projet'!$B$9,Paramètres!$A$1:$I$89,3,0)*VLOOKUP('Données projet'!$B$9,Paramètres!$A$1:$I$89,5,0)</f>
        <v>83.784479999999974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364.63511534965755</v>
      </c>
      <c r="T35" s="62">
        <f t="shared" si="34"/>
        <v>233.32640143610541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2.5533652851790762</v>
      </c>
      <c r="AB35" s="23">
        <f>EXP(-LN(2)/2)*AB34+(1-EXP(-LN(2)/2))/(LN(2)/2)*V35*Y35*VLOOKUP('Données projet'!$B$9,Paramètres!$A$1:$I$89,3,0)*0.475*44/12</f>
        <v>6.274718169661921</v>
      </c>
      <c r="AC35" s="24">
        <f t="shared" si="3"/>
        <v>8.8280834548409963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92.59999999999998</v>
      </c>
      <c r="AJ35" s="14">
        <f>AI35*VLOOKUP('Données projet'!$B$10,Paramètres!$A$1:$I$89,3,0)*VLOOKUP('Données projet'!$B$10,Paramètres!$A$1:$I$89,5,0)</f>
        <v>93.896399999999986</v>
      </c>
      <c r="AK35" s="14">
        <f t="shared" si="35"/>
        <v>25.502612364176063</v>
      </c>
      <c r="AL35" s="22">
        <f t="shared" si="4"/>
        <v>207.9532798676066</v>
      </c>
      <c r="AM35" s="62">
        <f t="shared" si="5"/>
        <v>501.28661320093988</v>
      </c>
      <c r="AN35" s="62">
        <f ca="1">AVERAGE(OFFSET($AM$3,0,0,'Données projet'!$E$10+1,1))-AVERAGE(OFFSET($H$3,0,0,'Données projet'!$E$10+1,1))</f>
        <v>403.82490501309815</v>
      </c>
      <c r="AO35" s="62">
        <f t="shared" si="36"/>
        <v>256.4377087753457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2.861530060976551</v>
      </c>
      <c r="AW35" s="23">
        <f>EXP(-LN(2)/2)*AW34+(1-EXP(-LN(2)/2))/(LN(2)/2)*AQ35*AT35*VLOOKUP('Données projet'!$B$10,Paramètres!$A$1:$I$89,3,0)*0.475*44/12</f>
        <v>7.0320117418624983</v>
      </c>
      <c r="AX35" s="23">
        <f t="shared" si="6"/>
        <v>9.8935418028390494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92.59999999999998</v>
      </c>
      <c r="BE35" s="14">
        <f>BD35*VLOOKUP('Données projet'!$B$11,Paramètres!$A$1:$I$89,3,0)*VLOOKUP('Données projet'!$B$11,Paramètres!$A$1:$I$89,5,0)</f>
        <v>89.562719999999985</v>
      </c>
      <c r="BF35" s="14">
        <f t="shared" si="37"/>
        <v>24.459733711744541</v>
      </c>
      <c r="BG35" s="22">
        <f t="shared" si="7"/>
        <v>198.58910688128836</v>
      </c>
      <c r="BH35" s="62">
        <f t="shared" si="8"/>
        <v>491.9224402146217</v>
      </c>
      <c r="BI35" s="62">
        <f ca="1">AVERAGE(OFFSET($BH$3,0,0,'Données projet'!$E$11+1,1))-AVERAGE(OFFSET($H$3,0,0,'Données projet'!$E$11+1,1))</f>
        <v>387.04070351732537</v>
      </c>
      <c r="BJ35" s="62">
        <f t="shared" si="38"/>
        <v>246.54010105494137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2.7294594427776335</v>
      </c>
      <c r="BR35" s="23">
        <f>EXP(-LN(2)/2)*BR34+(1-EXP(-LN(2)/2))/(LN(2)/2)*BL35*BO35*VLOOKUP('Données projet'!$B$11,Paramètres!$A$1:$I$89,3,0)*0.475*44/12</f>
        <v>6.7074573537765376</v>
      </c>
      <c r="BS35" s="24">
        <f t="shared" si="9"/>
        <v>9.436916796554172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IF('Données projet'!$A$114&gt;35,BY34+BX35-CG34,IF(A35&lt;'Données projet'!$A$114,$BV$205^A35,IF(A35='Données projet'!$A$114,'Données projet'!$B$114,BY34+BX35-CG34)))</f>
        <v>147.19999999999999</v>
      </c>
      <c r="BZ35" s="14">
        <f>BY35*VLOOKUP('Données projet'!$B$12,Paramètres!$A$1:$I$89,3,0)*VLOOKUP('Données projet'!$B$12,Paramètres!$A$1:$I$89,5,0)</f>
        <v>128.59392</v>
      </c>
      <c r="CA35" s="14">
        <f t="shared" si="39"/>
        <v>33.671250175837564</v>
      </c>
      <c r="CB35" s="22">
        <f t="shared" si="10"/>
        <v>282.61183805625041</v>
      </c>
      <c r="CC35" s="62">
        <f t="shared" si="11"/>
        <v>575.94517138958372</v>
      </c>
      <c r="CD35" s="62">
        <f ca="1">AVERAGE(OFFSET($CC$3,0,0,'Données projet'!$E$12+1,1))-AVERAGE(OFFSET($H$3,0,0,'Données projet'!$E$12+1,1))</f>
        <v>327.62212115491479</v>
      </c>
      <c r="CE35" s="62">
        <f t="shared" si="40"/>
        <v>348.84706693879735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13.5417132783312</v>
      </c>
      <c r="CM35" s="23">
        <f>EXP(-LN(2)/2)*CM34+(1-EXP(-LN(2)/2))/(LN(2)/2)*CG35*CJ35*VLOOKUP('Données projet'!$B$12,Paramètres!$A$1:$I$89,3,0)*0.475*44/12</f>
        <v>8.9722777710891055</v>
      </c>
      <c r="CN35" s="24">
        <f t="shared" si="12"/>
        <v>22.513991049420305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140.6</v>
      </c>
      <c r="CU35" s="18">
        <f>CT35*VLOOKUP('Données projet'!$B$13,Paramètres!$A$1:$I$89,3,0)*VLOOKUP('Données projet'!$B$13,Paramètres!$A$1:$I$89,5,0)</f>
        <v>103.08792</v>
      </c>
      <c r="CV35" s="14">
        <f t="shared" si="41"/>
        <v>27.696344760342487</v>
      </c>
      <c r="CW35" s="22">
        <f t="shared" si="13"/>
        <v>227.7825944575965</v>
      </c>
      <c r="CX35" s="62">
        <f t="shared" si="14"/>
        <v>521.11592779092985</v>
      </c>
      <c r="CY35" s="62">
        <f ca="1">AVERAGE(OFFSET($CX$3,0,0,'Données projet'!$E$13+1,1))-AVERAGE(OFFSET($H$3,0,0,'Données projet'!$E$13+1,1))</f>
        <v>277.97613250285963</v>
      </c>
      <c r="CZ35" s="62">
        <f t="shared" si="42"/>
        <v>274.55710362891892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7.7075555587272255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7.7075555587272255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100.39999999999998</v>
      </c>
      <c r="O36" s="14">
        <f>N36*VLOOKUP('Données projet'!$B$9,Paramètres!$A$1:$I$89,3,0)*VLOOKUP('Données projet'!$B$9,Paramètres!$A$1:$I$89,5,0)</f>
        <v>90.841919999999973</v>
      </c>
      <c r="P36" s="14">
        <f t="shared" si="33"/>
        <v>24.768165658148614</v>
      </c>
      <c r="Q36" s="22">
        <f t="shared" si="53"/>
        <v>201.35423252127546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364.63511534965755</v>
      </c>
      <c r="T36" s="62">
        <f t="shared" si="34"/>
        <v>233.32640143610541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2.4835433771802098</v>
      </c>
      <c r="AB36" s="23">
        <f>EXP(-LN(2)/2)*AB35+(1-EXP(-LN(2)/2))/(LN(2)/2)*V36*Y36*VLOOKUP('Données projet'!$B$9,Paramètres!$A$1:$I$89,3,0)*0.475*44/12</f>
        <v>4.4368957678023859</v>
      </c>
      <c r="AC36" s="24">
        <f t="shared" si="3"/>
        <v>6.9204391449825957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100.39999999999998</v>
      </c>
      <c r="AJ36" s="14">
        <f>AI36*VLOOKUP('Données projet'!$B$10,Paramètres!$A$1:$I$89,3,0)*VLOOKUP('Données projet'!$B$10,Paramètres!$A$1:$I$89,5,0)</f>
        <v>101.80559999999998</v>
      </c>
      <c r="AK36" s="14">
        <f t="shared" si="35"/>
        <v>27.391707821525987</v>
      </c>
      <c r="AL36" s="22">
        <f t="shared" si="4"/>
        <v>225.01864445582441</v>
      </c>
      <c r="AM36" s="62">
        <f t="shared" si="5"/>
        <v>518.35197778915767</v>
      </c>
      <c r="AN36" s="62">
        <f ca="1">AVERAGE(OFFSET($AM$3,0,0,'Données projet'!$E$10+1,1))-AVERAGE(OFFSET($H$3,0,0,'Données projet'!$E$10+1,1))</f>
        <v>403.82490501309815</v>
      </c>
      <c r="AO36" s="62">
        <f t="shared" si="36"/>
        <v>256.4377087753457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2.7832813709778215</v>
      </c>
      <c r="AW36" s="23">
        <f>EXP(-LN(2)/2)*AW35+(1-EXP(-LN(2)/2))/(LN(2)/2)*AQ36*AT36*VLOOKUP('Données projet'!$B$10,Paramètres!$A$1:$I$89,3,0)*0.475*44/12</f>
        <v>4.9723831880543985</v>
      </c>
      <c r="AX36" s="23">
        <f t="shared" si="6"/>
        <v>7.75566455903222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100.39999999999998</v>
      </c>
      <c r="BE36" s="14">
        <f>BD36*VLOOKUP('Données projet'!$B$11,Paramètres!$A$1:$I$89,3,0)*VLOOKUP('Données projet'!$B$11,Paramètres!$A$1:$I$89,5,0)</f>
        <v>97.106879999999975</v>
      </c>
      <c r="BF36" s="14">
        <f t="shared" si="37"/>
        <v>26.271578364481066</v>
      </c>
      <c r="BG36" s="22">
        <f t="shared" si="7"/>
        <v>214.88414831813782</v>
      </c>
      <c r="BH36" s="62">
        <f t="shared" si="8"/>
        <v>508.21748165147113</v>
      </c>
      <c r="BI36" s="62">
        <f ca="1">AVERAGE(OFFSET($BH$3,0,0,'Données projet'!$E$11+1,1))-AVERAGE(OFFSET($H$3,0,0,'Données projet'!$E$11+1,1))</f>
        <v>387.04070351732537</v>
      </c>
      <c r="BJ36" s="62">
        <f t="shared" si="38"/>
        <v>246.54010105494137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2.6548222307788452</v>
      </c>
      <c r="BR36" s="23">
        <f>EXP(-LN(2)/2)*BR35+(1-EXP(-LN(2)/2))/(LN(2)/2)*BL36*BO36*VLOOKUP('Données projet'!$B$11,Paramètres!$A$1:$I$89,3,0)*0.475*44/12</f>
        <v>4.7428885793749656</v>
      </c>
      <c r="BS36" s="24">
        <f t="shared" si="9"/>
        <v>7.3977108101538107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IF('Données projet'!$A$114&gt;35,BY35+BX36-CG35,IF(A36&lt;'Données projet'!$A$114,$BV$205^A36,IF(A36='Données projet'!$A$114,'Données projet'!$B$114,BY35+BX36-CG35)))</f>
        <v>157.79999999999998</v>
      </c>
      <c r="BZ36" s="14">
        <f>BY36*VLOOKUP('Données projet'!$B$12,Paramètres!$A$1:$I$89,3,0)*VLOOKUP('Données projet'!$B$12,Paramètres!$A$1:$I$89,5,0)</f>
        <v>137.85408000000001</v>
      </c>
      <c r="CA36" s="14">
        <f t="shared" si="39"/>
        <v>35.804964283629964</v>
      </c>
      <c r="CB36" s="22">
        <f t="shared" si="10"/>
        <v>302.45616879398887</v>
      </c>
      <c r="CC36" s="62">
        <f t="shared" si="11"/>
        <v>595.78950212732218</v>
      </c>
      <c r="CD36" s="62">
        <f ca="1">AVERAGE(OFFSET($CC$3,0,0,'Données projet'!$E$12+1,1))-AVERAGE(OFFSET($H$3,0,0,'Données projet'!$E$12+1,1))</f>
        <v>327.62212115491479</v>
      </c>
      <c r="CE36" s="62">
        <f t="shared" si="40"/>
        <v>348.84706693879735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13.171414416607481</v>
      </c>
      <c r="CM36" s="23">
        <f>EXP(-LN(2)/2)*CM35+(1-EXP(-LN(2)/2))/(LN(2)/2)*CG36*CJ36*VLOOKUP('Données projet'!$B$12,Paramètres!$A$1:$I$89,3,0)*0.475*44/12</f>
        <v>6.3443584546264287</v>
      </c>
      <c r="CN36" s="24">
        <f t="shared" si="12"/>
        <v>19.51577287123391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151.4</v>
      </c>
      <c r="CU36" s="18">
        <f>CT36*VLOOKUP('Données projet'!$B$13,Paramètres!$A$1:$I$89,3,0)*VLOOKUP('Données projet'!$B$13,Paramètres!$A$1:$I$89,5,0)</f>
        <v>111.00648000000001</v>
      </c>
      <c r="CV36" s="14">
        <f t="shared" si="41"/>
        <v>29.567993259970109</v>
      </c>
      <c r="CW36" s="22">
        <f t="shared" si="13"/>
        <v>244.8338742611146</v>
      </c>
      <c r="CX36" s="62">
        <f t="shared" si="14"/>
        <v>538.16720759444797</v>
      </c>
      <c r="CY36" s="62">
        <f ca="1">AVERAGE(OFFSET($CX$3,0,0,'Données projet'!$E$13+1,1))-AVERAGE(OFFSET($H$3,0,0,'Données projet'!$E$13+1,1))</f>
        <v>277.97613250285963</v>
      </c>
      <c r="CZ36" s="62">
        <f t="shared" si="42"/>
        <v>274.55710362891892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7.556415095365276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7.556415095365276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108.19999999999997</v>
      </c>
      <c r="O37" s="14">
        <f>N37*VLOOKUP('Données projet'!$B$9,Paramètres!$A$1:$I$89,3,0)*VLOOKUP('Données projet'!$B$9,Paramètres!$A$1:$I$89,5,0)</f>
        <v>97.899359999999973</v>
      </c>
      <c r="P37" s="14">
        <f t="shared" si="33"/>
        <v>26.46093236420182</v>
      </c>
      <c r="Q37" s="22">
        <f t="shared" si="53"/>
        <v>216.59417586765144</v>
      </c>
      <c r="R37" s="62">
        <f t="shared" si="0"/>
        <v>509.92750920098479</v>
      </c>
      <c r="S37" s="62">
        <f ca="1">AVERAGE(OFFSET($R$3,0,0,'Données projet'!$E$9+1,1))-AVERAGE(OFFSET($H$3,0,0,'Données projet'!$E$9+1,1))</f>
        <v>364.63511534965755</v>
      </c>
      <c r="T37" s="62">
        <f t="shared" si="34"/>
        <v>233.32640143610541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2.4156307529273469</v>
      </c>
      <c r="AB37" s="23">
        <f>EXP(-LN(2)/2)*AB36+(1-EXP(-LN(2)/2))/(LN(2)/2)*V37*Y37*VLOOKUP('Données projet'!$B$9,Paramètres!$A$1:$I$89,3,0)*0.475*44/12</f>
        <v>3.1373590848309605</v>
      </c>
      <c r="AC37" s="24">
        <f t="shared" si="3"/>
        <v>5.5529898377583073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108.19999999999997</v>
      </c>
      <c r="AJ37" s="14">
        <f>AI37*VLOOKUP('Données projet'!$B$10,Paramètres!$A$1:$I$89,3,0)*VLOOKUP('Données projet'!$B$10,Paramètres!$A$1:$I$89,5,0)</f>
        <v>109.71479999999998</v>
      </c>
      <c r="AK37" s="14">
        <f t="shared" si="35"/>
        <v>29.263779078727129</v>
      </c>
      <c r="AL37" s="22">
        <f t="shared" si="4"/>
        <v>242.05435856211636</v>
      </c>
      <c r="AM37" s="62">
        <f t="shared" si="5"/>
        <v>535.38769189544973</v>
      </c>
      <c r="AN37" s="62">
        <f ca="1">AVERAGE(OFFSET($AM$3,0,0,'Données projet'!$E$10+1,1))-AVERAGE(OFFSET($H$3,0,0,'Données projet'!$E$10+1,1))</f>
        <v>403.82490501309815</v>
      </c>
      <c r="AO37" s="62">
        <f t="shared" si="36"/>
        <v>256.4377087753457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2.707172395522027</v>
      </c>
      <c r="AW37" s="23">
        <f>EXP(-LN(2)/2)*AW36+(1-EXP(-LN(2)/2))/(LN(2)/2)*AQ37*AT37*VLOOKUP('Données projet'!$B$10,Paramètres!$A$1:$I$89,3,0)*0.475*44/12</f>
        <v>3.5160058709312492</v>
      </c>
      <c r="AX37" s="23">
        <f t="shared" si="6"/>
        <v>6.2231782664532762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108.19999999999997</v>
      </c>
      <c r="BE37" s="14">
        <f>BD37*VLOOKUP('Données projet'!$B$11,Paramètres!$A$1:$I$89,3,0)*VLOOKUP('Données projet'!$B$11,Paramètres!$A$1:$I$89,5,0)</f>
        <v>104.65103999999998</v>
      </c>
      <c r="BF37" s="14">
        <f t="shared" si="37"/>
        <v>28.067094987902482</v>
      </c>
      <c r="BG37" s="22">
        <f t="shared" si="7"/>
        <v>231.15075177059677</v>
      </c>
      <c r="BH37" s="62">
        <f t="shared" si="8"/>
        <v>524.48408510393006</v>
      </c>
      <c r="BI37" s="62">
        <f ca="1">AVERAGE(OFFSET($BH$3,0,0,'Données projet'!$E$11+1,1))-AVERAGE(OFFSET($H$3,0,0,'Données projet'!$E$11+1,1))</f>
        <v>387.04070351732537</v>
      </c>
      <c r="BJ37" s="62">
        <f t="shared" si="38"/>
        <v>246.54010105494137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2.5822259772671643</v>
      </c>
      <c r="BR37" s="23">
        <f>EXP(-LN(2)/2)*BR36+(1-EXP(-LN(2)/2))/(LN(2)/2)*BL37*BO37*VLOOKUP('Données projet'!$B$11,Paramètres!$A$1:$I$89,3,0)*0.475*44/12</f>
        <v>3.3537286768882693</v>
      </c>
      <c r="BS37" s="24">
        <f t="shared" si="9"/>
        <v>5.9359546541554336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IF('Données projet'!$A$114&gt;35,BY36+BX37-CG36,IF(A37&lt;'Données projet'!$A$114,$BV$205^A37,IF(A37='Données projet'!$A$114,'Données projet'!$B$114,BY36+BX37-CG36)))</f>
        <v>168.39999999999998</v>
      </c>
      <c r="BZ37" s="14">
        <f>BY37*VLOOKUP('Données projet'!$B$12,Paramètres!$A$1:$I$89,3,0)*VLOOKUP('Données projet'!$B$12,Paramètres!$A$1:$I$89,5,0)</f>
        <v>147.11424</v>
      </c>
      <c r="CA37" s="14">
        <f t="shared" si="39"/>
        <v>37.922046712608186</v>
      </c>
      <c r="CB37" s="22">
        <f t="shared" si="10"/>
        <v>322.27153269112591</v>
      </c>
      <c r="CC37" s="62">
        <f t="shared" si="11"/>
        <v>615.60486602445917</v>
      </c>
      <c r="CD37" s="62">
        <f ca="1">AVERAGE(OFFSET($CC$3,0,0,'Données projet'!$E$12+1,1))-AVERAGE(OFFSET($H$3,0,0,'Données projet'!$E$12+1,1))</f>
        <v>327.62212115491479</v>
      </c>
      <c r="CE37" s="62">
        <f t="shared" si="40"/>
        <v>348.84706693879735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12.81124139673077</v>
      </c>
      <c r="CM37" s="23">
        <f>EXP(-LN(2)/2)*CM36+(1-EXP(-LN(2)/2))/(LN(2)/2)*CG37*CJ37*VLOOKUP('Données projet'!$B$12,Paramètres!$A$1:$I$89,3,0)*0.475*44/12</f>
        <v>4.4861388855445536</v>
      </c>
      <c r="CN37" s="24">
        <f t="shared" si="12"/>
        <v>17.297380282275324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162.20000000000002</v>
      </c>
      <c r="CU37" s="18">
        <f>CT37*VLOOKUP('Données projet'!$B$13,Paramètres!$A$1:$I$89,3,0)*VLOOKUP('Données projet'!$B$13,Paramètres!$A$1:$I$89,5,0)</f>
        <v>118.92504000000002</v>
      </c>
      <c r="CV37" s="14">
        <f t="shared" si="41"/>
        <v>31.424151376563206</v>
      </c>
      <c r="CW37" s="22">
        <f t="shared" si="13"/>
        <v>261.85817498084759</v>
      </c>
      <c r="CX37" s="62">
        <f t="shared" si="14"/>
        <v>555.19150831418096</v>
      </c>
      <c r="CY37" s="62">
        <f ca="1">AVERAGE(OFFSET($CX$3,0,0,'Données projet'!$E$13+1,1))-AVERAGE(OFFSET($H$3,0,0,'Données projet'!$E$13+1,1))</f>
        <v>277.97613250285963</v>
      </c>
      <c r="CZ37" s="62">
        <f t="shared" si="42"/>
        <v>274.55710362891892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7.4082384043032743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7.4082384043032743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115.99999999999997</v>
      </c>
      <c r="O38" s="14">
        <f>N38*VLOOKUP('Données projet'!$B$9,Paramètres!$A$1:$I$89,3,0)*VLOOKUP('Données projet'!$B$9,Paramètres!$A$1:$I$89,5,0)</f>
        <v>104.95679999999996</v>
      </c>
      <c r="P38" s="14">
        <f t="shared" si="33"/>
        <v>28.139541339232373</v>
      </c>
      <c r="Q38" s="22">
        <f t="shared" si="53"/>
        <v>231.80946116582962</v>
      </c>
      <c r="R38" s="62">
        <f t="shared" si="0"/>
        <v>525.14279449916296</v>
      </c>
      <c r="S38" s="62">
        <f ca="1">AVERAGE(OFFSET($R$3,0,0,'Données projet'!$E$9+1,1))-AVERAGE(OFFSET($H$3,0,0,'Données projet'!$E$9+1,1))</f>
        <v>364.63511534965755</v>
      </c>
      <c r="T38" s="62">
        <f t="shared" si="34"/>
        <v>233.32640143610541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2.3495752029560482</v>
      </c>
      <c r="AB38" s="23">
        <f>EXP(-LN(2)/2)*AB37+(1-EXP(-LN(2)/2))/(LN(2)/2)*V38*Y38*VLOOKUP('Données projet'!$B$9,Paramètres!$A$1:$I$89,3,0)*0.475*44/12</f>
        <v>2.218447883901193</v>
      </c>
      <c r="AC38" s="24">
        <f t="shared" si="3"/>
        <v>4.5680230868572416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115.99999999999997</v>
      </c>
      <c r="AJ38" s="14">
        <f>AI38*VLOOKUP('Données projet'!$B$10,Paramètres!$A$1:$I$89,3,0)*VLOOKUP('Données projet'!$B$10,Paramètres!$A$1:$I$89,5,0)</f>
        <v>117.62399999999997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403.82490501309815</v>
      </c>
      <c r="AO38" s="62">
        <f t="shared" si="36"/>
        <v>256.4377087753457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2.6331446240024681</v>
      </c>
      <c r="AW38" s="23">
        <f>EXP(-LN(2)/2)*AW37+(1-EXP(-LN(2)/2))/(LN(2)/2)*AQ38*AT38*VLOOKUP('Données projet'!$B$10,Paramètres!$A$1:$I$89,3,0)*0.475*44/12</f>
        <v>2.4861915940271992</v>
      </c>
      <c r="AX38" s="23">
        <f t="shared" si="6"/>
        <v>5.1193362180296678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115.99999999999997</v>
      </c>
      <c r="BE38" s="14">
        <f>BD38*VLOOKUP('Données projet'!$B$11,Paramètres!$A$1:$I$89,3,0)*VLOOKUP('Données projet'!$B$11,Paramètres!$A$1:$I$89,5,0)</f>
        <v>112.19519999999999</v>
      </c>
      <c r="BF38" s="14">
        <f t="shared" si="37"/>
        <v>29.847594514573263</v>
      </c>
      <c r="BG38" s="22">
        <f t="shared" si="7"/>
        <v>247.39120044621504</v>
      </c>
      <c r="BH38" s="62">
        <f t="shared" si="8"/>
        <v>540.72453377954832</v>
      </c>
      <c r="BI38" s="62">
        <f ca="1">AVERAGE(OFFSET($BH$3,0,0,'Données projet'!$E$11+1,1))-AVERAGE(OFFSET($H$3,0,0,'Données projet'!$E$11+1,1))</f>
        <v>387.04070351732537</v>
      </c>
      <c r="BJ38" s="62">
        <f t="shared" si="38"/>
        <v>246.54010105494137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2.5116148721254312</v>
      </c>
      <c r="BR38" s="23">
        <f>EXP(-LN(2)/2)*BR37+(1-EXP(-LN(2)/2))/(LN(2)/2)*BL38*BO38*VLOOKUP('Données projet'!$B$11,Paramètres!$A$1:$I$89,3,0)*0.475*44/12</f>
        <v>2.3714442896874832</v>
      </c>
      <c r="BS38" s="24">
        <f t="shared" si="9"/>
        <v>4.8830591618129144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179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IF('Données projet'!$A$114&gt;35,BY37+BX38-CG37,IF(A38&lt;'Données projet'!$A$114,$BV$205^A38,IF(A38='Données projet'!$A$114,'Données projet'!$B$114,BY37+BX38-CG37)))</f>
        <v>178.99999999999997</v>
      </c>
      <c r="BZ38" s="14">
        <f>BY38*VLOOKUP('Données projet'!$B$12,Paramètres!$A$1:$I$89,3,0)*VLOOKUP('Données projet'!$B$12,Paramètres!$A$1:$I$89,5,0)</f>
        <v>156.37440000000001</v>
      </c>
      <c r="CA38" s="14">
        <f t="shared" si="39"/>
        <v>40.023663524293205</v>
      </c>
      <c r="CB38" s="22">
        <f t="shared" si="10"/>
        <v>342.05996063814399</v>
      </c>
      <c r="CC38" s="62">
        <f t="shared" si="11"/>
        <v>635.39329397147731</v>
      </c>
      <c r="CD38" s="62">
        <f ca="1">AVERAGE(OFFSET($CC$3,0,0,'Données projet'!$E$12+1,1))-AVERAGE(OFFSET($H$3,0,0,'Données projet'!$E$12+1,1))</f>
        <v>327.62212115491479</v>
      </c>
      <c r="CE38" s="62">
        <f t="shared" si="40"/>
        <v>348.84706693879735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36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0.25800000000000001</v>
      </c>
      <c r="CJ38" s="17">
        <f>IF(ISNA(VLOOKUP(A38,'Données projet'!$A$113:$I$133,7,0)),0%,VLOOKUP(A38,'Données projet'!$A$113:$I$133,7,0))</f>
        <v>0.4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21.395382995141674</v>
      </c>
      <c r="CM38" s="23">
        <f>EXP(-LN(2)/2)*CM37+(1-EXP(-LN(2)/2))/(LN(2)/2)*CG38*CJ38*VLOOKUP('Données projet'!$B$12,Paramètres!$A$1:$I$89,3,0)*0.475*44/12</f>
        <v>15.041596848742664</v>
      </c>
      <c r="CN38" s="24">
        <f t="shared" si="12"/>
        <v>36.436979843884338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173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173.00000000000003</v>
      </c>
      <c r="CU38" s="18">
        <f>CT38*VLOOKUP('Données projet'!$B$13,Paramètres!$A$1:$I$89,3,0)*VLOOKUP('Données projet'!$B$13,Paramètres!$A$1:$I$89,5,0)</f>
        <v>126.84360000000001</v>
      </c>
      <c r="CV38" s="14">
        <f t="shared" si="41"/>
        <v>33.26596788929173</v>
      </c>
      <c r="CW38" s="22">
        <f t="shared" si="13"/>
        <v>278.85749740718308</v>
      </c>
      <c r="CX38" s="62">
        <f t="shared" si="14"/>
        <v>572.19083074051639</v>
      </c>
      <c r="CY38" s="62">
        <f ca="1">AVERAGE(OFFSET($CX$3,0,0,'Données projet'!$E$13+1,1))-AVERAGE(OFFSET($H$3,0,0,'Données projet'!$E$13+1,1))</f>
        <v>277.97613250285963</v>
      </c>
      <c r="CZ38" s="62">
        <f t="shared" si="42"/>
        <v>274.55710362891892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7.2629673677741406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7.2629673677741406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103.39999999999998</v>
      </c>
      <c r="O39" s="14">
        <f>N39*VLOOKUP('Données projet'!$B$9,Paramètres!$A$1:$I$89,3,0)*VLOOKUP('Données projet'!$B$9,Paramètres!$A$1:$I$89,5,0)</f>
        <v>93.556319999999971</v>
      </c>
      <c r="P39" s="14">
        <f t="shared" si="33"/>
        <v>25.420979659258073</v>
      </c>
      <c r="Q39" s="22">
        <f t="shared" si="53"/>
        <v>207.21879690654112</v>
      </c>
      <c r="R39" s="62">
        <f t="shared" si="0"/>
        <v>500.55213023987443</v>
      </c>
      <c r="S39" s="62">
        <f ca="1">AVERAGE(OFFSET($R$3,0,0,'Données projet'!$E$9+1,1))-AVERAGE(OFFSET($H$3,0,0,'Données projet'!$E$9+1,1))</f>
        <v>364.63511534965755</v>
      </c>
      <c r="T39" s="62">
        <f t="shared" si="34"/>
        <v>233.32640143610541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2.2853259454724251</v>
      </c>
      <c r="AB39" s="23">
        <f>EXP(-LN(2)/2)*AB38+(1-EXP(-LN(2)/2))/(LN(2)/2)*V39*Y39*VLOOKUP('Données projet'!$B$9,Paramètres!$A$1:$I$89,3,0)*0.475*44/12</f>
        <v>1.5686795424154802</v>
      </c>
      <c r="AC39" s="24">
        <f t="shared" si="3"/>
        <v>3.8540054878879051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103.39999999999998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524.90754606181804</v>
      </c>
      <c r="AN39" s="62">
        <f ca="1">AVERAGE(OFFSET($AM$3,0,0,'Données projet'!$E$10+1,1))-AVERAGE(OFFSET($H$3,0,0,'Données projet'!$E$10+1,1))</f>
        <v>403.82490501309815</v>
      </c>
      <c r="AO39" s="62">
        <f t="shared" si="36"/>
        <v>256.4377087753457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2.5611411457880631</v>
      </c>
      <c r="AW39" s="23">
        <f>EXP(-LN(2)/2)*AW38+(1-EXP(-LN(2)/2))/(LN(2)/2)*AQ39*AT39*VLOOKUP('Données projet'!$B$10,Paramètres!$A$1:$I$89,3,0)*0.475*44/12</f>
        <v>1.7580029354656246</v>
      </c>
      <c r="AX39" s="23">
        <f t="shared" si="6"/>
        <v>4.3191440812536879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103.39999999999998</v>
      </c>
      <c r="BE39" s="14">
        <f>BD39*VLOOKUP('Données projet'!$B$11,Paramètres!$A$1:$I$89,3,0)*VLOOKUP('Données projet'!$B$11,Paramètres!$A$1:$I$89,5,0)</f>
        <v>100.00847999999999</v>
      </c>
      <c r="BF39" s="14">
        <f t="shared" si="37"/>
        <v>26.964017781444337</v>
      </c>
      <c r="BG39" s="22">
        <f t="shared" si="7"/>
        <v>221.14376696934883</v>
      </c>
      <c r="BH39" s="62">
        <f t="shared" si="8"/>
        <v>514.47710030268217</v>
      </c>
      <c r="BI39" s="62">
        <f ca="1">AVERAGE(OFFSET($BH$3,0,0,'Données projet'!$E$11+1,1))-AVERAGE(OFFSET($H$3,0,0,'Données projet'!$E$11+1,1))</f>
        <v>387.04070351732537</v>
      </c>
      <c r="BJ39" s="62">
        <f t="shared" si="38"/>
        <v>246.54010105494137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2.4429346313670757</v>
      </c>
      <c r="BR39" s="23">
        <f>EXP(-LN(2)/2)*BR38+(1-EXP(-LN(2)/2))/(LN(2)/2)*BL39*BO39*VLOOKUP('Données projet'!$B$11,Paramètres!$A$1:$I$89,3,0)*0.475*44/12</f>
        <v>1.6768643384441348</v>
      </c>
      <c r="BS39" s="24">
        <f t="shared" si="9"/>
        <v>4.1197989698112103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152.59999999999997</v>
      </c>
      <c r="BZ39" s="14">
        <f>BY39*VLOOKUP('Données projet'!$B$12,Paramètres!$A$1:$I$89,3,0)*VLOOKUP('Données projet'!$B$12,Paramètres!$A$1:$I$89,5,0)</f>
        <v>133.31135999999998</v>
      </c>
      <c r="CA39" s="14">
        <f t="shared" si="39"/>
        <v>34.760393689821633</v>
      </c>
      <c r="CB39" s="22">
        <f t="shared" si="10"/>
        <v>292.72497100977256</v>
      </c>
      <c r="CC39" s="62">
        <f t="shared" si="11"/>
        <v>586.05830434310587</v>
      </c>
      <c r="CD39" s="62">
        <f ca="1">AVERAGE(OFFSET($CC$3,0,0,'Données projet'!$E$12+1,1))-AVERAGE(OFFSET($H$3,0,0,'Données projet'!$E$12+1,1))</f>
        <v>327.62212115491479</v>
      </c>
      <c r="CE39" s="62">
        <f t="shared" si="40"/>
        <v>348.84706693879735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20.810325122005231</v>
      </c>
      <c r="CM39" s="23">
        <f>EXP(-LN(2)/2)*CM38+(1-EXP(-LN(2)/2))/(LN(2)/2)*CG39*CJ39*VLOOKUP('Données projet'!$B$12,Paramètres!$A$1:$I$89,3,0)*0.475*44/12</f>
        <v>10.636015131620143</v>
      </c>
      <c r="CN39" s="24">
        <f t="shared" si="12"/>
        <v>31.446340253625372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9.4</v>
      </c>
      <c r="CT39" s="13">
        <f>IF('Données projet'!$A$140&gt;35,CT38+CS39-DB38,IF(A39&lt;'Données projet'!$A$140,$CQ$205^A39,IF(A39='Données projet'!$A$140,'Données projet'!$B$140,CT38+CS39-DB38)))</f>
        <v>154.40000000000003</v>
      </c>
      <c r="CU39" s="18">
        <f>CT39*VLOOKUP('Données projet'!$B$13,Paramètres!$A$1:$I$89,3,0)*VLOOKUP('Données projet'!$B$13,Paramètres!$A$1:$I$89,5,0)</f>
        <v>113.20608000000003</v>
      </c>
      <c r="CV39" s="14">
        <f t="shared" si="41"/>
        <v>30.085094361791089</v>
      </c>
      <c r="CW39" s="22">
        <f t="shared" si="13"/>
        <v>249.5654620134529</v>
      </c>
      <c r="CX39" s="62">
        <f t="shared" si="14"/>
        <v>542.89879534678619</v>
      </c>
      <c r="CY39" s="62">
        <f ca="1">AVERAGE(OFFSET($CX$3,0,0,'Données projet'!$E$13+1,1))-AVERAGE(OFFSET($H$3,0,0,'Données projet'!$E$13+1,1))</f>
        <v>277.97613250285963</v>
      </c>
      <c r="CZ39" s="62">
        <f t="shared" si="42"/>
        <v>274.55710362891892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7.1205450076647603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7.1205450076647603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111.79999999999998</v>
      </c>
      <c r="O40" s="14">
        <f>N40*VLOOKUP('Données projet'!$B$9,Paramètres!$A$1:$I$89,3,0)*VLOOKUP('Données projet'!$B$9,Paramètres!$A$1:$I$89,5,0)</f>
        <v>101.15663999999997</v>
      </c>
      <c r="P40" s="14">
        <f t="shared" si="33"/>
        <v>27.237366379381644</v>
      </c>
      <c r="Q40" s="22">
        <f t="shared" si="53"/>
        <v>223.61956111075628</v>
      </c>
      <c r="R40" s="62">
        <f t="shared" si="0"/>
        <v>516.95289444408957</v>
      </c>
      <c r="S40" s="62">
        <f ca="1">AVERAGE(OFFSET($R$3,0,0,'Données projet'!$E$9+1,1))-AVERAGE(OFFSET($H$3,0,0,'Données projet'!$E$9+1,1))</f>
        <v>364.63511534965755</v>
      </c>
      <c r="T40" s="62">
        <f t="shared" si="34"/>
        <v>233.32640143610541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2.2228335873134135</v>
      </c>
      <c r="AB40" s="23">
        <f>EXP(-LN(2)/2)*AB39+(1-EXP(-LN(2)/2))/(LN(2)/2)*V40*Y40*VLOOKUP('Données projet'!$B$9,Paramètres!$A$1:$I$89,3,0)*0.475*44/12</f>
        <v>1.1092239419505965</v>
      </c>
      <c r="AC40" s="24">
        <f t="shared" si="3"/>
        <v>3.3320575292640102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111.79999999999998</v>
      </c>
      <c r="AJ40" s="14">
        <f>AI40*VLOOKUP('Données projet'!$B$10,Paramètres!$A$1:$I$89,3,0)*VLOOKUP('Données projet'!$B$10,Paramètres!$A$1:$I$89,5,0)</f>
        <v>113.36519999999999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543.24100096888083</v>
      </c>
      <c r="AN40" s="62">
        <f ca="1">AVERAGE(OFFSET($AM$3,0,0,'Données projet'!$E$10+1,1))-AVERAGE(OFFSET($H$3,0,0,'Données projet'!$E$10+1,1))</f>
        <v>403.82490501309815</v>
      </c>
      <c r="AO40" s="62">
        <f t="shared" si="36"/>
        <v>256.4377087753457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2.4911066064719294</v>
      </c>
      <c r="AW40" s="23">
        <f>EXP(-LN(2)/2)*AW39+(1-EXP(-LN(2)/2))/(LN(2)/2)*AQ40*AT40*VLOOKUP('Données projet'!$B$10,Paramètres!$A$1:$I$89,3,0)*0.475*44/12</f>
        <v>1.2430957970135996</v>
      </c>
      <c r="AX40" s="23">
        <f t="shared" si="6"/>
        <v>3.7342024034855292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111.79999999999998</v>
      </c>
      <c r="BE40" s="14">
        <f>BD40*VLOOKUP('Données projet'!$B$11,Paramètres!$A$1:$I$89,3,0)*VLOOKUP('Données projet'!$B$11,Paramètres!$A$1:$I$89,5,0)</f>
        <v>108.13295999999998</v>
      </c>
      <c r="BF40" s="14">
        <f t="shared" si="37"/>
        <v>28.890658079177882</v>
      </c>
      <c r="BG40" s="22">
        <f t="shared" si="7"/>
        <v>238.64946815456815</v>
      </c>
      <c r="BH40" s="62">
        <f t="shared" si="8"/>
        <v>531.9828014879015</v>
      </c>
      <c r="BI40" s="62">
        <f ca="1">AVERAGE(OFFSET($BH$3,0,0,'Données projet'!$E$11+1,1))-AVERAGE(OFFSET($H$3,0,0,'Données projet'!$E$11+1,1))</f>
        <v>387.04070351732537</v>
      </c>
      <c r="BJ40" s="62">
        <f t="shared" si="38"/>
        <v>246.54010105494137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2.3761324554039942</v>
      </c>
      <c r="BR40" s="23">
        <f>EXP(-LN(2)/2)*BR39+(1-EXP(-LN(2)/2))/(LN(2)/2)*BL40*BO40*VLOOKUP('Données projet'!$B$11,Paramètres!$A$1:$I$89,3,0)*0.475*44/12</f>
        <v>1.1857221448437416</v>
      </c>
      <c r="BS40" s="24">
        <f t="shared" si="9"/>
        <v>3.5618546002477358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162.19999999999996</v>
      </c>
      <c r="BZ40" s="14">
        <f>BY40*VLOOKUP('Données projet'!$B$12,Paramètres!$A$1:$I$89,3,0)*VLOOKUP('Données projet'!$B$12,Paramètres!$A$1:$I$89,5,0)</f>
        <v>141.69791999999998</v>
      </c>
      <c r="CA40" s="14">
        <f t="shared" si="39"/>
        <v>36.685701801209362</v>
      </c>
      <c r="CB40" s="22">
        <f t="shared" si="10"/>
        <v>310.68480797043964</v>
      </c>
      <c r="CC40" s="62">
        <f t="shared" si="11"/>
        <v>604.01814130377295</v>
      </c>
      <c r="CD40" s="62">
        <f ca="1">AVERAGE(OFFSET($CC$3,0,0,'Données projet'!$E$12+1,1))-AVERAGE(OFFSET($H$3,0,0,'Données projet'!$E$12+1,1))</f>
        <v>327.62212115491479</v>
      </c>
      <c r="CE40" s="62">
        <f t="shared" si="40"/>
        <v>348.84706693879735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20.241265687176561</v>
      </c>
      <c r="CM40" s="23">
        <f>EXP(-LN(2)/2)*CM39+(1-EXP(-LN(2)/2))/(LN(2)/2)*CG40*CJ40*VLOOKUP('Données projet'!$B$12,Paramètres!$A$1:$I$89,3,0)*0.475*44/12</f>
        <v>7.5207984243713337</v>
      </c>
      <c r="CN40" s="24">
        <f t="shared" si="12"/>
        <v>27.762064111547893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9.4</v>
      </c>
      <c r="CT40" s="13">
        <f>IF('Données projet'!$A$140&gt;35,CT39+CS40-DB39,IF(A40&lt;'Données projet'!$A$140,$CQ$205^A40,IF(A40='Données projet'!$A$140,'Données projet'!$B$140,CT39+CS40-DB39)))</f>
        <v>163.80000000000004</v>
      </c>
      <c r="CU40" s="18">
        <f>CT40*VLOOKUP('Données projet'!$B$13,Paramètres!$A$1:$I$89,3,0)*VLOOKUP('Données projet'!$B$13,Paramètres!$A$1:$I$89,5,0)</f>
        <v>120.09816000000004</v>
      </c>
      <c r="CV40" s="14">
        <f t="shared" si="41"/>
        <v>31.697892412546196</v>
      </c>
      <c r="CW40" s="22">
        <f t="shared" si="13"/>
        <v>264.37812461851803</v>
      </c>
      <c r="CX40" s="62">
        <f t="shared" si="14"/>
        <v>557.71145795185134</v>
      </c>
      <c r="CY40" s="62">
        <f ca="1">AVERAGE(OFFSET($CX$3,0,0,'Données projet'!$E$13+1,1))-AVERAGE(OFFSET($H$3,0,0,'Données projet'!$E$13+1,1))</f>
        <v>277.97613250285963</v>
      </c>
      <c r="CZ40" s="62">
        <f t="shared" si="42"/>
        <v>274.55710362891892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6.9809154631680634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6.9809154631680634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120.19999999999999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364.63511534965755</v>
      </c>
      <c r="T41" s="62">
        <f t="shared" si="34"/>
        <v>233.32640143610541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2.1620500859745904</v>
      </c>
      <c r="AB41" s="23">
        <f>EXP(-LN(2)/2)*AB40+(1-EXP(-LN(2)/2))/(LN(2)/2)*V41*Y41*VLOOKUP('Données projet'!$B$9,Paramètres!$A$1:$I$89,3,0)*0.475*44/12</f>
        <v>0.78433977120774012</v>
      </c>
      <c r="AC41" s="24">
        <f t="shared" si="3"/>
        <v>2.9463898571823304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120.19999999999999</v>
      </c>
      <c r="AJ41" s="14">
        <f>AI41*VLOOKUP('Données projet'!$B$10,Paramètres!$A$1:$I$89,3,0)*VLOOKUP('Données projet'!$B$10,Paramètres!$A$1:$I$89,5,0)</f>
        <v>121.8828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561.54396129342854</v>
      </c>
      <c r="AN41" s="62">
        <f ca="1">AVERAGE(OFFSET($AM$3,0,0,'Données projet'!$E$10+1,1))-AVERAGE(OFFSET($H$3,0,0,'Données projet'!$E$10+1,1))</f>
        <v>403.82490501309815</v>
      </c>
      <c r="AO41" s="62">
        <f t="shared" si="36"/>
        <v>256.4377087753457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2.4229871653163517</v>
      </c>
      <c r="AW41" s="23">
        <f>EXP(-LN(2)/2)*AW40+(1-EXP(-LN(2)/2))/(LN(2)/2)*AQ41*AT41*VLOOKUP('Données projet'!$B$10,Paramètres!$A$1:$I$89,3,0)*0.475*44/12</f>
        <v>0.87900146773281229</v>
      </c>
      <c r="AX41" s="23">
        <f t="shared" si="6"/>
        <v>3.3019886330491639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120.19999999999999</v>
      </c>
      <c r="BE41" s="14">
        <f>BD41*VLOOKUP('Données projet'!$B$11,Paramètres!$A$1:$I$89,3,0)*VLOOKUP('Données projet'!$B$11,Paramètres!$A$1:$I$89,5,0)</f>
        <v>116.25743999999999</v>
      </c>
      <c r="BF41" s="14">
        <f t="shared" si="37"/>
        <v>30.800505515381992</v>
      </c>
      <c r="BG41" s="22">
        <f t="shared" si="7"/>
        <v>256.1259217726236</v>
      </c>
      <c r="BH41" s="62">
        <f t="shared" si="8"/>
        <v>549.45925510595691</v>
      </c>
      <c r="BI41" s="62">
        <f ca="1">AVERAGE(OFFSET($BH$3,0,0,'Données projet'!$E$11+1,1))-AVERAGE(OFFSET($H$3,0,0,'Données projet'!$E$11+1,1))</f>
        <v>387.04070351732537</v>
      </c>
      <c r="BJ41" s="62">
        <f t="shared" si="38"/>
        <v>246.54010105494137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2.3111569884555969</v>
      </c>
      <c r="BR41" s="23">
        <f>EXP(-LN(2)/2)*BR40+(1-EXP(-LN(2)/2))/(LN(2)/2)*BL41*BO41*VLOOKUP('Données projet'!$B$11,Paramètres!$A$1:$I$89,3,0)*0.475*44/12</f>
        <v>0.83843216922206742</v>
      </c>
      <c r="BS41" s="24">
        <f t="shared" si="9"/>
        <v>3.1495891576776645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171.79999999999995</v>
      </c>
      <c r="BZ41" s="14">
        <f>BY41*VLOOKUP('Données projet'!$B$12,Paramètres!$A$1:$I$89,3,0)*VLOOKUP('Données projet'!$B$12,Paramètres!$A$1:$I$89,5,0)</f>
        <v>150.08447999999999</v>
      </c>
      <c r="CA41" s="14">
        <f t="shared" si="39"/>
        <v>38.597783374841299</v>
      </c>
      <c r="CB41" s="22">
        <f t="shared" si="10"/>
        <v>328.62160871118186</v>
      </c>
      <c r="CC41" s="62">
        <f t="shared" si="11"/>
        <v>621.95494204451518</v>
      </c>
      <c r="CD41" s="62">
        <f ca="1">AVERAGE(OFFSET($CC$3,0,0,'Données projet'!$E$12+1,1))-AVERAGE(OFFSET($H$3,0,0,'Données projet'!$E$12+1,1))</f>
        <v>327.62212115491479</v>
      </c>
      <c r="CE41" s="62">
        <f t="shared" si="40"/>
        <v>348.84706693879735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19.687767212518818</v>
      </c>
      <c r="CM41" s="23">
        <f>EXP(-LN(2)/2)*CM40+(1-EXP(-LN(2)/2))/(LN(2)/2)*CG41*CJ41*VLOOKUP('Données projet'!$B$12,Paramètres!$A$1:$I$89,3,0)*0.475*44/12</f>
        <v>5.3180075658100723</v>
      </c>
      <c r="CN41" s="24">
        <f t="shared" si="12"/>
        <v>25.005774778328892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9.4</v>
      </c>
      <c r="CT41" s="13">
        <f>IF('Données projet'!$A$140&gt;35,CT40+CS41-DB40,IF(A41&lt;'Données projet'!$A$140,$CQ$205^A41,IF(A41='Données projet'!$A$140,'Données projet'!$B$140,CT40+CS41-DB40)))</f>
        <v>173.20000000000005</v>
      </c>
      <c r="CU41" s="18">
        <f>CT41*VLOOKUP('Données projet'!$B$13,Paramètres!$A$1:$I$89,3,0)*VLOOKUP('Données projet'!$B$13,Paramètres!$A$1:$I$89,5,0)</f>
        <v>126.99024000000001</v>
      </c>
      <c r="CV41" s="14">
        <f t="shared" si="41"/>
        <v>33.299946886247369</v>
      </c>
      <c r="CW41" s="22">
        <f t="shared" si="13"/>
        <v>279.17207549354754</v>
      </c>
      <c r="CX41" s="62">
        <f t="shared" si="14"/>
        <v>572.50540882688085</v>
      </c>
      <c r="CY41" s="62">
        <f ca="1">AVERAGE(OFFSET($CX$3,0,0,'Données projet'!$E$13+1,1))-AVERAGE(OFFSET($H$3,0,0,'Données projet'!$E$13+1,1))</f>
        <v>277.97613250285963</v>
      </c>
      <c r="CZ41" s="62">
        <f t="shared" si="42"/>
        <v>274.55710362891892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6.8440239688733335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6.8440239688733335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364.63511534965755</v>
      </c>
      <c r="T42" s="62">
        <f t="shared" si="34"/>
        <v>233.32640143610541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2.1029287126763427</v>
      </c>
      <c r="AB42" s="23">
        <f>EXP(-LN(2)/2)*AB41+(1-EXP(-LN(2)/2))/(LN(2)/2)*V42*Y42*VLOOKUP('Données projet'!$B$9,Paramètres!$A$1:$I$89,3,0)*0.475*44/12</f>
        <v>0.55461197097529824</v>
      </c>
      <c r="AC42" s="24">
        <f t="shared" si="3"/>
        <v>2.6575406836516411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579.8188005094587</v>
      </c>
      <c r="AN42" s="62">
        <f ca="1">AVERAGE(OFFSET($AM$3,0,0,'Données projet'!$E$10+1,1))-AVERAGE(OFFSET($H$3,0,0,'Données projet'!$E$10+1,1))</f>
        <v>403.82490501309815</v>
      </c>
      <c r="AO42" s="62">
        <f t="shared" si="36"/>
        <v>256.4377087753457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2.3567304538614189</v>
      </c>
      <c r="AW42" s="23">
        <f>EXP(-LN(2)/2)*AW41+(1-EXP(-LN(2)/2))/(LN(2)/2)*AQ42*AT42*VLOOKUP('Données projet'!$B$10,Paramètres!$A$1:$I$89,3,0)*0.475*44/12</f>
        <v>0.62154789850679981</v>
      </c>
      <c r="AX42" s="23">
        <f t="shared" si="6"/>
        <v>2.9782783523682186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124.38192000000001</v>
      </c>
      <c r="BF42" s="14">
        <f t="shared" si="37"/>
        <v>32.694867122876893</v>
      </c>
      <c r="BG42" s="22">
        <f t="shared" si="7"/>
        <v>273.5754042390106</v>
      </c>
      <c r="BH42" s="62">
        <f t="shared" si="8"/>
        <v>566.90873757234385</v>
      </c>
      <c r="BI42" s="62">
        <f ca="1">AVERAGE(OFFSET($BH$3,0,0,'Données projet'!$E$11+1,1))-AVERAGE(OFFSET($H$3,0,0,'Données projet'!$E$11+1,1))</f>
        <v>387.04070351732537</v>
      </c>
      <c r="BJ42" s="62">
        <f t="shared" si="38"/>
        <v>246.54010105494137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2.2479582790678148</v>
      </c>
      <c r="BR42" s="23">
        <f>EXP(-LN(2)/2)*BR41+(1-EXP(-LN(2)/2))/(LN(2)/2)*BL42*BO42*VLOOKUP('Données projet'!$B$11,Paramètres!$A$1:$I$89,3,0)*0.475*44/12</f>
        <v>0.59286107242187081</v>
      </c>
      <c r="BS42" s="24">
        <f t="shared" si="9"/>
        <v>2.8408193514896856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181.39999999999995</v>
      </c>
      <c r="BZ42" s="14">
        <f>BY42*VLOOKUP('Données projet'!$B$12,Paramètres!$A$1:$I$89,3,0)*VLOOKUP('Données projet'!$B$12,Paramètres!$A$1:$I$89,5,0)</f>
        <v>158.47103999999996</v>
      </c>
      <c r="CA42" s="14">
        <f t="shared" si="39"/>
        <v>40.497461727609561</v>
      </c>
      <c r="CB42" s="22">
        <f t="shared" si="10"/>
        <v>346.53680717558655</v>
      </c>
      <c r="CC42" s="62">
        <f t="shared" si="11"/>
        <v>639.8701405089198</v>
      </c>
      <c r="CD42" s="62">
        <f ca="1">AVERAGE(OFFSET($CC$3,0,0,'Données projet'!$E$12+1,1))-AVERAGE(OFFSET($H$3,0,0,'Données projet'!$E$12+1,1))</f>
        <v>327.62212115491479</v>
      </c>
      <c r="CE42" s="62">
        <f t="shared" si="40"/>
        <v>348.84706693879735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19.149404182757809</v>
      </c>
      <c r="CM42" s="23">
        <f>EXP(-LN(2)/2)*CM41+(1-EXP(-LN(2)/2))/(LN(2)/2)*CG42*CJ42*VLOOKUP('Données projet'!$B$12,Paramètres!$A$1:$I$89,3,0)*0.475*44/12</f>
        <v>3.7603992121856673</v>
      </c>
      <c r="CN42" s="24">
        <f t="shared" si="12"/>
        <v>22.909803394943477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9.4</v>
      </c>
      <c r="CT42" s="13">
        <f>IF('Données projet'!$A$140&gt;35,CT41+CS42-DB41,IF(A42&lt;'Données projet'!$A$140,$CQ$205^A42,IF(A42='Données projet'!$A$140,'Données projet'!$B$140,CT41+CS42-DB41)))</f>
        <v>182.60000000000005</v>
      </c>
      <c r="CU42" s="18">
        <f>CT42*VLOOKUP('Données projet'!$B$13,Paramètres!$A$1:$I$89,3,0)*VLOOKUP('Données projet'!$B$13,Paramètres!$A$1:$I$89,5,0)</f>
        <v>133.88232000000002</v>
      </c>
      <c r="CV42" s="14">
        <f t="shared" si="41"/>
        <v>34.89190733724724</v>
      </c>
      <c r="CW42" s="22">
        <f t="shared" si="13"/>
        <v>293.9484459457056</v>
      </c>
      <c r="CX42" s="62">
        <f t="shared" si="14"/>
        <v>587.28177927903891</v>
      </c>
      <c r="CY42" s="62">
        <f ca="1">AVERAGE(OFFSET($CX$3,0,0,'Données projet'!$E$13+1,1))-AVERAGE(OFFSET($H$3,0,0,'Données projet'!$E$13+1,1))</f>
        <v>277.97613250285963</v>
      </c>
      <c r="CZ42" s="62">
        <f t="shared" si="42"/>
        <v>274.55710362891892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6.7098168332861565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6.7098168332861565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364.63511534965755</v>
      </c>
      <c r="T43" s="62">
        <f t="shared" si="34"/>
        <v>233.32640143610541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2.0454240164399935</v>
      </c>
      <c r="AB43" s="23">
        <f>EXP(-LN(2)/2)*AB42+(1-EXP(-LN(2)/2))/(LN(2)/2)*V43*Y43*VLOOKUP('Données projet'!$B$9,Paramètres!$A$1:$I$89,3,0)*0.475*44/12</f>
        <v>0.39216988560387006</v>
      </c>
      <c r="AC43" s="24">
        <f t="shared" si="3"/>
        <v>2.4375939020438637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598.06756449035197</v>
      </c>
      <c r="AN43" s="62">
        <f ca="1">AVERAGE(OFFSET($AM$3,0,0,'Données projet'!$E$10+1,1))-AVERAGE(OFFSET($H$3,0,0,'Données projet'!$E$10+1,1))</f>
        <v>403.82490501309815</v>
      </c>
      <c r="AO43" s="62">
        <f t="shared" si="36"/>
        <v>256.4377087753457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2.2922855356655103</v>
      </c>
      <c r="AW43" s="23">
        <f>EXP(-LN(2)/2)*AW42+(1-EXP(-LN(2)/2))/(LN(2)/2)*AQ43*AT43*VLOOKUP('Données projet'!$B$10,Paramètres!$A$1:$I$89,3,0)*0.475*44/12</f>
        <v>0.43950073386640615</v>
      </c>
      <c r="AX43" s="23">
        <f t="shared" si="6"/>
        <v>2.7317862695319164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132.50640000000001</v>
      </c>
      <c r="BF43" s="14">
        <f t="shared" si="37"/>
        <v>34.574869530248939</v>
      </c>
      <c r="BG43" s="22">
        <f t="shared" si="7"/>
        <v>290.99987776518356</v>
      </c>
      <c r="BH43" s="62">
        <f t="shared" si="8"/>
        <v>584.33321109851681</v>
      </c>
      <c r="BI43" s="62">
        <f ca="1">AVERAGE(OFFSET($BH$3,0,0,'Données projet'!$E$11+1,1))-AVERAGE(OFFSET($H$3,0,0,'Données projet'!$E$11+1,1))</f>
        <v>387.04070351732537</v>
      </c>
      <c r="BJ43" s="62">
        <f t="shared" si="38"/>
        <v>246.54010105494137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2.1864877417117174</v>
      </c>
      <c r="BR43" s="23">
        <f>EXP(-LN(2)/2)*BR42+(1-EXP(-LN(2)/2))/(LN(2)/2)*BL43*BO43*VLOOKUP('Données projet'!$B$11,Paramètres!$A$1:$I$89,3,0)*0.475*44/12</f>
        <v>0.41921608461103371</v>
      </c>
      <c r="BS43" s="24">
        <f t="shared" si="9"/>
        <v>2.6057038263227512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191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190.99999999999994</v>
      </c>
      <c r="BZ43" s="14">
        <f>BY43*VLOOKUP('Données projet'!$B$12,Paramètres!$A$1:$I$89,3,0)*VLOOKUP('Données projet'!$B$12,Paramètres!$A$1:$I$89,5,0)</f>
        <v>166.85759999999996</v>
      </c>
      <c r="CA43" s="14">
        <f t="shared" si="39"/>
        <v>42.385468111966098</v>
      </c>
      <c r="CB43" s="22">
        <f t="shared" si="10"/>
        <v>364.43167696167421</v>
      </c>
      <c r="CC43" s="62">
        <f t="shared" si="11"/>
        <v>657.76501029500753</v>
      </c>
      <c r="CD43" s="62">
        <f ca="1">AVERAGE(OFFSET($CC$3,0,0,'Données projet'!$E$12+1,1))-AVERAGE(OFFSET($H$3,0,0,'Données projet'!$E$12+1,1))</f>
        <v>327.62212115491479</v>
      </c>
      <c r="CE43" s="62">
        <f t="shared" si="40"/>
        <v>348.84706693879735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33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18.625762718356899</v>
      </c>
      <c r="CM43" s="23">
        <f>EXP(-LN(2)/2)*CM42+(1-EXP(-LN(2)/2))/(LN(2)/2)*CG43*CJ43*VLOOKUP('Données projet'!$B$12,Paramètres!$A$1:$I$89,3,0)*0.475*44/12</f>
        <v>2.6590037829050366</v>
      </c>
      <c r="CN43" s="24">
        <f t="shared" si="12"/>
        <v>21.284766501261934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192</v>
      </c>
      <c r="CR43" s="13">
        <f>VLOOKUP(A43,'Données projet'!$A$139:$I$159,9,0)</f>
        <v>9.4</v>
      </c>
      <c r="CS43" s="13">
        <f t="array" ref="CS43">INDEX(CR:CR,MIN(IF(ISNUMBER(CR43:CR239),ROW(CR43:CR239),"")))</f>
        <v>9.4</v>
      </c>
      <c r="CT43" s="13">
        <f>IF('Données projet'!$A$140&gt;35,CT42+CS43-DB42,IF(A43&lt;'Données projet'!$A$140,$CQ$205^A43,IF(A43='Données projet'!$A$140,'Données projet'!$B$140,CT42+CS43-DB42)))</f>
        <v>192.00000000000006</v>
      </c>
      <c r="CU43" s="18">
        <f>CT43*VLOOKUP('Données projet'!$B$13,Paramètres!$A$1:$I$89,3,0)*VLOOKUP('Données projet'!$B$13,Paramètres!$A$1:$I$89,5,0)</f>
        <v>140.77440000000004</v>
      </c>
      <c r="CV43" s="14">
        <f t="shared" si="41"/>
        <v>36.474352666172102</v>
      </c>
      <c r="CW43" s="22">
        <f t="shared" si="13"/>
        <v>308.70824422691652</v>
      </c>
      <c r="CX43" s="62">
        <f t="shared" si="14"/>
        <v>602.04157756024983</v>
      </c>
      <c r="CY43" s="62">
        <f ca="1">AVERAGE(OFFSET($CX$3,0,0,'Données projet'!$E$13+1,1))-AVERAGE(OFFSET($H$3,0,0,'Données projet'!$E$13+1,1))</f>
        <v>277.97613250285963</v>
      </c>
      <c r="CZ43" s="62">
        <f t="shared" si="42"/>
        <v>274.55710362891892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6.5782414177695738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6.5782414177695738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364.63511534965755</v>
      </c>
      <c r="T44" s="62">
        <f t="shared" si="34"/>
        <v>233.32640143610541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1.9894917891462678</v>
      </c>
      <c r="AB44" s="23">
        <f>EXP(-LN(2)/2)*AB43+(1-EXP(-LN(2)/2))/(LN(2)/2)*V44*Y44*VLOOKUP('Données projet'!$B$9,Paramètres!$A$1:$I$89,3,0)*0.475*44/12</f>
        <v>0.27730598548764912</v>
      </c>
      <c r="AC44" s="24">
        <f t="shared" si="3"/>
        <v>2.266797774633917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126.1416</v>
      </c>
      <c r="AK44" s="14">
        <f t="shared" si="35"/>
        <v>33.10323903126482</v>
      </c>
      <c r="AL44" s="22">
        <f t="shared" si="4"/>
        <v>277.35142797945286</v>
      </c>
      <c r="AM44" s="62">
        <f t="shared" si="5"/>
        <v>570.68476131278612</v>
      </c>
      <c r="AN44" s="62">
        <f ca="1">AVERAGE(OFFSET($AM$3,0,0,'Données projet'!$E$10+1,1))-AVERAGE(OFFSET($H$3,0,0,'Données projet'!$E$10+1,1))</f>
        <v>403.82490501309815</v>
      </c>
      <c r="AO44" s="62">
        <f t="shared" si="36"/>
        <v>256.4377087753457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2.2296028671466797</v>
      </c>
      <c r="AW44" s="23">
        <f>EXP(-LN(2)/2)*AW43+(1-EXP(-LN(2)/2))/(LN(2)/2)*AQ44*AT44*VLOOKUP('Données projet'!$B$10,Paramètres!$A$1:$I$89,3,0)*0.475*44/12</f>
        <v>0.31077394925339991</v>
      </c>
      <c r="AX44" s="23">
        <f t="shared" si="6"/>
        <v>2.5403768164000797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120.31968000000001</v>
      </c>
      <c r="BF44" s="14">
        <f t="shared" si="37"/>
        <v>31.74954785566829</v>
      </c>
      <c r="BG44" s="22">
        <f t="shared" si="7"/>
        <v>264.85390518195555</v>
      </c>
      <c r="BH44" s="62">
        <f t="shared" si="8"/>
        <v>558.18723851528887</v>
      </c>
      <c r="BI44" s="62">
        <f ca="1">AVERAGE(OFFSET($BH$3,0,0,'Données projet'!$E$11+1,1))-AVERAGE(OFFSET($H$3,0,0,'Données projet'!$E$11+1,1))</f>
        <v>387.04070351732537</v>
      </c>
      <c r="BJ44" s="62">
        <f t="shared" si="38"/>
        <v>246.54010105494137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2.1266981194322176</v>
      </c>
      <c r="BR44" s="23">
        <f>EXP(-LN(2)/2)*BR43+(1-EXP(-LN(2)/2))/(LN(2)/2)*BL44*BO44*VLOOKUP('Données projet'!$B$11,Paramètres!$A$1:$I$89,3,0)*0.475*44/12</f>
        <v>0.2964305362109354</v>
      </c>
      <c r="BS44" s="24">
        <f t="shared" si="9"/>
        <v>2.4231286556431533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8.6</v>
      </c>
      <c r="BY44" s="13">
        <f>IF('Données projet'!$A$114&gt;35,BY43+BX44-CG43,IF(A44&lt;'Données projet'!$A$114,$BV$205^A44,IF(A44='Données projet'!$A$114,'Données projet'!$B$114,BY43+BX44-CG43)))</f>
        <v>166.59999999999994</v>
      </c>
      <c r="BZ44" s="14">
        <f>BY44*VLOOKUP('Données projet'!$B$12,Paramètres!$A$1:$I$89,3,0)*VLOOKUP('Données projet'!$B$12,Paramètres!$A$1:$I$89,5,0)</f>
        <v>145.54175999999998</v>
      </c>
      <c r="CA44" s="14">
        <f t="shared" si="39"/>
        <v>37.563662342876064</v>
      </c>
      <c r="CB44" s="22">
        <f t="shared" si="10"/>
        <v>318.90861058050911</v>
      </c>
      <c r="CC44" s="62">
        <f t="shared" si="11"/>
        <v>612.24194391384242</v>
      </c>
      <c r="CD44" s="62">
        <f ca="1">AVERAGE(OFFSET($CC$3,0,0,'Données projet'!$E$12+1,1))-AVERAGE(OFFSET($H$3,0,0,'Données projet'!$E$12+1,1))</f>
        <v>327.62212115491479</v>
      </c>
      <c r="CE44" s="62">
        <f t="shared" si="40"/>
        <v>348.84706693879735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18.116440257337139</v>
      </c>
      <c r="CM44" s="23">
        <f>EXP(-LN(2)/2)*CM43+(1-EXP(-LN(2)/2))/(LN(2)/2)*CG44*CJ44*VLOOKUP('Données projet'!$B$12,Paramètres!$A$1:$I$89,3,0)*0.475*44/12</f>
        <v>1.8801996060928339</v>
      </c>
      <c r="CN44" s="24">
        <f t="shared" si="12"/>
        <v>19.996639863429973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8.1999999999999993</v>
      </c>
      <c r="CT44" s="13">
        <f>IF('Données projet'!$A$140&gt;35,CT43+CS44-DB43,IF(A44&lt;'Données projet'!$A$140,$CQ$205^A44,IF(A44='Données projet'!$A$140,'Données projet'!$B$140,CT43+CS44-DB43)))</f>
        <v>172.20000000000005</v>
      </c>
      <c r="CU44" s="18">
        <f>CT44*VLOOKUP('Données projet'!$B$13,Paramètres!$A$1:$I$89,3,0)*VLOOKUP('Données projet'!$B$13,Paramètres!$A$1:$I$89,5,0)</f>
        <v>126.25704000000002</v>
      </c>
      <c r="CV44" s="14">
        <f t="shared" si="41"/>
        <v>33.130006114881255</v>
      </c>
      <c r="CW44" s="22">
        <f t="shared" si="13"/>
        <v>277.59910531675155</v>
      </c>
      <c r="CX44" s="62">
        <f t="shared" si="14"/>
        <v>570.9324386500848</v>
      </c>
      <c r="CY44" s="62">
        <f ca="1">AVERAGE(OFFSET($CX$3,0,0,'Données projet'!$E$13+1,1))-AVERAGE(OFFSET($H$3,0,0,'Données projet'!$E$13+1,1))</f>
        <v>277.97613250285963</v>
      </c>
      <c r="CZ44" s="62">
        <f t="shared" si="42"/>
        <v>274.55710362891892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6.4492461158981929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6.4492461158981929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364.63511534965755</v>
      </c>
      <c r="T45" s="62">
        <f t="shared" si="34"/>
        <v>233.32640143610541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1.9350890315492368</v>
      </c>
      <c r="AB45" s="23">
        <f>EXP(-LN(2)/2)*AB44+(1-EXP(-LN(2)/2))/(LN(2)/2)*V45*Y45*VLOOKUP('Données projet'!$B$9,Paramètres!$A$1:$I$89,3,0)*0.475*44/12</f>
        <v>0.19608494280193503</v>
      </c>
      <c r="AC45" s="24">
        <f t="shared" si="3"/>
        <v>2.1311739743511717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134.65920000000003</v>
      </c>
      <c r="AK45" s="14">
        <f t="shared" si="35"/>
        <v>35.07074737441733</v>
      </c>
      <c r="AL45" s="22">
        <f t="shared" si="4"/>
        <v>295.61299167711019</v>
      </c>
      <c r="AM45" s="62">
        <f t="shared" si="5"/>
        <v>588.9463250104435</v>
      </c>
      <c r="AN45" s="62">
        <f ca="1">AVERAGE(OFFSET($AM$3,0,0,'Données projet'!$E$10+1,1))-AVERAGE(OFFSET($H$3,0,0,'Données projet'!$E$10+1,1))</f>
        <v>403.82490501309815</v>
      </c>
      <c r="AO45" s="62">
        <f t="shared" si="36"/>
        <v>256.4377087753457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2.1686342594948349</v>
      </c>
      <c r="AW45" s="23">
        <f>EXP(-LN(2)/2)*AW44+(1-EXP(-LN(2)/2))/(LN(2)/2)*AQ45*AT45*VLOOKUP('Données projet'!$B$10,Paramètres!$A$1:$I$89,3,0)*0.475*44/12</f>
        <v>0.21975036693320307</v>
      </c>
      <c r="AX45" s="23">
        <f t="shared" si="6"/>
        <v>2.3883846264280382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128.44416000000001</v>
      </c>
      <c r="BF45" s="14">
        <f t="shared" si="37"/>
        <v>33.636598855068925</v>
      </c>
      <c r="BG45" s="22">
        <f t="shared" si="7"/>
        <v>282.29065500591173</v>
      </c>
      <c r="BH45" s="62">
        <f t="shared" si="8"/>
        <v>575.62398833924499</v>
      </c>
      <c r="BI45" s="62">
        <f ca="1">AVERAGE(OFFSET($BH$3,0,0,'Données projet'!$E$11+1,1))-AVERAGE(OFFSET($H$3,0,0,'Données projet'!$E$11+1,1))</f>
        <v>387.04070351732537</v>
      </c>
      <c r="BJ45" s="62">
        <f t="shared" si="38"/>
        <v>246.54010105494137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2.0685434475181501</v>
      </c>
      <c r="BR45" s="23">
        <f>EXP(-LN(2)/2)*BR44+(1-EXP(-LN(2)/2))/(LN(2)/2)*BL45*BO45*VLOOKUP('Données projet'!$B$11,Paramètres!$A$1:$I$89,3,0)*0.475*44/12</f>
        <v>0.20960804230551686</v>
      </c>
      <c r="BS45" s="24">
        <f t="shared" si="9"/>
        <v>2.2781514898236668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8.6</v>
      </c>
      <c r="BY45" s="13">
        <f>IF('Données projet'!$A$114&gt;35,BY44+BX45-CG44,IF(A45&lt;'Données projet'!$A$114,$BV$205^A45,IF(A45='Données projet'!$A$114,'Données projet'!$B$114,BY44+BX45-CG44)))</f>
        <v>175.19999999999993</v>
      </c>
      <c r="BZ45" s="14">
        <f>BY45*VLOOKUP('Données projet'!$B$12,Paramètres!$A$1:$I$89,3,0)*VLOOKUP('Données projet'!$B$12,Paramètres!$A$1:$I$89,5,0)</f>
        <v>153.05471999999995</v>
      </c>
      <c r="CA45" s="14">
        <f t="shared" si="39"/>
        <v>39.271965088385166</v>
      </c>
      <c r="CB45" s="22">
        <f t="shared" si="10"/>
        <v>334.96897652893739</v>
      </c>
      <c r="CC45" s="62">
        <f t="shared" si="11"/>
        <v>628.3023098622707</v>
      </c>
      <c r="CD45" s="62">
        <f ca="1">AVERAGE(OFFSET($CC$3,0,0,'Données projet'!$E$12+1,1))-AVERAGE(OFFSET($H$3,0,0,'Données projet'!$E$12+1,1))</f>
        <v>327.62212115491479</v>
      </c>
      <c r="CE45" s="62">
        <f t="shared" si="40"/>
        <v>348.84706693879735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17.621045245798069</v>
      </c>
      <c r="CM45" s="23">
        <f>EXP(-LN(2)/2)*CM44+(1-EXP(-LN(2)/2))/(LN(2)/2)*CG45*CJ45*VLOOKUP('Données projet'!$B$12,Paramètres!$A$1:$I$89,3,0)*0.475*44/12</f>
        <v>1.3295018914525185</v>
      </c>
      <c r="CN45" s="24">
        <f t="shared" si="12"/>
        <v>18.950547137250588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8.1999999999999993</v>
      </c>
      <c r="CT45" s="13">
        <f>IF('Données projet'!$A$140&gt;35,CT44+CS45-DB44,IF(A45&lt;'Données projet'!$A$140,$CQ$205^A45,IF(A45='Données projet'!$A$140,'Données projet'!$B$140,CT44+CS45-DB44)))</f>
        <v>180.40000000000003</v>
      </c>
      <c r="CU45" s="18">
        <f>CT45*VLOOKUP('Données projet'!$B$13,Paramètres!$A$1:$I$89,3,0)*VLOOKUP('Données projet'!$B$13,Paramètres!$A$1:$I$89,5,0)</f>
        <v>132.26928000000001</v>
      </c>
      <c r="CV45" s="14">
        <f t="shared" si="41"/>
        <v>34.52019401964877</v>
      </c>
      <c r="CW45" s="22">
        <f t="shared" si="13"/>
        <v>290.49166725088827</v>
      </c>
      <c r="CX45" s="62">
        <f t="shared" si="14"/>
        <v>583.82500058422158</v>
      </c>
      <c r="CY45" s="62">
        <f ca="1">AVERAGE(OFFSET($CX$3,0,0,'Données projet'!$E$13+1,1))-AVERAGE(OFFSET($H$3,0,0,'Données projet'!$E$13+1,1))</f>
        <v>277.97613250285963</v>
      </c>
      <c r="CZ45" s="62">
        <f t="shared" si="42"/>
        <v>274.55710362891892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6.3227803332171444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6.3227803332171444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364.63511534965755</v>
      </c>
      <c r="T46" s="62">
        <f t="shared" si="34"/>
        <v>233.32640143610541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1.8821739202196135</v>
      </c>
      <c r="AB46" s="23">
        <f>EXP(-LN(2)/2)*AB45+(1-EXP(-LN(2)/2))/(LN(2)/2)*V46*Y46*VLOOKUP('Données projet'!$B$9,Paramètres!$A$1:$I$89,3,0)*0.475*44/12</f>
        <v>0.13865299274382456</v>
      </c>
      <c r="AC46" s="24">
        <f t="shared" si="3"/>
        <v>2.0208269129634382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403.82490501309815</v>
      </c>
      <c r="AO46" s="62">
        <f t="shared" si="36"/>
        <v>256.4377087753457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2.1093328416254296</v>
      </c>
      <c r="AW46" s="23">
        <f>EXP(-LN(2)/2)*AW45+(1-EXP(-LN(2)/2))/(LN(2)/2)*AQ46*AT46*VLOOKUP('Données projet'!$B$10,Paramètres!$A$1:$I$89,3,0)*0.475*44/12</f>
        <v>0.15538697462669995</v>
      </c>
      <c r="AX46" s="23">
        <f t="shared" si="6"/>
        <v>2.2647198162521294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136.56864000000002</v>
      </c>
      <c r="BF46" s="14">
        <f t="shared" si="37"/>
        <v>35.509797430964703</v>
      </c>
      <c r="BG46" s="22">
        <f t="shared" si="7"/>
        <v>299.70327852559689</v>
      </c>
      <c r="BH46" s="62">
        <f t="shared" si="8"/>
        <v>593.0366118589302</v>
      </c>
      <c r="BI46" s="62">
        <f ca="1">AVERAGE(OFFSET($BH$3,0,0,'Données projet'!$E$11+1,1))-AVERAGE(OFFSET($H$3,0,0,'Données projet'!$E$11+1,1))</f>
        <v>387.04070351732537</v>
      </c>
      <c r="BJ46" s="62">
        <f t="shared" si="38"/>
        <v>246.54010105494137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2.0119790181657939</v>
      </c>
      <c r="BR46" s="23">
        <f>EXP(-LN(2)/2)*BR45+(1-EXP(-LN(2)/2))/(LN(2)/2)*BL46*BO46*VLOOKUP('Données projet'!$B$11,Paramètres!$A$1:$I$89,3,0)*0.475*44/12</f>
        <v>0.1482152681054677</v>
      </c>
      <c r="BS46" s="24">
        <f t="shared" si="9"/>
        <v>2.1601942862712615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8.6</v>
      </c>
      <c r="BY46" s="13">
        <f>IF('Données projet'!$A$114&gt;35,BY45+BX46-CG45,IF(A46&lt;'Données projet'!$A$114,$BV$205^A46,IF(A46='Données projet'!$A$114,'Données projet'!$B$114,BY45+BX46-CG45)))</f>
        <v>183.79999999999993</v>
      </c>
      <c r="BZ46" s="14">
        <f>BY46*VLOOKUP('Données projet'!$B$12,Paramètres!$A$1:$I$89,3,0)*VLOOKUP('Données projet'!$B$12,Paramètres!$A$1:$I$89,5,0)</f>
        <v>160.56767999999997</v>
      </c>
      <c r="CA46" s="14">
        <f t="shared" si="39"/>
        <v>40.970530810309882</v>
      </c>
      <c r="CB46" s="22">
        <f t="shared" si="10"/>
        <v>351.01238382795628</v>
      </c>
      <c r="CC46" s="62">
        <f t="shared" si="11"/>
        <v>644.3457171612896</v>
      </c>
      <c r="CD46" s="62">
        <f ca="1">AVERAGE(OFFSET($CC$3,0,0,'Données projet'!$E$12+1,1))-AVERAGE(OFFSET($H$3,0,0,'Données projet'!$E$12+1,1))</f>
        <v>327.62212115491479</v>
      </c>
      <c r="CE46" s="62">
        <f t="shared" si="40"/>
        <v>348.84706693879735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17.139196836901224</v>
      </c>
      <c r="CM46" s="23">
        <f>EXP(-LN(2)/2)*CM45+(1-EXP(-LN(2)/2))/(LN(2)/2)*CG46*CJ46*VLOOKUP('Données projet'!$B$12,Paramètres!$A$1:$I$89,3,0)*0.475*44/12</f>
        <v>0.94009980304641716</v>
      </c>
      <c r="CN46" s="24">
        <f t="shared" si="12"/>
        <v>18.079296639947643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8.1999999999999993</v>
      </c>
      <c r="CT46" s="13">
        <f>IF('Données projet'!$A$140&gt;35,CT45+CS46-DB45,IF(A46&lt;'Données projet'!$A$140,$CQ$205^A46,IF(A46='Données projet'!$A$140,'Données projet'!$B$140,CT45+CS46-DB45)))</f>
        <v>188.60000000000002</v>
      </c>
      <c r="CU46" s="18">
        <f>CT46*VLOOKUP('Données projet'!$B$13,Paramètres!$A$1:$I$89,3,0)*VLOOKUP('Données projet'!$B$13,Paramètres!$A$1:$I$89,5,0)</f>
        <v>138.28152000000003</v>
      </c>
      <c r="CV46" s="14">
        <f t="shared" si="41"/>
        <v>35.903043322174675</v>
      </c>
      <c r="CW46" s="22">
        <f t="shared" si="13"/>
        <v>303.37144778612094</v>
      </c>
      <c r="CX46" s="62">
        <f t="shared" si="14"/>
        <v>596.70478111945431</v>
      </c>
      <c r="CY46" s="62">
        <f ca="1">AVERAGE(OFFSET($CX$3,0,0,'Données projet'!$E$13+1,1))-AVERAGE(OFFSET($H$3,0,0,'Données projet'!$E$13+1,1))</f>
        <v>277.97613250285963</v>
      </c>
      <c r="CZ46" s="62">
        <f t="shared" si="42"/>
        <v>274.55710362891892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6.1987944673979598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6.1987944673979598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364.63511534965755</v>
      </c>
      <c r="T47" s="62">
        <f t="shared" si="34"/>
        <v>233.32640143610541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1.8307057753919835</v>
      </c>
      <c r="AB47" s="23">
        <f>EXP(-LN(2)/2)*AB46+(1-EXP(-LN(2)/2))/(LN(2)/2)*V47*Y47*VLOOKUP('Données projet'!$B$9,Paramètres!$A$1:$I$89,3,0)*0.475*44/12</f>
        <v>9.8042471400967515E-2</v>
      </c>
      <c r="AC47" s="24">
        <f t="shared" si="3"/>
        <v>1.9287482467929511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151.69440000000003</v>
      </c>
      <c r="AK47" s="14">
        <f t="shared" si="35"/>
        <v>38.963392010880654</v>
      </c>
      <c r="AL47" s="22">
        <f t="shared" si="4"/>
        <v>332.06232108561716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403.82490501309815</v>
      </c>
      <c r="AO47" s="62">
        <f t="shared" si="36"/>
        <v>256.4377087753457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2.051653024146189</v>
      </c>
      <c r="AW47" s="23">
        <f>EXP(-LN(2)/2)*AW46+(1-EXP(-LN(2)/2))/(LN(2)/2)*AQ47*AT47*VLOOKUP('Données projet'!$B$10,Paramètres!$A$1:$I$89,3,0)*0.475*44/12</f>
        <v>0.10987518346660154</v>
      </c>
      <c r="AX47" s="23">
        <f t="shared" si="6"/>
        <v>2.1615282076127906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144.69312000000002</v>
      </c>
      <c r="BF47" s="14">
        <f t="shared" si="37"/>
        <v>37.370061524802772</v>
      </c>
      <c r="BG47" s="22">
        <f t="shared" si="7"/>
        <v>317.09337448903148</v>
      </c>
      <c r="BH47" s="62">
        <f t="shared" si="8"/>
        <v>610.42670782236473</v>
      </c>
      <c r="BI47" s="62">
        <f ca="1">AVERAGE(OFFSET($BH$3,0,0,'Données projet'!$E$11+1,1))-AVERAGE(OFFSET($H$3,0,0,'Données projet'!$E$11+1,1))</f>
        <v>387.04070351732537</v>
      </c>
      <c r="BJ47" s="62">
        <f t="shared" si="38"/>
        <v>246.54010105494137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1.9569613461086721</v>
      </c>
      <c r="BR47" s="23">
        <f>EXP(-LN(2)/2)*BR46+(1-EXP(-LN(2)/2))/(LN(2)/2)*BL47*BO47*VLOOKUP('Données projet'!$B$11,Paramètres!$A$1:$I$89,3,0)*0.475*44/12</f>
        <v>0.10480402115275843</v>
      </c>
      <c r="BS47" s="24">
        <f t="shared" si="9"/>
        <v>2.0617653672614304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8.6</v>
      </c>
      <c r="BY47" s="13">
        <f>IF('Données projet'!$A$114&gt;35,BY46+BX47-CG46,IF(A47&lt;'Données projet'!$A$114,$BV$205^A47,IF(A47='Données projet'!$A$114,'Données projet'!$B$114,BY46+BX47-CG46)))</f>
        <v>192.39999999999992</v>
      </c>
      <c r="BZ47" s="14">
        <f>BY47*VLOOKUP('Données projet'!$B$12,Paramètres!$A$1:$I$89,3,0)*VLOOKUP('Données projet'!$B$12,Paramètres!$A$1:$I$89,5,0)</f>
        <v>168.08063999999996</v>
      </c>
      <c r="CA47" s="14">
        <f t="shared" si="39"/>
        <v>42.659867131343425</v>
      </c>
      <c r="CB47" s="22">
        <f t="shared" si="10"/>
        <v>367.03971658708974</v>
      </c>
      <c r="CC47" s="62">
        <f t="shared" si="11"/>
        <v>660.373049920423</v>
      </c>
      <c r="CD47" s="62">
        <f ca="1">AVERAGE(OFFSET($CC$3,0,0,'Données projet'!$E$12+1,1))-AVERAGE(OFFSET($H$3,0,0,'Données projet'!$E$12+1,1))</f>
        <v>327.62212115491479</v>
      </c>
      <c r="CE47" s="62">
        <f t="shared" si="40"/>
        <v>348.84706693879735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16.67052459808497</v>
      </c>
      <c r="CM47" s="23">
        <f>EXP(-LN(2)/2)*CM46+(1-EXP(-LN(2)/2))/(LN(2)/2)*CG47*CJ47*VLOOKUP('Données projet'!$B$12,Paramètres!$A$1:$I$89,3,0)*0.475*44/12</f>
        <v>0.66475094572625937</v>
      </c>
      <c r="CN47" s="24">
        <f t="shared" si="12"/>
        <v>17.335275543811228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8.1999999999999993</v>
      </c>
      <c r="CT47" s="13">
        <f>IF('Données projet'!$A$140&gt;35,CT46+CS47-DB46,IF(A47&lt;'Données projet'!$A$140,$CQ$205^A47,IF(A47='Données projet'!$A$140,'Données projet'!$B$140,CT46+CS47-DB46)))</f>
        <v>196.8</v>
      </c>
      <c r="CU47" s="18">
        <f>CT47*VLOOKUP('Données projet'!$B$13,Paramètres!$A$1:$I$89,3,0)*VLOOKUP('Données projet'!$B$13,Paramètres!$A$1:$I$89,5,0)</f>
        <v>144.29375999999999</v>
      </c>
      <c r="CV47" s="14">
        <f t="shared" si="41"/>
        <v>37.278909560653958</v>
      </c>
      <c r="CW47" s="22">
        <f t="shared" si="13"/>
        <v>316.23906615147223</v>
      </c>
      <c r="CX47" s="62">
        <f t="shared" si="14"/>
        <v>609.5723994848056</v>
      </c>
      <c r="CY47" s="62">
        <f ca="1">AVERAGE(OFFSET($CX$3,0,0,'Données projet'!$E$13+1,1))-AVERAGE(OFFSET($H$3,0,0,'Données projet'!$E$13+1,1))</f>
        <v>277.97613250285963</v>
      </c>
      <c r="CZ47" s="62">
        <f t="shared" si="42"/>
        <v>274.55710362891892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6.0772398887835788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6.0772398887835788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364.63511534965755</v>
      </c>
      <c r="T48" s="62">
        <f t="shared" si="34"/>
        <v>233.32640143610541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1.7806450296912573</v>
      </c>
      <c r="AB48" s="23">
        <f>EXP(-LN(2)/2)*AB47+(1-EXP(-LN(2)/2))/(LN(2)/2)*V48*Y48*VLOOKUP('Données projet'!$B$9,Paramètres!$A$1:$I$89,3,0)*0.475*44/12</f>
        <v>6.932649637191228E-2</v>
      </c>
      <c r="AC48" s="24">
        <f t="shared" si="3"/>
        <v>1.8499715260631695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160.21200000000005</v>
      </c>
      <c r="AK48" s="14">
        <f t="shared" si="35"/>
        <v>40.890328912852695</v>
      </c>
      <c r="AL48" s="22">
        <f t="shared" si="4"/>
        <v>350.25322285655176</v>
      </c>
      <c r="AM48" s="62">
        <f t="shared" si="5"/>
        <v>643.58655618988507</v>
      </c>
      <c r="AN48" s="62">
        <f ca="1">AVERAGE(OFFSET($AM$3,0,0,'Données projet'!$E$10+1,1))-AVERAGE(OFFSET($H$3,0,0,'Données projet'!$E$10+1,1))</f>
        <v>403.82490501309815</v>
      </c>
      <c r="AO48" s="62">
        <f t="shared" si="36"/>
        <v>256.4377087753457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1.9955504643091679</v>
      </c>
      <c r="AW48" s="23">
        <f>EXP(-LN(2)/2)*AW47+(1-EXP(-LN(2)/2))/(LN(2)/2)*AQ48*AT48*VLOOKUP('Données projet'!$B$10,Paramètres!$A$1:$I$89,3,0)*0.475*44/12</f>
        <v>7.7693487313349976E-2</v>
      </c>
      <c r="AX48" s="23">
        <f t="shared" si="6"/>
        <v>2.0732439516225178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152.81760000000003</v>
      </c>
      <c r="BF48" s="14">
        <f t="shared" si="37"/>
        <v>39.218200171484227</v>
      </c>
      <c r="BG48" s="22">
        <f t="shared" si="7"/>
        <v>334.46235196533502</v>
      </c>
      <c r="BH48" s="62">
        <f t="shared" si="8"/>
        <v>627.79568529866833</v>
      </c>
      <c r="BI48" s="62">
        <f ca="1">AVERAGE(OFFSET($BH$3,0,0,'Données projet'!$E$11+1,1))-AVERAGE(OFFSET($H$3,0,0,'Données projet'!$E$11+1,1))</f>
        <v>387.04070351732537</v>
      </c>
      <c r="BJ48" s="62">
        <f t="shared" si="38"/>
        <v>246.54010105494137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1.9034481351872059</v>
      </c>
      <c r="BR48" s="23">
        <f>EXP(-LN(2)/2)*BR47+(1-EXP(-LN(2)/2))/(LN(2)/2)*BL48*BO48*VLOOKUP('Données projet'!$B$11,Paramètres!$A$1:$I$89,3,0)*0.475*44/12</f>
        <v>7.4107634052733851E-2</v>
      </c>
      <c r="BS48" s="24">
        <f t="shared" si="9"/>
        <v>1.9775557692399397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201</v>
      </c>
      <c r="BW48" s="13">
        <f>VLOOKUP(A48,'Données projet'!$A$113:$I$133,9,0)</f>
        <v>8.6</v>
      </c>
      <c r="BX48" s="13">
        <f t="array" ref="BX48">INDEX(BW:BW,MIN(IF(ISNUMBER(BW48:BW244),ROW(BW48:BW244),"")))</f>
        <v>8.6</v>
      </c>
      <c r="BY48" s="13">
        <f>IF('Données projet'!$A$114&gt;35,BY47+BX48-CG47,IF(A48&lt;'Données projet'!$A$114,$BV$205^A48,IF(A48='Données projet'!$A$114,'Données projet'!$B$114,BY47+BX48-CG47)))</f>
        <v>200.99999999999991</v>
      </c>
      <c r="BZ48" s="14">
        <f>BY48*VLOOKUP('Données projet'!$B$12,Paramètres!$A$1:$I$89,3,0)*VLOOKUP('Données projet'!$B$12,Paramètres!$A$1:$I$89,5,0)</f>
        <v>175.59359999999995</v>
      </c>
      <c r="CA48" s="14">
        <f t="shared" si="39"/>
        <v>44.340433728638573</v>
      </c>
      <c r="CB48" s="22">
        <f t="shared" si="10"/>
        <v>383.05177541071203</v>
      </c>
      <c r="CC48" s="62">
        <f t="shared" si="11"/>
        <v>676.38510874404528</v>
      </c>
      <c r="CD48" s="62">
        <f ca="1">AVERAGE(OFFSET($CC$3,0,0,'Données projet'!$E$12+1,1))-AVERAGE(OFFSET($H$3,0,0,'Données projet'!$E$12+1,1))</f>
        <v>327.62212115491479</v>
      </c>
      <c r="CE48" s="62">
        <f t="shared" si="40"/>
        <v>348.84706693879735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31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16.21466822628555</v>
      </c>
      <c r="CM48" s="23">
        <f>EXP(-LN(2)/2)*CM47+(1-EXP(-LN(2)/2))/(LN(2)/2)*CG48*CJ48*VLOOKUP('Données projet'!$B$12,Paramètres!$A$1:$I$89,3,0)*0.475*44/12</f>
        <v>0.47004990152320864</v>
      </c>
      <c r="CN48" s="24">
        <f t="shared" si="12"/>
        <v>16.684718127808758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205</v>
      </c>
      <c r="CR48" s="13">
        <f>VLOOKUP(A48,'Données projet'!$A$139:$I$159,9,0)</f>
        <v>8.1999999999999993</v>
      </c>
      <c r="CS48" s="13">
        <f t="array" ref="CS48">INDEX(CR:CR,MIN(IF(ISNUMBER(CR48:CR244),ROW(CR48:CR244),"")))</f>
        <v>8.1999999999999993</v>
      </c>
      <c r="CT48" s="13">
        <f>IF('Données projet'!$A$140&gt;35,CT47+CS48-DB47,IF(A48&lt;'Données projet'!$A$140,$CQ$205^A48,IF(A48='Données projet'!$A$140,'Données projet'!$B$140,CT47+CS48-DB47)))</f>
        <v>205</v>
      </c>
      <c r="CU48" s="18">
        <f>CT48*VLOOKUP('Données projet'!$B$13,Paramètres!$A$1:$I$89,3,0)*VLOOKUP('Données projet'!$B$13,Paramètres!$A$1:$I$89,5,0)</f>
        <v>150.30599999999998</v>
      </c>
      <c r="CV48" s="14">
        <f t="shared" si="41"/>
        <v>38.648116968856677</v>
      </c>
      <c r="CW48" s="22">
        <f t="shared" si="13"/>
        <v>329.09508705409201</v>
      </c>
      <c r="CX48" s="62">
        <f t="shared" si="14"/>
        <v>622.42842038742538</v>
      </c>
      <c r="CY48" s="62">
        <f ca="1">AVERAGE(OFFSET($CX$3,0,0,'Données projet'!$E$13+1,1))-AVERAGE(OFFSET($H$3,0,0,'Données projet'!$E$13+1,1))</f>
        <v>277.97613250285963</v>
      </c>
      <c r="CZ48" s="62">
        <f t="shared" si="42"/>
        <v>274.55710362891892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22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5.9580689213148537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5.9580689213148537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364.63511534965755</v>
      </c>
      <c r="T49" s="62">
        <f t="shared" si="34"/>
        <v>233.32640143610541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1.7319531977142975</v>
      </c>
      <c r="AB49" s="23">
        <f>EXP(-LN(2)/2)*AB48+(1-EXP(-LN(2)/2))/(LN(2)/2)*V49*Y49*VLOOKUP('Données projet'!$B$9,Paramètres!$A$1:$I$89,3,0)*0.475*44/12</f>
        <v>4.9021235700483758E-2</v>
      </c>
      <c r="AC49" s="24">
        <f t="shared" si="3"/>
        <v>1.7809744334147812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147.43560000000002</v>
      </c>
      <c r="AK49" s="14">
        <f t="shared" si="35"/>
        <v>37.99523294834102</v>
      </c>
      <c r="AL49" s="22">
        <f t="shared" si="4"/>
        <v>322.95870071836066</v>
      </c>
      <c r="AM49" s="62">
        <f t="shared" si="5"/>
        <v>616.29203405169392</v>
      </c>
      <c r="AN49" s="62">
        <f ca="1">AVERAGE(OFFSET($AM$3,0,0,'Données projet'!$E$10+1,1))-AVERAGE(OFFSET($H$3,0,0,'Données projet'!$E$10+1,1))</f>
        <v>403.82490501309815</v>
      </c>
      <c r="AO49" s="62">
        <f t="shared" si="36"/>
        <v>256.4377087753457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1.9409820319211957</v>
      </c>
      <c r="AW49" s="23">
        <f>EXP(-LN(2)/2)*AW48+(1-EXP(-LN(2)/2))/(LN(2)/2)*AQ49*AT49*VLOOKUP('Données projet'!$B$10,Paramètres!$A$1:$I$89,3,0)*0.475*44/12</f>
        <v>5.4937591733300768E-2</v>
      </c>
      <c r="AX49" s="23">
        <f t="shared" si="6"/>
        <v>1.9959196236544965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140.63088000000005</v>
      </c>
      <c r="BF49" s="14">
        <f t="shared" si="37"/>
        <v>36.441493403146445</v>
      </c>
      <c r="BG49" s="22">
        <f t="shared" si="7"/>
        <v>308.40105034381344</v>
      </c>
      <c r="BH49" s="62">
        <f t="shared" si="8"/>
        <v>601.73438367714675</v>
      </c>
      <c r="BI49" s="62">
        <f ca="1">AVERAGE(OFFSET($BH$3,0,0,'Données projet'!$E$11+1,1))-AVERAGE(OFFSET($H$3,0,0,'Données projet'!$E$11+1,1))</f>
        <v>387.04070351732537</v>
      </c>
      <c r="BJ49" s="62">
        <f t="shared" si="38"/>
        <v>246.54010105494137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1.8513982458325247</v>
      </c>
      <c r="BR49" s="23">
        <f>EXP(-LN(2)/2)*BR48+(1-EXP(-LN(2)/2))/(LN(2)/2)*BL49*BO49*VLOOKUP('Données projet'!$B$11,Paramètres!$A$1:$I$89,3,0)*0.475*44/12</f>
        <v>5.2402010576379214E-2</v>
      </c>
      <c r="BS49" s="24">
        <f t="shared" si="9"/>
        <v>1.9038002564089038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7.8</v>
      </c>
      <c r="BY49" s="13">
        <f>IF('Données projet'!$A$114&gt;35,BY48+BX49-CG48,IF(A49&lt;'Données projet'!$A$114,$BV$205^A49,IF(A49='Données projet'!$A$114,'Données projet'!$B$114,BY48+BX49-CG48)))</f>
        <v>177.79999999999993</v>
      </c>
      <c r="BZ49" s="14">
        <f>BY49*VLOOKUP('Données projet'!$B$12,Paramètres!$A$1:$I$89,3,0)*VLOOKUP('Données projet'!$B$12,Paramètres!$A$1:$I$89,5,0)</f>
        <v>155.32607999999996</v>
      </c>
      <c r="CA49" s="14">
        <f t="shared" si="39"/>
        <v>39.786487601092411</v>
      </c>
      <c r="CB49" s="22">
        <f t="shared" si="10"/>
        <v>339.82105523856922</v>
      </c>
      <c r="CC49" s="62">
        <f t="shared" si="11"/>
        <v>633.15438857190247</v>
      </c>
      <c r="CD49" s="62">
        <f ca="1">AVERAGE(OFFSET($CC$3,0,0,'Données projet'!$E$12+1,1))-AVERAGE(OFFSET($H$3,0,0,'Données projet'!$E$12+1,1))</f>
        <v>327.62212115491479</v>
      </c>
      <c r="CE49" s="62">
        <f t="shared" si="40"/>
        <v>348.84706693879735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15.771277270945429</v>
      </c>
      <c r="CM49" s="23">
        <f>EXP(-LN(2)/2)*CM48+(1-EXP(-LN(2)/2))/(LN(2)/2)*CG49*CJ49*VLOOKUP('Données projet'!$B$12,Paramètres!$A$1:$I$89,3,0)*0.475*44/12</f>
        <v>0.33237547286312974</v>
      </c>
      <c r="CN49" s="24">
        <f t="shared" si="12"/>
        <v>16.10365274380856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</v>
      </c>
      <c r="CT49" s="13">
        <f>IF('Données projet'!$A$140&gt;35,CT48+CS49-DB48,IF(A49&lt;'Données projet'!$A$140,$CQ$205^A49,IF(A49='Données projet'!$A$140,'Données projet'!$B$140,CT48+CS49-DB48)))</f>
        <v>190</v>
      </c>
      <c r="CU49" s="18">
        <f>CT49*VLOOKUP('Données projet'!$B$13,Paramètres!$A$1:$I$89,3,0)*VLOOKUP('Données projet'!$B$13,Paramètres!$A$1:$I$89,5,0)</f>
        <v>139.30799999999999</v>
      </c>
      <c r="CV49" s="14">
        <f t="shared" si="41"/>
        <v>36.138432324006359</v>
      </c>
      <c r="CW49" s="22">
        <f t="shared" si="13"/>
        <v>305.5692029643111</v>
      </c>
      <c r="CX49" s="62">
        <f t="shared" si="14"/>
        <v>598.90253629764447</v>
      </c>
      <c r="CY49" s="62">
        <f ca="1">AVERAGE(OFFSET($CX$3,0,0,'Données projet'!$E$13+1,1))-AVERAGE(OFFSET($H$3,0,0,'Données projet'!$E$13+1,1))</f>
        <v>277.97613250285963</v>
      </c>
      <c r="CZ49" s="62">
        <f t="shared" si="42"/>
        <v>274.55710362891892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5.8412348238310772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5.8412348238310772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364.63511534965755</v>
      </c>
      <c r="T50" s="62">
        <f t="shared" si="34"/>
        <v>233.32640143610541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1.6845928464433397</v>
      </c>
      <c r="AB50" s="23">
        <f>EXP(-LN(2)/2)*AB49+(1-EXP(-LN(2)/2))/(LN(2)/2)*V50*Y50*VLOOKUP('Données projet'!$B$9,Paramètres!$A$1:$I$89,3,0)*0.475*44/12</f>
        <v>3.466324818595614E-2</v>
      </c>
      <c r="AC50" s="24">
        <f t="shared" si="3"/>
        <v>1.7192560946292959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155.95320000000004</v>
      </c>
      <c r="AK50" s="14">
        <f t="shared" si="35"/>
        <v>39.928391937903875</v>
      </c>
      <c r="AL50" s="22">
        <f t="shared" si="4"/>
        <v>341.16043929184929</v>
      </c>
      <c r="AM50" s="62">
        <f t="shared" si="5"/>
        <v>634.4937726251826</v>
      </c>
      <c r="AN50" s="62">
        <f ca="1">AVERAGE(OFFSET($AM$3,0,0,'Données projet'!$E$10+1,1))-AVERAGE(OFFSET($H$3,0,0,'Données projet'!$E$10+1,1))</f>
        <v>403.82490501309815</v>
      </c>
      <c r="AO50" s="62">
        <f t="shared" si="36"/>
        <v>256.4377087753457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1.8879057761865017</v>
      </c>
      <c r="AW50" s="23">
        <f>EXP(-LN(2)/2)*AW49+(1-EXP(-LN(2)/2))/(LN(2)/2)*AQ50*AT50*VLOOKUP('Données projet'!$B$10,Paramètres!$A$1:$I$89,3,0)*0.475*44/12</f>
        <v>3.8846743656674988E-2</v>
      </c>
      <c r="AX50" s="23">
        <f t="shared" si="6"/>
        <v>1.9267525198431767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148.75536000000005</v>
      </c>
      <c r="BF50" s="14">
        <f t="shared" si="37"/>
        <v>38.295599697511591</v>
      </c>
      <c r="BG50" s="22">
        <f t="shared" si="7"/>
        <v>325.78042147316609</v>
      </c>
      <c r="BH50" s="62">
        <f t="shared" si="8"/>
        <v>619.1137548064994</v>
      </c>
      <c r="BI50" s="62">
        <f ca="1">AVERAGE(OFFSET($BH$3,0,0,'Données projet'!$E$11+1,1))-AVERAGE(OFFSET($H$3,0,0,'Données projet'!$E$11+1,1))</f>
        <v>387.04070351732537</v>
      </c>
      <c r="BJ50" s="62">
        <f t="shared" si="38"/>
        <v>246.54010105494137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1.800771663439432</v>
      </c>
      <c r="BR50" s="23">
        <f>EXP(-LN(2)/2)*BR49+(1-EXP(-LN(2)/2))/(LN(2)/2)*BL50*BO50*VLOOKUP('Données projet'!$B$11,Paramètres!$A$1:$I$89,3,0)*0.475*44/12</f>
        <v>3.7053817026366925E-2</v>
      </c>
      <c r="BS50" s="24">
        <f t="shared" si="9"/>
        <v>1.837825480465799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7.8</v>
      </c>
      <c r="BY50" s="13">
        <f>IF('Données projet'!$A$114&gt;35,BY49+BX50-CG49,IF(A50&lt;'Données projet'!$A$114,$BV$205^A50,IF(A50='Données projet'!$A$114,'Données projet'!$B$114,BY49+BX50-CG49)))</f>
        <v>185.59999999999994</v>
      </c>
      <c r="BZ50" s="14">
        <f>BY50*VLOOKUP('Données projet'!$B$12,Paramètres!$A$1:$I$89,3,0)*VLOOKUP('Données projet'!$B$12,Paramètres!$A$1:$I$89,5,0)</f>
        <v>162.14015999999998</v>
      </c>
      <c r="CA50" s="14">
        <f t="shared" si="39"/>
        <v>41.324860537333677</v>
      </c>
      <c r="CB50" s="22">
        <f t="shared" si="10"/>
        <v>354.36824410252279</v>
      </c>
      <c r="CC50" s="62">
        <f t="shared" si="11"/>
        <v>647.70157743585605</v>
      </c>
      <c r="CD50" s="62">
        <f ca="1">AVERAGE(OFFSET($CC$3,0,0,'Données projet'!$E$12+1,1))-AVERAGE(OFFSET($H$3,0,0,'Données projet'!$E$12+1,1))</f>
        <v>327.62212115491479</v>
      </c>
      <c r="CE50" s="62">
        <f t="shared" si="40"/>
        <v>348.84706693879735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15.340010864596001</v>
      </c>
      <c r="CM50" s="23">
        <f>EXP(-LN(2)/2)*CM49+(1-EXP(-LN(2)/2))/(LN(2)/2)*CG50*CJ50*VLOOKUP('Données projet'!$B$12,Paramètres!$A$1:$I$89,3,0)*0.475*44/12</f>
        <v>0.23502495076160437</v>
      </c>
      <c r="CN50" s="24">
        <f t="shared" si="12"/>
        <v>15.575035815357605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</v>
      </c>
      <c r="CT50" s="13">
        <f>IF('Données projet'!$A$140&gt;35,CT49+CS50-DB49,IF(A50&lt;'Données projet'!$A$140,$CQ$205^A50,IF(A50='Données projet'!$A$140,'Données projet'!$B$140,CT49+CS50-DB49)))</f>
        <v>197</v>
      </c>
      <c r="CU50" s="18">
        <f>CT50*VLOOKUP('Données projet'!$B$13,Paramètres!$A$1:$I$89,3,0)*VLOOKUP('Données projet'!$B$13,Paramètres!$A$1:$I$89,5,0)</f>
        <v>144.44039999999998</v>
      </c>
      <c r="CV50" s="14">
        <f t="shared" si="41"/>
        <v>37.312382829927081</v>
      </c>
      <c r="CW50" s="22">
        <f t="shared" si="13"/>
        <v>316.5527634287896</v>
      </c>
      <c r="CX50" s="62">
        <f t="shared" si="14"/>
        <v>609.88609676212286</v>
      </c>
      <c r="CY50" s="62">
        <f ca="1">AVERAGE(OFFSET($CX$3,0,0,'Données projet'!$E$13+1,1))-AVERAGE(OFFSET($H$3,0,0,'Données projet'!$E$13+1,1))</f>
        <v>277.97613250285963</v>
      </c>
      <c r="CZ50" s="62">
        <f t="shared" si="42"/>
        <v>274.55710362891892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5.7266917717371948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5.7266917717371948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364.63511534965755</v>
      </c>
      <c r="T51" s="62">
        <f t="shared" si="34"/>
        <v>233.32640143610541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1.6385275664684591</v>
      </c>
      <c r="AB51" s="23">
        <f>EXP(-LN(2)/2)*AB50+(1-EXP(-LN(2)/2))/(LN(2)/2)*V51*Y51*VLOOKUP('Données projet'!$B$9,Paramètres!$A$1:$I$89,3,0)*0.475*44/12</f>
        <v>2.4510617850241879E-2</v>
      </c>
      <c r="AC51" s="24">
        <f t="shared" si="3"/>
        <v>1.663038184318701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164.47080000000005</v>
      </c>
      <c r="AK51" s="14">
        <f t="shared" si="35"/>
        <v>41.849293714451377</v>
      </c>
      <c r="AL51" s="22">
        <f t="shared" si="4"/>
        <v>359.34082988600289</v>
      </c>
      <c r="AM51" s="62">
        <f t="shared" si="5"/>
        <v>652.67416321933615</v>
      </c>
      <c r="AN51" s="62">
        <f ca="1">AVERAGE(OFFSET($AM$3,0,0,'Données projet'!$E$10+1,1))-AVERAGE(OFFSET($H$3,0,0,'Données projet'!$E$10+1,1))</f>
        <v>403.82490501309815</v>
      </c>
      <c r="AO51" s="62">
        <f t="shared" si="36"/>
        <v>256.4377087753457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1.836280893456032</v>
      </c>
      <c r="AW51" s="23">
        <f>EXP(-LN(2)/2)*AW50+(1-EXP(-LN(2)/2))/(LN(2)/2)*AQ51*AT51*VLOOKUP('Données projet'!$B$10,Paramètres!$A$1:$I$89,3,0)*0.475*44/12</f>
        <v>2.7468795866650384E-2</v>
      </c>
      <c r="AX51" s="23">
        <f t="shared" si="6"/>
        <v>1.8637496893226824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156.87984000000003</v>
      </c>
      <c r="BF51" s="14">
        <f t="shared" si="37"/>
        <v>40.137950013229407</v>
      </c>
      <c r="BG51" s="22">
        <f t="shared" si="7"/>
        <v>343.13931760637462</v>
      </c>
      <c r="BH51" s="62">
        <f t="shared" si="8"/>
        <v>636.47265093970793</v>
      </c>
      <c r="BI51" s="62">
        <f ca="1">AVERAGE(OFFSET($BH$3,0,0,'Données projet'!$E$11+1,1))-AVERAGE(OFFSET($H$3,0,0,'Données projet'!$E$11+1,1))</f>
        <v>387.04070351732537</v>
      </c>
      <c r="BJ51" s="62">
        <f t="shared" si="38"/>
        <v>246.54010105494137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1.7515294676042146</v>
      </c>
      <c r="BR51" s="23">
        <f>EXP(-LN(2)/2)*BR50+(1-EXP(-LN(2)/2))/(LN(2)/2)*BL51*BO51*VLOOKUP('Données projet'!$B$11,Paramètres!$A$1:$I$89,3,0)*0.475*44/12</f>
        <v>2.6201005288189607E-2</v>
      </c>
      <c r="BS51" s="24">
        <f t="shared" si="9"/>
        <v>1.7777304728924042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7.8</v>
      </c>
      <c r="BY51" s="13">
        <f>IF('Données projet'!$A$114&gt;35,BY50+BX51-CG50,IF(A51&lt;'Données projet'!$A$114,$BV$205^A51,IF(A51='Données projet'!$A$114,'Données projet'!$B$114,BY50+BX51-CG50)))</f>
        <v>193.39999999999995</v>
      </c>
      <c r="BZ51" s="14">
        <f>BY51*VLOOKUP('Données projet'!$B$12,Paramètres!$A$1:$I$89,3,0)*VLOOKUP('Données projet'!$B$12,Paramètres!$A$1:$I$89,5,0)</f>
        <v>168.95424</v>
      </c>
      <c r="CA51" s="14">
        <f t="shared" si="39"/>
        <v>42.855724087026708</v>
      </c>
      <c r="CB51" s="22">
        <f t="shared" si="10"/>
        <v>368.90235411823818</v>
      </c>
      <c r="CC51" s="62">
        <f t="shared" si="11"/>
        <v>662.23568745157149</v>
      </c>
      <c r="CD51" s="62">
        <f ca="1">AVERAGE(OFFSET($CC$3,0,0,'Données projet'!$E$12+1,1))-AVERAGE(OFFSET($H$3,0,0,'Données projet'!$E$12+1,1))</f>
        <v>327.62212115491479</v>
      </c>
      <c r="CE51" s="62">
        <f t="shared" si="40"/>
        <v>348.84706693879735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14.920537460807513</v>
      </c>
      <c r="CM51" s="23">
        <f>EXP(-LN(2)/2)*CM50+(1-EXP(-LN(2)/2))/(LN(2)/2)*CG51*CJ51*VLOOKUP('Données projet'!$B$12,Paramètres!$A$1:$I$89,3,0)*0.475*44/12</f>
        <v>0.1661877364315649</v>
      </c>
      <c r="CN51" s="24">
        <f t="shared" si="12"/>
        <v>15.086725197239078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</v>
      </c>
      <c r="CT51" s="13">
        <f>IF('Données projet'!$A$140&gt;35,CT50+CS51-DB50,IF(A51&lt;'Données projet'!$A$140,$CQ$205^A51,IF(A51='Données projet'!$A$140,'Données projet'!$B$140,CT50+CS51-DB50)))</f>
        <v>204</v>
      </c>
      <c r="CU51" s="18">
        <f>CT51*VLOOKUP('Données projet'!$B$13,Paramètres!$A$1:$I$89,3,0)*VLOOKUP('Données projet'!$B$13,Paramètres!$A$1:$I$89,5,0)</f>
        <v>149.5728</v>
      </c>
      <c r="CV51" s="14">
        <f t="shared" si="41"/>
        <v>38.481486779011689</v>
      </c>
      <c r="CW51" s="22">
        <f t="shared" si="13"/>
        <v>327.52788280677868</v>
      </c>
      <c r="CX51" s="62">
        <f t="shared" si="14"/>
        <v>620.86121614011199</v>
      </c>
      <c r="CY51" s="62">
        <f ca="1">AVERAGE(OFFSET($CX$3,0,0,'Données projet'!$E$13+1,1))-AVERAGE(OFFSET($H$3,0,0,'Données projet'!$E$13+1,1))</f>
        <v>277.97613250285963</v>
      </c>
      <c r="CZ51" s="62">
        <f t="shared" si="42"/>
        <v>274.55710362891892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5.6143948390305098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5.6143948390305098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364.63511534965755</v>
      </c>
      <c r="T52" s="62">
        <f t="shared" si="34"/>
        <v>233.32640143610541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1.5937219439969592</v>
      </c>
      <c r="AB52" s="23">
        <f>EXP(-LN(2)/2)*AB51+(1-EXP(-LN(2)/2))/(LN(2)/2)*V52*Y52*VLOOKUP('Données projet'!$B$9,Paramètres!$A$1:$I$89,3,0)*0.475*44/12</f>
        <v>1.733162409297807E-2</v>
      </c>
      <c r="AC52" s="24">
        <f t="shared" si="3"/>
        <v>1.6110535680899374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172.98840000000007</v>
      </c>
      <c r="AK52" s="14">
        <f t="shared" si="35"/>
        <v>43.758645457754092</v>
      </c>
      <c r="AL52" s="22">
        <f t="shared" si="4"/>
        <v>377.50110417225511</v>
      </c>
      <c r="AM52" s="62">
        <f t="shared" si="5"/>
        <v>670.83443750558843</v>
      </c>
      <c r="AN52" s="62">
        <f ca="1">AVERAGE(OFFSET($AM$3,0,0,'Données projet'!$E$10+1,1))-AVERAGE(OFFSET($H$3,0,0,'Données projet'!$E$10+1,1))</f>
        <v>403.82490501309815</v>
      </c>
      <c r="AO52" s="62">
        <f t="shared" si="36"/>
        <v>256.4377087753457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1.7860676958586614</v>
      </c>
      <c r="AW52" s="23">
        <f>EXP(-LN(2)/2)*AW51+(1-EXP(-LN(2)/2))/(LN(2)/2)*AQ52*AT52*VLOOKUP('Données projet'!$B$10,Paramètres!$A$1:$I$89,3,0)*0.475*44/12</f>
        <v>1.9423371828337494E-2</v>
      </c>
      <c r="AX52" s="23">
        <f t="shared" si="6"/>
        <v>1.8054910676869989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165.00432000000006</v>
      </c>
      <c r="BF52" s="14">
        <f t="shared" si="37"/>
        <v>41.969222611359086</v>
      </c>
      <c r="BG52" s="22">
        <f t="shared" si="7"/>
        <v>360.47892004811712</v>
      </c>
      <c r="BH52" s="62">
        <f t="shared" si="8"/>
        <v>653.81225338145043</v>
      </c>
      <c r="BI52" s="62">
        <f ca="1">AVERAGE(OFFSET($BH$3,0,0,'Données projet'!$E$11+1,1))-AVERAGE(OFFSET($H$3,0,0,'Données projet'!$E$11+1,1))</f>
        <v>387.04070351732537</v>
      </c>
      <c r="BJ52" s="62">
        <f t="shared" si="38"/>
        <v>246.54010105494137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1.7036338022036459</v>
      </c>
      <c r="BR52" s="23">
        <f>EXP(-LN(2)/2)*BR51+(1-EXP(-LN(2)/2))/(LN(2)/2)*BL52*BO52*VLOOKUP('Données projet'!$B$11,Paramètres!$A$1:$I$89,3,0)*0.475*44/12</f>
        <v>1.8526908513183463E-2</v>
      </c>
      <c r="BS52" s="24">
        <f t="shared" si="9"/>
        <v>1.7221607107168293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7.8</v>
      </c>
      <c r="BY52" s="13">
        <f>IF('Données projet'!$A$114&gt;35,BY51+BX52-CG51,IF(A52&lt;'Données projet'!$A$114,$BV$205^A52,IF(A52='Données projet'!$A$114,'Données projet'!$B$114,BY51+BX52-CG51)))</f>
        <v>201.19999999999996</v>
      </c>
      <c r="BZ52" s="14">
        <f>BY52*VLOOKUP('Données projet'!$B$12,Paramètres!$A$1:$I$89,3,0)*VLOOKUP('Données projet'!$B$12,Paramètres!$A$1:$I$89,5,0)</f>
        <v>175.76831999999999</v>
      </c>
      <c r="CA52" s="14">
        <f t="shared" si="39"/>
        <v>44.379415757690168</v>
      </c>
      <c r="CB52" s="22">
        <f t="shared" si="10"/>
        <v>383.42397311131032</v>
      </c>
      <c r="CC52" s="62">
        <f t="shared" si="11"/>
        <v>676.75730644464363</v>
      </c>
      <c r="CD52" s="62">
        <f ca="1">AVERAGE(OFFSET($CC$3,0,0,'Données projet'!$E$12+1,1))-AVERAGE(OFFSET($H$3,0,0,'Données projet'!$E$12+1,1))</f>
        <v>327.62212115491479</v>
      </c>
      <c r="CE52" s="62">
        <f t="shared" si="40"/>
        <v>348.84706693879735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14.512534579304768</v>
      </c>
      <c r="CM52" s="23">
        <f>EXP(-LN(2)/2)*CM51+(1-EXP(-LN(2)/2))/(LN(2)/2)*CG52*CJ52*VLOOKUP('Données projet'!$B$12,Paramètres!$A$1:$I$89,3,0)*0.475*44/12</f>
        <v>0.1175124753808022</v>
      </c>
      <c r="CN52" s="24">
        <f t="shared" si="12"/>
        <v>14.630047054685571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</v>
      </c>
      <c r="CT52" s="13">
        <f>IF('Données projet'!$A$140&gt;35,CT51+CS52-DB51,IF(A52&lt;'Données projet'!$A$140,$CQ$205^A52,IF(A52='Données projet'!$A$140,'Données projet'!$B$140,CT51+CS52-DB51)))</f>
        <v>211</v>
      </c>
      <c r="CU52" s="18">
        <f>CT52*VLOOKUP('Données projet'!$B$13,Paramètres!$A$1:$I$89,3,0)*VLOOKUP('Données projet'!$B$13,Paramètres!$A$1:$I$89,5,0)</f>
        <v>154.70519999999999</v>
      </c>
      <c r="CV52" s="14">
        <f t="shared" si="41"/>
        <v>39.645929536036533</v>
      </c>
      <c r="CW52" s="22">
        <f t="shared" si="13"/>
        <v>338.49488394193025</v>
      </c>
      <c r="CX52" s="62">
        <f t="shared" si="14"/>
        <v>631.82821727526357</v>
      </c>
      <c r="CY52" s="62">
        <f ca="1">AVERAGE(OFFSET($CX$3,0,0,'Données projet'!$E$13+1,1))-AVERAGE(OFFSET($H$3,0,0,'Données projet'!$E$13+1,1))</f>
        <v>277.97613250285963</v>
      </c>
      <c r="CZ52" s="62">
        <f t="shared" si="42"/>
        <v>274.55710362891892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5.5042999806798374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5.5042999806798374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364.63511534965755</v>
      </c>
      <c r="T53" s="62">
        <f t="shared" si="34"/>
        <v>233.32640143610541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1.5501415336281679</v>
      </c>
      <c r="AB53" s="23">
        <f>EXP(-LN(2)/2)*AB52+(1-EXP(-LN(2)/2))/(LN(2)/2)*V53*Y53*VLOOKUP('Données projet'!$B$9,Paramètres!$A$1:$I$89,3,0)*0.475*44/12</f>
        <v>1.2255308925120939E-2</v>
      </c>
      <c r="AC53" s="24">
        <f t="shared" si="3"/>
        <v>1.5623968425532888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181.50600000000006</v>
      </c>
      <c r="AK53" s="14">
        <f t="shared" si="35"/>
        <v>45.657080773122978</v>
      </c>
      <c r="AL53" s="22">
        <f t="shared" si="4"/>
        <v>395.64236567985591</v>
      </c>
      <c r="AM53" s="62">
        <f t="shared" si="5"/>
        <v>688.97569901318923</v>
      </c>
      <c r="AN53" s="62">
        <f ca="1">AVERAGE(OFFSET($AM$3,0,0,'Données projet'!$E$10+1,1))-AVERAGE(OFFSET($H$3,0,0,'Données projet'!$E$10+1,1))</f>
        <v>403.82490501309815</v>
      </c>
      <c r="AO53" s="62">
        <f t="shared" si="36"/>
        <v>256.4377087753457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1.7372275807901882</v>
      </c>
      <c r="AW53" s="23">
        <f>EXP(-LN(2)/2)*AW52+(1-EXP(-LN(2)/2))/(LN(2)/2)*AQ53*AT53*VLOOKUP('Données projet'!$B$10,Paramètres!$A$1:$I$89,3,0)*0.475*44/12</f>
        <v>1.3734397933325192E-2</v>
      </c>
      <c r="AX53" s="23">
        <f t="shared" si="6"/>
        <v>1.7509619787235133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173.12880000000007</v>
      </c>
      <c r="BF53" s="14">
        <f t="shared" si="37"/>
        <v>43.790025187181634</v>
      </c>
      <c r="BG53" s="22">
        <f t="shared" si="7"/>
        <v>377.80028720100813</v>
      </c>
      <c r="BH53" s="62">
        <f t="shared" si="8"/>
        <v>671.13362053434139</v>
      </c>
      <c r="BI53" s="62">
        <f ca="1">AVERAGE(OFFSET($BH$3,0,0,'Données projet'!$E$11+1,1))-AVERAGE(OFFSET($H$3,0,0,'Données projet'!$E$11+1,1))</f>
        <v>387.04070351732537</v>
      </c>
      <c r="BJ53" s="62">
        <f t="shared" si="38"/>
        <v>246.54010105494137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1.6570478462921792</v>
      </c>
      <c r="BR53" s="23">
        <f>EXP(-LN(2)/2)*BR52+(1-EXP(-LN(2)/2))/(LN(2)/2)*BL53*BO53*VLOOKUP('Données projet'!$B$11,Paramètres!$A$1:$I$89,3,0)*0.475*44/12</f>
        <v>1.3100502644094804E-2</v>
      </c>
      <c r="BS53" s="24">
        <f t="shared" si="9"/>
        <v>1.6701483489362741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209</v>
      </c>
      <c r="BW53" s="13">
        <f>VLOOKUP(A53,'Données projet'!$A$113:$I$133,9,0)</f>
        <v>7.8</v>
      </c>
      <c r="BX53" s="13">
        <f t="array" ref="BX53">INDEX(BW:BW,MIN(IF(ISNUMBER(BW53:BW249),ROW(BW53:BW249),"")))</f>
        <v>7.8</v>
      </c>
      <c r="BY53" s="13">
        <f>IF('Données projet'!$A$114&gt;35,BY52+BX53-CG52,IF(A53&lt;'Données projet'!$A$114,$BV$205^A53,IF(A53='Données projet'!$A$114,'Données projet'!$B$114,BY52+BX53-CG52)))</f>
        <v>208.99999999999997</v>
      </c>
      <c r="BZ53" s="14">
        <f>BY53*VLOOKUP('Données projet'!$B$12,Paramètres!$A$1:$I$89,3,0)*VLOOKUP('Données projet'!$B$12,Paramètres!$A$1:$I$89,5,0)</f>
        <v>182.58240000000001</v>
      </c>
      <c r="CA53" s="14">
        <f t="shared" si="39"/>
        <v>45.896245406460288</v>
      </c>
      <c r="CB53" s="22">
        <f t="shared" si="10"/>
        <v>397.93364074958498</v>
      </c>
      <c r="CC53" s="62">
        <f t="shared" si="11"/>
        <v>691.2669740829183</v>
      </c>
      <c r="CD53" s="62">
        <f ca="1">AVERAGE(OFFSET($CC$3,0,0,'Données projet'!$E$12+1,1))-AVERAGE(OFFSET($H$3,0,0,'Données projet'!$E$12+1,1))</f>
        <v>327.62212115491479</v>
      </c>
      <c r="CE53" s="62">
        <f t="shared" si="40"/>
        <v>348.84706693879735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14.115688558052655</v>
      </c>
      <c r="CM53" s="23">
        <f>EXP(-LN(2)/2)*CM52+(1-EXP(-LN(2)/2))/(LN(2)/2)*CG53*CJ53*VLOOKUP('Données projet'!$B$12,Paramètres!$A$1:$I$89,3,0)*0.475*44/12</f>
        <v>8.3093868215782463E-2</v>
      </c>
      <c r="CN53" s="24">
        <f t="shared" si="12"/>
        <v>14.198782426268437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218</v>
      </c>
      <c r="CR53" s="13">
        <f>VLOOKUP(A53,'Données projet'!$A$139:$I$159,9,0)</f>
        <v>7</v>
      </c>
      <c r="CS53" s="13">
        <f t="array" ref="CS53">INDEX(CR:CR,MIN(IF(ISNUMBER(CR53:CR249),ROW(CR53:CR249),"")))</f>
        <v>7</v>
      </c>
      <c r="CT53" s="13">
        <f>IF('Données projet'!$A$140&gt;35,CT52+CS53-DB52,IF(A53&lt;'Données projet'!$A$140,$CQ$205^A53,IF(A53='Données projet'!$A$140,'Données projet'!$B$140,CT52+CS53-DB52)))</f>
        <v>218</v>
      </c>
      <c r="CU53" s="18">
        <f>CT53*VLOOKUP('Données projet'!$B$13,Paramètres!$A$1:$I$89,3,0)*VLOOKUP('Données projet'!$B$13,Paramètres!$A$1:$I$89,5,0)</f>
        <v>159.83760000000001</v>
      </c>
      <c r="CV53" s="14">
        <f t="shared" si="41"/>
        <v>40.805883468734919</v>
      </c>
      <c r="CW53" s="22">
        <f t="shared" si="13"/>
        <v>349.45406704138003</v>
      </c>
      <c r="CX53" s="62">
        <f t="shared" si="14"/>
        <v>642.78740037471334</v>
      </c>
      <c r="CY53" s="62">
        <f ca="1">AVERAGE(OFFSET($CX$3,0,0,'Données projet'!$E$13+1,1))-AVERAGE(OFFSET($H$3,0,0,'Données projet'!$E$13+1,1))</f>
        <v>277.97613250285963</v>
      </c>
      <c r="CZ53" s="62">
        <f t="shared" si="42"/>
        <v>274.55710362891892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17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5.3963640153501888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5.3963640153501888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364.63511534965755</v>
      </c>
      <c r="T54" s="62">
        <f t="shared" si="34"/>
        <v>233.32640143610541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1.5077528318727054</v>
      </c>
      <c r="AB54" s="23">
        <f>EXP(-LN(2)/2)*AB53+(1-EXP(-LN(2)/2))/(LN(2)/2)*V54*Y54*VLOOKUP('Données projet'!$B$9,Paramètres!$A$1:$I$89,3,0)*0.475*44/12</f>
        <v>8.665812046489035E-3</v>
      </c>
      <c r="AC54" s="24">
        <f t="shared" si="3"/>
        <v>1.5164186439191945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168.32400000000007</v>
      </c>
      <c r="AK54" s="14">
        <f t="shared" si="35"/>
        <v>42.71443916408608</v>
      </c>
      <c r="AL54" s="22">
        <f t="shared" si="4"/>
        <v>367.55861487745005</v>
      </c>
      <c r="AM54" s="62">
        <f t="shared" si="5"/>
        <v>660.89194821078331</v>
      </c>
      <c r="AN54" s="62">
        <f ca="1">AVERAGE(OFFSET($AM$3,0,0,'Données projet'!$E$10+1,1))-AVERAGE(OFFSET($H$3,0,0,'Données projet'!$E$10+1,1))</f>
        <v>403.82490501309815</v>
      </c>
      <c r="AO54" s="62">
        <f t="shared" si="36"/>
        <v>256.4377087753457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1.6897230012366526</v>
      </c>
      <c r="AW54" s="23">
        <f>EXP(-LN(2)/2)*AW53+(1-EXP(-LN(2)/2))/(LN(2)/2)*AQ54*AT54*VLOOKUP('Données projet'!$B$10,Paramètres!$A$1:$I$89,3,0)*0.475*44/12</f>
        <v>9.7116859141687471E-3</v>
      </c>
      <c r="AX54" s="23">
        <f t="shared" si="6"/>
        <v>1.6994346871508215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160.55520000000004</v>
      </c>
      <c r="BF54" s="14">
        <f t="shared" si="37"/>
        <v>40.96771705896618</v>
      </c>
      <c r="BG54" s="22">
        <f t="shared" si="7"/>
        <v>350.98574721103279</v>
      </c>
      <c r="BH54" s="62">
        <f t="shared" si="8"/>
        <v>644.3190805443661</v>
      </c>
      <c r="BI54" s="62">
        <f ca="1">AVERAGE(OFFSET($BH$3,0,0,'Données projet'!$E$11+1,1))-AVERAGE(OFFSET($H$3,0,0,'Données projet'!$E$11+1,1))</f>
        <v>387.04070351732537</v>
      </c>
      <c r="BJ54" s="62">
        <f t="shared" si="38"/>
        <v>246.54010105494137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1.6117357857949606</v>
      </c>
      <c r="BR54" s="23">
        <f>EXP(-LN(2)/2)*BR53+(1-EXP(-LN(2)/2))/(LN(2)/2)*BL54*BO54*VLOOKUP('Données projet'!$B$11,Paramètres!$A$1:$I$89,3,0)*0.475*44/12</f>
        <v>9.2634542565917313E-3</v>
      </c>
      <c r="BS54" s="24">
        <f t="shared" si="9"/>
        <v>1.6209992400515523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6.8</v>
      </c>
      <c r="BY54" s="13">
        <f>IF('Données projet'!$A$114&gt;35,BY53+BX54-CG53,IF(A54&lt;'Données projet'!$A$114,$BV$205^A54,IF(A54='Données projet'!$A$114,'Données projet'!$B$114,BY53+BX54-CG53)))</f>
        <v>187.79999999999998</v>
      </c>
      <c r="BZ54" s="14">
        <f>BY54*VLOOKUP('Données projet'!$B$12,Paramètres!$A$1:$I$89,3,0)*VLOOKUP('Données projet'!$B$12,Paramètres!$A$1:$I$89,5,0)</f>
        <v>164.06208000000001</v>
      </c>
      <c r="CA54" s="14">
        <f t="shared" si="39"/>
        <v>41.75738773013461</v>
      </c>
      <c r="CB54" s="22">
        <f t="shared" si="10"/>
        <v>358.46890629665108</v>
      </c>
      <c r="CC54" s="62">
        <f t="shared" si="11"/>
        <v>651.80223962998434</v>
      </c>
      <c r="CD54" s="62">
        <f ca="1">AVERAGE(OFFSET($CC$3,0,0,'Données projet'!$E$12+1,1))-AVERAGE(OFFSET($H$3,0,0,'Données projet'!$E$12+1,1))</f>
        <v>327.62212115491479</v>
      </c>
      <c r="CE54" s="62">
        <f t="shared" si="40"/>
        <v>348.84706693879735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13.729694312120905</v>
      </c>
      <c r="CM54" s="23">
        <f>EXP(-LN(2)/2)*CM53+(1-EXP(-LN(2)/2))/(LN(2)/2)*CG54*CJ54*VLOOKUP('Données projet'!$B$12,Paramètres!$A$1:$I$89,3,0)*0.475*44/12</f>
        <v>5.8756237690401107E-2</v>
      </c>
      <c r="CN54" s="24">
        <f t="shared" si="12"/>
        <v>13.788450549811307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6.2</v>
      </c>
      <c r="CT54" s="13">
        <f>IF('Données projet'!$A$140&gt;35,CT53+CS54-DB53,IF(A54&lt;'Données projet'!$A$140,$CQ$205^A54,IF(A54='Données projet'!$A$140,'Données projet'!$B$140,CT53+CS54-DB53)))</f>
        <v>207.2</v>
      </c>
      <c r="CU54" s="18">
        <f>CT54*VLOOKUP('Données projet'!$B$13,Paramètres!$A$1:$I$89,3,0)*VLOOKUP('Données projet'!$B$13,Paramètres!$A$1:$I$89,5,0)</f>
        <v>151.91904</v>
      </c>
      <c r="CV54" s="14">
        <f t="shared" si="41"/>
        <v>39.014371161543409</v>
      </c>
      <c r="CW54" s="22">
        <f t="shared" si="13"/>
        <v>332.54235777302142</v>
      </c>
      <c r="CX54" s="62">
        <f t="shared" si="14"/>
        <v>625.87569110635468</v>
      </c>
      <c r="CY54" s="62">
        <f ca="1">AVERAGE(OFFSET($CX$3,0,0,'Données projet'!$E$13+1,1))-AVERAGE(OFFSET($H$3,0,0,'Données projet'!$E$13+1,1))</f>
        <v>277.97613250285963</v>
      </c>
      <c r="CZ54" s="62">
        <f t="shared" si="42"/>
        <v>274.55710362891892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5.2905446084662167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5.2905446084662167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364.63511534965755</v>
      </c>
      <c r="T55" s="62">
        <f t="shared" si="34"/>
        <v>233.32640143610541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1.4665232513958708</v>
      </c>
      <c r="AB55" s="23">
        <f>EXP(-LN(2)/2)*AB54+(1-EXP(-LN(2)/2))/(LN(2)/2)*V55*Y55*VLOOKUP('Données projet'!$B$9,Paramètres!$A$1:$I$89,3,0)*0.475*44/12</f>
        <v>6.1276544625604697E-3</v>
      </c>
      <c r="AC55" s="24">
        <f t="shared" si="3"/>
        <v>1.4726509058584312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176.43600000000006</v>
      </c>
      <c r="AK55" s="14">
        <f t="shared" si="35"/>
        <v>44.528341291050616</v>
      </c>
      <c r="AL55" s="22">
        <f t="shared" si="4"/>
        <v>384.84622774857991</v>
      </c>
      <c r="AM55" s="62">
        <f t="shared" si="5"/>
        <v>678.17956108191322</v>
      </c>
      <c r="AN55" s="62">
        <f ca="1">AVERAGE(OFFSET($AM$3,0,0,'Données projet'!$E$10+1,1))-AVERAGE(OFFSET($H$3,0,0,'Données projet'!$E$10+1,1))</f>
        <v>403.82490501309815</v>
      </c>
      <c r="AO55" s="62">
        <f t="shared" si="36"/>
        <v>256.4377087753457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1.6435174369091656</v>
      </c>
      <c r="AW55" s="23">
        <f>EXP(-LN(2)/2)*AW54+(1-EXP(-LN(2)/2))/(LN(2)/2)*AQ55*AT55*VLOOKUP('Données projet'!$B$10,Paramètres!$A$1:$I$89,3,0)*0.475*44/12</f>
        <v>6.867198966662596E-3</v>
      </c>
      <c r="AX55" s="23">
        <f t="shared" si="6"/>
        <v>1.6503846358758283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168.29280000000006</v>
      </c>
      <c r="BF55" s="14">
        <f t="shared" si="37"/>
        <v>42.707443263135104</v>
      </c>
      <c r="BG55" s="22">
        <f t="shared" si="7"/>
        <v>367.49209034996039</v>
      </c>
      <c r="BH55" s="62">
        <f t="shared" si="8"/>
        <v>660.82542368329371</v>
      </c>
      <c r="BI55" s="62">
        <f ca="1">AVERAGE(OFFSET($BH$3,0,0,'Données projet'!$E$11+1,1))-AVERAGE(OFFSET($H$3,0,0,'Données projet'!$E$11+1,1))</f>
        <v>387.04070351732537</v>
      </c>
      <c r="BJ55" s="62">
        <f t="shared" si="38"/>
        <v>246.54010105494137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1.5676627859748962</v>
      </c>
      <c r="BR55" s="23">
        <f>EXP(-LN(2)/2)*BR54+(1-EXP(-LN(2)/2))/(LN(2)/2)*BL55*BO55*VLOOKUP('Données projet'!$B$11,Paramètres!$A$1:$I$89,3,0)*0.475*44/12</f>
        <v>6.5502513220474018E-3</v>
      </c>
      <c r="BS55" s="24">
        <f t="shared" si="9"/>
        <v>1.5742130372969436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6.8</v>
      </c>
      <c r="BY55" s="13">
        <f>IF('Données projet'!$A$114&gt;35,BY54+BX55-CG54,IF(A55&lt;'Données projet'!$A$114,$BV$205^A55,IF(A55='Données projet'!$A$114,'Données projet'!$B$114,BY54+BX55-CG54)))</f>
        <v>194.6</v>
      </c>
      <c r="BZ55" s="14">
        <f>BY55*VLOOKUP('Données projet'!$B$12,Paramètres!$A$1:$I$89,3,0)*VLOOKUP('Données projet'!$B$12,Paramètres!$A$1:$I$89,5,0)</f>
        <v>170.00256000000002</v>
      </c>
      <c r="CA55" s="14">
        <f t="shared" si="39"/>
        <v>43.090596939649579</v>
      </c>
      <c r="CB55" s="22">
        <f t="shared" si="10"/>
        <v>371.1372483365563</v>
      </c>
      <c r="CC55" s="62">
        <f t="shared" si="11"/>
        <v>664.47058166988961</v>
      </c>
      <c r="CD55" s="62">
        <f ca="1">AVERAGE(OFFSET($CC$3,0,0,'Données projet'!$E$12+1,1))-AVERAGE(OFFSET($H$3,0,0,'Données projet'!$E$12+1,1))</f>
        <v>327.62212115491479</v>
      </c>
      <c r="CE55" s="62">
        <f t="shared" si="40"/>
        <v>348.84706693879735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13.354255099142716</v>
      </c>
      <c r="CM55" s="23">
        <f>EXP(-LN(2)/2)*CM54+(1-EXP(-LN(2)/2))/(LN(2)/2)*CG55*CJ55*VLOOKUP('Données projet'!$B$12,Paramètres!$A$1:$I$89,3,0)*0.475*44/12</f>
        <v>4.1546934107891238E-2</v>
      </c>
      <c r="CN55" s="24">
        <f t="shared" si="12"/>
        <v>13.395802033250607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6.2</v>
      </c>
      <c r="CT55" s="13">
        <f>IF('Données projet'!$A$140&gt;35,CT54+CS55-DB54,IF(A55&lt;'Données projet'!$A$140,$CQ$205^A55,IF(A55='Données projet'!$A$140,'Données projet'!$B$140,CT54+CS55-DB54)))</f>
        <v>213.39999999999998</v>
      </c>
      <c r="CU55" s="18">
        <f>CT55*VLOOKUP('Données projet'!$B$13,Paramètres!$A$1:$I$89,3,0)*VLOOKUP('Données projet'!$B$13,Paramètres!$A$1:$I$89,5,0)</f>
        <v>156.46487999999999</v>
      </c>
      <c r="CV55" s="14">
        <f t="shared" si="41"/>
        <v>40.04412537254489</v>
      </c>
      <c r="CW55" s="22">
        <f t="shared" si="13"/>
        <v>342.25318435718231</v>
      </c>
      <c r="CX55" s="62">
        <f t="shared" si="14"/>
        <v>635.58651769051562</v>
      </c>
      <c r="CY55" s="62">
        <f ca="1">AVERAGE(OFFSET($CX$3,0,0,'Données projet'!$E$13+1,1))-AVERAGE(OFFSET($H$3,0,0,'Données projet'!$E$13+1,1))</f>
        <v>277.97613250285963</v>
      </c>
      <c r="CZ55" s="62">
        <f t="shared" si="42"/>
        <v>274.55710362891892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5.1868002556077739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5.1868002556077739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364.63511534965755</v>
      </c>
      <c r="T56" s="62">
        <f t="shared" si="34"/>
        <v>233.32640143610541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1.4264210959653447</v>
      </c>
      <c r="AB56" s="23">
        <f>EXP(-LN(2)/2)*AB55+(1-EXP(-LN(2)/2))/(LN(2)/2)*V56*Y56*VLOOKUP('Données projet'!$B$9,Paramètres!$A$1:$I$89,3,0)*0.475*44/12</f>
        <v>4.3329060232445175E-3</v>
      </c>
      <c r="AC56" s="24">
        <f t="shared" si="3"/>
        <v>1.4307540019885892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184.54800000000006</v>
      </c>
      <c r="AK56" s="14">
        <f t="shared" si="35"/>
        <v>46.332558240871698</v>
      </c>
      <c r="AL56" s="22">
        <f t="shared" si="4"/>
        <v>402.11697226951833</v>
      </c>
      <c r="AM56" s="62">
        <f t="shared" si="5"/>
        <v>695.45030560285159</v>
      </c>
      <c r="AN56" s="62">
        <f ca="1">AVERAGE(OFFSET($AM$3,0,0,'Données projet'!$E$10+1,1))-AVERAGE(OFFSET($H$3,0,0,'Données projet'!$E$10+1,1))</f>
        <v>403.82490501309815</v>
      </c>
      <c r="AO56" s="62">
        <f t="shared" si="36"/>
        <v>256.4377087753457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1.5985753661680588</v>
      </c>
      <c r="AW56" s="23">
        <f>EXP(-LN(2)/2)*AW55+(1-EXP(-LN(2)/2))/(LN(2)/2)*AQ56*AT56*VLOOKUP('Données projet'!$B$10,Paramètres!$A$1:$I$89,3,0)*0.475*44/12</f>
        <v>4.8558429570843735E-3</v>
      </c>
      <c r="AX56" s="23">
        <f t="shared" si="6"/>
        <v>1.6034312091251433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176.03040000000004</v>
      </c>
      <c r="BF56" s="14">
        <f t="shared" si="37"/>
        <v>44.437880346232944</v>
      </c>
      <c r="BG56" s="22">
        <f t="shared" si="7"/>
        <v>383.98225493635573</v>
      </c>
      <c r="BH56" s="62">
        <f t="shared" si="8"/>
        <v>677.31558826968899</v>
      </c>
      <c r="BI56" s="62">
        <f ca="1">AVERAGE(OFFSET($BH$3,0,0,'Données projet'!$E$11+1,1))-AVERAGE(OFFSET($H$3,0,0,'Données projet'!$E$11+1,1))</f>
        <v>387.04070351732537</v>
      </c>
      <c r="BJ56" s="62">
        <f t="shared" si="38"/>
        <v>246.54010105494137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1.5247949646526096</v>
      </c>
      <c r="BR56" s="23">
        <f>EXP(-LN(2)/2)*BR55+(1-EXP(-LN(2)/2))/(LN(2)/2)*BL56*BO56*VLOOKUP('Données projet'!$B$11,Paramètres!$A$1:$I$89,3,0)*0.475*44/12</f>
        <v>4.6317271282958657E-3</v>
      </c>
      <c r="BS56" s="24">
        <f t="shared" si="9"/>
        <v>1.5294266917809054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6.8</v>
      </c>
      <c r="BY56" s="13">
        <f>IF('Données projet'!$A$114&gt;35,BY55+BX56-CG55,IF(A56&lt;'Données projet'!$A$114,$BV$205^A56,IF(A56='Données projet'!$A$114,'Données projet'!$B$114,BY55+BX56-CG55)))</f>
        <v>201.4</v>
      </c>
      <c r="BZ56" s="14">
        <f>BY56*VLOOKUP('Données projet'!$B$12,Paramètres!$A$1:$I$89,3,0)*VLOOKUP('Données projet'!$B$12,Paramètres!$A$1:$I$89,5,0)</f>
        <v>175.94304000000002</v>
      </c>
      <c r="CA56" s="14">
        <f t="shared" si="39"/>
        <v>44.418393276556458</v>
      </c>
      <c r="CB56" s="22">
        <f t="shared" si="10"/>
        <v>383.79616295666915</v>
      </c>
      <c r="CC56" s="62">
        <f t="shared" si="11"/>
        <v>677.12949629000241</v>
      </c>
      <c r="CD56" s="62">
        <f ca="1">AVERAGE(OFFSET($CC$3,0,0,'Données projet'!$E$12+1,1))-AVERAGE(OFFSET($H$3,0,0,'Données projet'!$E$12+1,1))</f>
        <v>327.62212115491479</v>
      </c>
      <c r="CE56" s="62">
        <f t="shared" si="40"/>
        <v>348.84706693879735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12.989082291186904</v>
      </c>
      <c r="CM56" s="23">
        <f>EXP(-LN(2)/2)*CM55+(1-EXP(-LN(2)/2))/(LN(2)/2)*CG56*CJ56*VLOOKUP('Données projet'!$B$12,Paramètres!$A$1:$I$89,3,0)*0.475*44/12</f>
        <v>2.9378118845200561E-2</v>
      </c>
      <c r="CN56" s="24">
        <f t="shared" si="12"/>
        <v>13.018460410032104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6.2</v>
      </c>
      <c r="CT56" s="13">
        <f>IF('Données projet'!$A$140&gt;35,CT55+CS56-DB55,IF(A56&lt;'Données projet'!$A$140,$CQ$205^A56,IF(A56='Données projet'!$A$140,'Données projet'!$B$140,CT55+CS56-DB55)))</f>
        <v>219.59999999999997</v>
      </c>
      <c r="CU56" s="18">
        <f>CT56*VLOOKUP('Données projet'!$B$13,Paramètres!$A$1:$I$89,3,0)*VLOOKUP('Données projet'!$B$13,Paramètres!$A$1:$I$89,5,0)</f>
        <v>161.01071999999996</v>
      </c>
      <c r="CV56" s="14">
        <f t="shared" si="41"/>
        <v>41.070402507024518</v>
      </c>
      <c r="CW56" s="22">
        <f t="shared" si="13"/>
        <v>351.95795503306755</v>
      </c>
      <c r="CX56" s="62">
        <f t="shared" si="14"/>
        <v>645.29128836640086</v>
      </c>
      <c r="CY56" s="62">
        <f ca="1">AVERAGE(OFFSET($CX$3,0,0,'Données projet'!$E$13+1,1))-AVERAGE(OFFSET($H$3,0,0,'Données projet'!$E$13+1,1))</f>
        <v>277.97613250285963</v>
      </c>
      <c r="CZ56" s="62">
        <f t="shared" si="42"/>
        <v>274.55710362891892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5.0850902662310782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5.0850902662310782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364.63511534965755</v>
      </c>
      <c r="T57" s="62">
        <f t="shared" si="34"/>
        <v>233.32640143610541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1.3874155360839471</v>
      </c>
      <c r="AB57" s="23">
        <f>EXP(-LN(2)/2)*AB56+(1-EXP(-LN(2)/2))/(LN(2)/2)*V57*Y57*VLOOKUP('Données projet'!$B$9,Paramètres!$A$1:$I$89,3,0)*0.475*44/12</f>
        <v>3.0638272312802349E-3</v>
      </c>
      <c r="AC57" s="24">
        <f t="shared" si="3"/>
        <v>1.3904793633152273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192.66000000000008</v>
      </c>
      <c r="AK57" s="14">
        <f t="shared" si="35"/>
        <v>48.127564387788738</v>
      </c>
      <c r="AL57" s="22">
        <f t="shared" si="4"/>
        <v>419.3716746420655</v>
      </c>
      <c r="AM57" s="62">
        <f t="shared" si="5"/>
        <v>712.70500797539876</v>
      </c>
      <c r="AN57" s="62">
        <f ca="1">AVERAGE(OFFSET($AM$3,0,0,'Données projet'!$E$10+1,1))-AVERAGE(OFFSET($H$3,0,0,'Données projet'!$E$10+1,1))</f>
        <v>403.82490501309815</v>
      </c>
      <c r="AO57" s="62">
        <f t="shared" si="36"/>
        <v>256.4377087753457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1.5548622387147684</v>
      </c>
      <c r="AW57" s="23">
        <f>EXP(-LN(2)/2)*AW56+(1-EXP(-LN(2)/2))/(LN(2)/2)*AQ57*AT57*VLOOKUP('Données projet'!$B$10,Paramètres!$A$1:$I$89,3,0)*0.475*44/12</f>
        <v>3.433599483331298E-3</v>
      </c>
      <c r="AX57" s="23">
        <f t="shared" si="6"/>
        <v>1.5582958381980996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183.76800000000006</v>
      </c>
      <c r="BF57" s="14">
        <f t="shared" si="37"/>
        <v>46.159483283907285</v>
      </c>
      <c r="BG57" s="22">
        <f t="shared" si="7"/>
        <v>400.45703338613862</v>
      </c>
      <c r="BH57" s="62">
        <f t="shared" si="8"/>
        <v>693.79036671947188</v>
      </c>
      <c r="BI57" s="62">
        <f ca="1">AVERAGE(OFFSET($BH$3,0,0,'Données projet'!$E$11+1,1))-AVERAGE(OFFSET($H$3,0,0,'Données projet'!$E$11+1,1))</f>
        <v>387.04070351732537</v>
      </c>
      <c r="BJ57" s="62">
        <f t="shared" si="38"/>
        <v>246.54010105494137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1.4830993661587017</v>
      </c>
      <c r="BR57" s="23">
        <f>EXP(-LN(2)/2)*BR56+(1-EXP(-LN(2)/2))/(LN(2)/2)*BL57*BO57*VLOOKUP('Données projet'!$B$11,Paramètres!$A$1:$I$89,3,0)*0.475*44/12</f>
        <v>3.2751256610237009E-3</v>
      </c>
      <c r="BS57" s="24">
        <f t="shared" si="9"/>
        <v>1.4863744918197255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6.8</v>
      </c>
      <c r="BY57" s="13">
        <f>IF('Données projet'!$A$114&gt;35,BY56+BX57-CG56,IF(A57&lt;'Données projet'!$A$114,$BV$205^A57,IF(A57='Données projet'!$A$114,'Données projet'!$B$114,BY56+BX57-CG56)))</f>
        <v>208.20000000000002</v>
      </c>
      <c r="BZ57" s="14">
        <f>BY57*VLOOKUP('Données projet'!$B$12,Paramètres!$A$1:$I$89,3,0)*VLOOKUP('Données projet'!$B$12,Paramètres!$A$1:$I$89,5,0)</f>
        <v>181.88352000000006</v>
      </c>
      <c r="CA57" s="14">
        <f t="shared" si="39"/>
        <v>45.74098045051349</v>
      </c>
      <c r="CB57" s="22">
        <f t="shared" si="10"/>
        <v>396.44600495131112</v>
      </c>
      <c r="CC57" s="62">
        <f t="shared" si="11"/>
        <v>689.77933828464438</v>
      </c>
      <c r="CD57" s="62">
        <f ca="1">AVERAGE(OFFSET($CC$3,0,0,'Données projet'!$E$12+1,1))-AVERAGE(OFFSET($H$3,0,0,'Données projet'!$E$12+1,1))</f>
        <v>327.62212115491479</v>
      </c>
      <c r="CE57" s="62">
        <f t="shared" si="40"/>
        <v>348.84706693879735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12.633895152868247</v>
      </c>
      <c r="CM57" s="23">
        <f>EXP(-LN(2)/2)*CM56+(1-EXP(-LN(2)/2))/(LN(2)/2)*CG57*CJ57*VLOOKUP('Données projet'!$B$12,Paramètres!$A$1:$I$89,3,0)*0.475*44/12</f>
        <v>2.0773467053945623E-2</v>
      </c>
      <c r="CN57" s="24">
        <f t="shared" si="12"/>
        <v>12.654668619922193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6.2</v>
      </c>
      <c r="CT57" s="13">
        <f>IF('Données projet'!$A$140&gt;35,CT56+CS57-DB56,IF(A57&lt;'Données projet'!$A$140,$CQ$205^A57,IF(A57='Données projet'!$A$140,'Données projet'!$B$140,CT56+CS57-DB56)))</f>
        <v>225.79999999999995</v>
      </c>
      <c r="CU57" s="18">
        <f>CT57*VLOOKUP('Données projet'!$B$13,Paramètres!$A$1:$I$89,3,0)*VLOOKUP('Données projet'!$B$13,Paramètres!$A$1:$I$89,5,0)</f>
        <v>165.55655999999996</v>
      </c>
      <c r="CV57" s="14">
        <f t="shared" si="41"/>
        <v>42.093312010233895</v>
      </c>
      <c r="CW57" s="22">
        <f t="shared" si="13"/>
        <v>361.65686041782391</v>
      </c>
      <c r="CX57" s="62">
        <f t="shared" si="14"/>
        <v>654.99019375115722</v>
      </c>
      <c r="CY57" s="62">
        <f ca="1">AVERAGE(OFFSET($CX$3,0,0,'Données projet'!$E$13+1,1))-AVERAGE(OFFSET($H$3,0,0,'Données projet'!$E$13+1,1))</f>
        <v>277.97613250285963</v>
      </c>
      <c r="CZ57" s="62">
        <f t="shared" si="42"/>
        <v>274.55710362891892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4.9853747477090913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4.9853747477090913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364.63511534965755</v>
      </c>
      <c r="T58" s="62">
        <f t="shared" si="34"/>
        <v>233.32640143610541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1.3494765852887194</v>
      </c>
      <c r="AB58" s="23">
        <f>EXP(-LN(2)/2)*AB57+(1-EXP(-LN(2)/2))/(LN(2)/2)*V58*Y58*VLOOKUP('Données projet'!$B$9,Paramètres!$A$1:$I$89,3,0)*0.475*44/12</f>
        <v>2.1664530116222588E-3</v>
      </c>
      <c r="AC58" s="24">
        <f t="shared" si="3"/>
        <v>1.3516430383003417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200.77200000000008</v>
      </c>
      <c r="AK58" s="14">
        <f t="shared" si="35"/>
        <v>49.913791898945412</v>
      </c>
      <c r="AL58" s="22">
        <f t="shared" si="4"/>
        <v>436.61108755732999</v>
      </c>
      <c r="AM58" s="62">
        <f t="shared" si="5"/>
        <v>729.94442089066331</v>
      </c>
      <c r="AN58" s="62">
        <f ca="1">AVERAGE(OFFSET($AM$3,0,0,'Données projet'!$E$10+1,1))-AVERAGE(OFFSET($H$3,0,0,'Données projet'!$E$10+1,1))</f>
        <v>403.82490501309815</v>
      </c>
      <c r="AO58" s="62">
        <f t="shared" si="36"/>
        <v>256.4377087753457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1.5123444490304616</v>
      </c>
      <c r="AW58" s="23">
        <f>EXP(-LN(2)/2)*AW57+(1-EXP(-LN(2)/2))/(LN(2)/2)*AQ58*AT58*VLOOKUP('Données projet'!$B$10,Paramètres!$A$1:$I$89,3,0)*0.475*44/12</f>
        <v>2.4279214785421868E-3</v>
      </c>
      <c r="AX58" s="23">
        <f t="shared" si="6"/>
        <v>1.5147723705090037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191.50560000000007</v>
      </c>
      <c r="BF58" s="14">
        <f t="shared" si="37"/>
        <v>47.872666570685276</v>
      </c>
      <c r="BG58" s="22">
        <f t="shared" si="7"/>
        <v>416.9171476106103</v>
      </c>
      <c r="BH58" s="62">
        <f t="shared" si="8"/>
        <v>710.25048094394356</v>
      </c>
      <c r="BI58" s="62">
        <f ca="1">AVERAGE(OFFSET($BH$3,0,0,'Données projet'!$E$11+1,1))-AVERAGE(OFFSET($H$3,0,0,'Données projet'!$E$11+1,1))</f>
        <v>387.04070351732537</v>
      </c>
      <c r="BJ58" s="62">
        <f t="shared" si="38"/>
        <v>246.54010105494137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1.4425439359982861</v>
      </c>
      <c r="BR58" s="23">
        <f>EXP(-LN(2)/2)*BR57+(1-EXP(-LN(2)/2))/(LN(2)/2)*BL58*BO58*VLOOKUP('Données projet'!$B$11,Paramètres!$A$1:$I$89,3,0)*0.475*44/12</f>
        <v>2.3158635641479328E-3</v>
      </c>
      <c r="BS58" s="24">
        <f t="shared" si="9"/>
        <v>1.4448597995624342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215</v>
      </c>
      <c r="BW58" s="13">
        <f>VLOOKUP(A58,'Données projet'!$A$113:$I$133,9,0)</f>
        <v>6.8</v>
      </c>
      <c r="BX58" s="13">
        <f t="array" ref="BX58">INDEX(BW:BW,MIN(IF(ISNUMBER(BW58:BW254),ROW(BW58:BW254),"")))</f>
        <v>6.8</v>
      </c>
      <c r="BY58" s="13">
        <f>IF('Données projet'!$A$114&gt;35,BY57+BX58-CG57,IF(A58&lt;'Données projet'!$A$114,$BV$205^A58,IF(A58='Données projet'!$A$114,'Données projet'!$B$114,BY57+BX58-CG57)))</f>
        <v>215.00000000000003</v>
      </c>
      <c r="BZ58" s="14">
        <f>BY58*VLOOKUP('Données projet'!$B$12,Paramètres!$A$1:$I$89,3,0)*VLOOKUP('Données projet'!$B$12,Paramètres!$A$1:$I$89,5,0)</f>
        <v>187.82400000000007</v>
      </c>
      <c r="CA58" s="14">
        <f t="shared" si="39"/>
        <v>47.05854810918273</v>
      </c>
      <c r="CB58" s="22">
        <f t="shared" si="10"/>
        <v>409.08710462349336</v>
      </c>
      <c r="CC58" s="62">
        <f t="shared" si="11"/>
        <v>702.42043795682662</v>
      </c>
      <c r="CD58" s="62">
        <f ca="1">AVERAGE(OFFSET($CC$3,0,0,'Données projet'!$E$12+1,1))-AVERAGE(OFFSET($H$3,0,0,'Données projet'!$E$12+1,1))</f>
        <v>327.62212115491479</v>
      </c>
      <c r="CE58" s="62">
        <f t="shared" si="40"/>
        <v>348.84706693879735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25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12.288420625525394</v>
      </c>
      <c r="CM58" s="23">
        <f>EXP(-LN(2)/2)*CM57+(1-EXP(-LN(2)/2))/(LN(2)/2)*CG58*CJ58*VLOOKUP('Données projet'!$B$12,Paramètres!$A$1:$I$89,3,0)*0.475*44/12</f>
        <v>1.4689059422600282E-2</v>
      </c>
      <c r="CN58" s="24">
        <f t="shared" si="12"/>
        <v>12.303109684947994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232</v>
      </c>
      <c r="CR58" s="13">
        <f>VLOOKUP(A58,'Données projet'!$A$139:$I$159,9,0)</f>
        <v>6.2</v>
      </c>
      <c r="CS58" s="13">
        <f t="array" ref="CS58">INDEX(CR:CR,MIN(IF(ISNUMBER(CR58:CR254),ROW(CR58:CR254),"")))</f>
        <v>6.2</v>
      </c>
      <c r="CT58" s="13">
        <f>IF('Données projet'!$A$140&gt;35,CT57+CS58-DB57,IF(A58&lt;'Données projet'!$A$140,$CQ$205^A58,IF(A58='Données projet'!$A$140,'Données projet'!$B$140,CT57+CS58-DB57)))</f>
        <v>231.99999999999994</v>
      </c>
      <c r="CU58" s="18">
        <f>CT58*VLOOKUP('Données projet'!$B$13,Paramètres!$A$1:$I$89,3,0)*VLOOKUP('Données projet'!$B$13,Paramètres!$A$1:$I$89,5,0)</f>
        <v>170.10239999999996</v>
      </c>
      <c r="CV58" s="14">
        <f t="shared" si="41"/>
        <v>43.112956975087329</v>
      </c>
      <c r="CW58" s="22">
        <f t="shared" si="13"/>
        <v>371.3500800649436</v>
      </c>
      <c r="CX58" s="62">
        <f t="shared" si="14"/>
        <v>664.68341339827691</v>
      </c>
      <c r="CY58" s="62">
        <f ca="1">AVERAGE(OFFSET($CX$3,0,0,'Données projet'!$E$13+1,1))-AVERAGE(OFFSET($H$3,0,0,'Données projet'!$E$13+1,1))</f>
        <v>277.97613250285963</v>
      </c>
      <c r="CZ58" s="62">
        <f t="shared" si="42"/>
        <v>274.55710362891892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13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4.8876145896848602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4.8876145896848602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364.63511534965755</v>
      </c>
      <c r="T59" s="62">
        <f t="shared" si="34"/>
        <v>233.32640143610541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1.3125750770981099</v>
      </c>
      <c r="AB59" s="23">
        <f>EXP(-LN(2)/2)*AB58+(1-EXP(-LN(2)/2))/(LN(2)/2)*V59*Y59*VLOOKUP('Données projet'!$B$9,Paramètres!$A$1:$I$89,3,0)*0.475*44/12</f>
        <v>1.5319136156401174E-3</v>
      </c>
      <c r="AC59" s="24">
        <f t="shared" si="3"/>
        <v>1.3141069907137501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186.98160000000007</v>
      </c>
      <c r="AK59" s="14">
        <f t="shared" si="35"/>
        <v>46.872006790472248</v>
      </c>
      <c r="AL59" s="22">
        <f t="shared" si="4"/>
        <v>407.29503182673926</v>
      </c>
      <c r="AM59" s="62">
        <f t="shared" si="5"/>
        <v>700.62836516007258</v>
      </c>
      <c r="AN59" s="62">
        <f ca="1">AVERAGE(OFFSET($AM$3,0,0,'Données projet'!$E$10+1,1))-AVERAGE(OFFSET($H$3,0,0,'Données projet'!$E$10+1,1))</f>
        <v>403.82490501309815</v>
      </c>
      <c r="AO59" s="62">
        <f t="shared" si="36"/>
        <v>256.4377087753457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1.4709893105409855</v>
      </c>
      <c r="AW59" s="23">
        <f>EXP(-LN(2)/2)*AW58+(1-EXP(-LN(2)/2))/(LN(2)/2)*AQ59*AT59*VLOOKUP('Données projet'!$B$10,Paramètres!$A$1:$I$89,3,0)*0.475*44/12</f>
        <v>1.716799741665649E-3</v>
      </c>
      <c r="AX59" s="23">
        <f t="shared" si="6"/>
        <v>1.4727061102826511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178.35168000000004</v>
      </c>
      <c r="BF59" s="14">
        <f t="shared" si="37"/>
        <v>44.95526921941952</v>
      </c>
      <c r="BG59" s="22">
        <f t="shared" si="7"/>
        <v>388.92626989048904</v>
      </c>
      <c r="BH59" s="62">
        <f t="shared" si="8"/>
        <v>682.2596032238223</v>
      </c>
      <c r="BI59" s="62">
        <f ca="1">AVERAGE(OFFSET($BH$3,0,0,'Données projet'!$E$11+1,1))-AVERAGE(OFFSET($H$3,0,0,'Données projet'!$E$11+1,1))</f>
        <v>387.04070351732537</v>
      </c>
      <c r="BJ59" s="62">
        <f t="shared" si="38"/>
        <v>246.54010105494137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1.4030974962083245</v>
      </c>
      <c r="BR59" s="23">
        <f>EXP(-LN(2)/2)*BR58+(1-EXP(-LN(2)/2))/(LN(2)/2)*BL59*BO59*VLOOKUP('Données projet'!$B$11,Paramètres!$A$1:$I$89,3,0)*0.475*44/12</f>
        <v>1.6375628305118504E-3</v>
      </c>
      <c r="BS59" s="24">
        <f t="shared" si="9"/>
        <v>1.4047350590388363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</v>
      </c>
      <c r="BY59" s="13">
        <f>IF('Données projet'!$A$114&gt;35,BY58+BX59-CG58,IF(A59&lt;'Données projet'!$A$114,$BV$205^A59,IF(A59='Données projet'!$A$114,'Données projet'!$B$114,BY58+BX59-CG58)))</f>
        <v>196.00000000000003</v>
      </c>
      <c r="BZ59" s="14">
        <f>BY59*VLOOKUP('Données projet'!$B$12,Paramètres!$A$1:$I$89,3,0)*VLOOKUP('Données projet'!$B$12,Paramètres!$A$1:$I$89,5,0)</f>
        <v>171.22560000000004</v>
      </c>
      <c r="CA59" s="14">
        <f t="shared" si="39"/>
        <v>43.364402348589557</v>
      </c>
      <c r="CB59" s="22">
        <f t="shared" si="10"/>
        <v>373.74425409046017</v>
      </c>
      <c r="CC59" s="62">
        <f t="shared" si="11"/>
        <v>667.07758742379349</v>
      </c>
      <c r="CD59" s="62">
        <f ca="1">AVERAGE(OFFSET($CC$3,0,0,'Données projet'!$E$12+1,1))-AVERAGE(OFFSET($H$3,0,0,'Données projet'!$E$12+1,1))</f>
        <v>327.62212115491479</v>
      </c>
      <c r="CE59" s="62">
        <f t="shared" si="40"/>
        <v>348.84706693879735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11.952393117300447</v>
      </c>
      <c r="CM59" s="23">
        <f>EXP(-LN(2)/2)*CM58+(1-EXP(-LN(2)/2))/(LN(2)/2)*CG59*CJ59*VLOOKUP('Données projet'!$B$12,Paramètres!$A$1:$I$89,3,0)*0.475*44/12</f>
        <v>1.0386733526972813E-2</v>
      </c>
      <c r="CN59" s="24">
        <f t="shared" si="12"/>
        <v>11.96277985082742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5.2</v>
      </c>
      <c r="CT59" s="13">
        <f>IF('Données projet'!$A$140&gt;35,CT58+CS59-DB58,IF(A59&lt;'Données projet'!$A$140,$CQ$205^A59,IF(A59='Données projet'!$A$140,'Données projet'!$B$140,CT58+CS59-DB58)))</f>
        <v>224.19999999999993</v>
      </c>
      <c r="CU59" s="18">
        <f>CT59*VLOOKUP('Données projet'!$B$13,Paramètres!$A$1:$I$89,3,0)*VLOOKUP('Données projet'!$B$13,Paramètres!$A$1:$I$89,5,0)</f>
        <v>164.38343999999995</v>
      </c>
      <c r="CV59" s="14">
        <f t="shared" si="41"/>
        <v>41.82965192331919</v>
      </c>
      <c r="CW59" s="22">
        <f t="shared" si="13"/>
        <v>359.15446843311423</v>
      </c>
      <c r="CX59" s="62">
        <f t="shared" si="14"/>
        <v>652.48780176644755</v>
      </c>
      <c r="CY59" s="62">
        <f ca="1">AVERAGE(OFFSET($CX$3,0,0,'Données projet'!$E$13+1,1))-AVERAGE(OFFSET($H$3,0,0,'Données projet'!$E$13+1,1))</f>
        <v>277.97613250285963</v>
      </c>
      <c r="CZ59" s="62">
        <f t="shared" si="42"/>
        <v>274.55710362891892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4.7917714487316756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4.7917714487316756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364.63511534965755</v>
      </c>
      <c r="T60" s="62">
        <f t="shared" si="34"/>
        <v>233.32640143610541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1.2766826425895388</v>
      </c>
      <c r="AB60" s="23">
        <f>EXP(-LN(2)/2)*AB59+(1-EXP(-LN(2)/2))/(LN(2)/2)*V60*Y60*VLOOKUP('Données projet'!$B$9,Paramètres!$A$1:$I$89,3,0)*0.475*44/12</f>
        <v>1.0832265058111294E-3</v>
      </c>
      <c r="AC60" s="24">
        <f t="shared" si="3"/>
        <v>1.2777658690953499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194.48520000000008</v>
      </c>
      <c r="AK60" s="14">
        <f t="shared" si="35"/>
        <v>48.530216343846071</v>
      </c>
      <c r="AL60" s="22">
        <f t="shared" si="4"/>
        <v>423.25185013219863</v>
      </c>
      <c r="AM60" s="62">
        <f t="shared" si="5"/>
        <v>716.58518346553194</v>
      </c>
      <c r="AN60" s="62">
        <f ca="1">AVERAGE(OFFSET($AM$3,0,0,'Données projet'!$E$10+1,1))-AVERAGE(OFFSET($H$3,0,0,'Données projet'!$E$10+1,1))</f>
        <v>403.82490501309815</v>
      </c>
      <c r="AO60" s="62">
        <f t="shared" si="36"/>
        <v>256.4377087753457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1.4307650304882764</v>
      </c>
      <c r="AW60" s="23">
        <f>EXP(-LN(2)/2)*AW59+(1-EXP(-LN(2)/2))/(LN(2)/2)*AQ60*AT60*VLOOKUP('Données projet'!$B$10,Paramètres!$A$1:$I$89,3,0)*0.475*44/12</f>
        <v>1.2139607392710934E-3</v>
      </c>
      <c r="AX60" s="23">
        <f t="shared" si="6"/>
        <v>1.4319789912275476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185.50896000000006</v>
      </c>
      <c r="BF60" s="14">
        <f t="shared" si="37"/>
        <v>46.545669588393878</v>
      </c>
      <c r="BG60" s="22">
        <f t="shared" si="7"/>
        <v>404.16181319978608</v>
      </c>
      <c r="BH60" s="62">
        <f t="shared" si="8"/>
        <v>697.4951465331194</v>
      </c>
      <c r="BI60" s="62">
        <f ca="1">AVERAGE(OFFSET($BH$3,0,0,'Données projet'!$E$11+1,1))-AVERAGE(OFFSET($H$3,0,0,'Données projet'!$E$11+1,1))</f>
        <v>387.04070351732537</v>
      </c>
      <c r="BJ60" s="62">
        <f t="shared" si="38"/>
        <v>246.54010105494137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1.3647297213888174</v>
      </c>
      <c r="BR60" s="23">
        <f>EXP(-LN(2)/2)*BR59+(1-EXP(-LN(2)/2))/(LN(2)/2)*BL60*BO60*VLOOKUP('Données projet'!$B$11,Paramètres!$A$1:$I$89,3,0)*0.475*44/12</f>
        <v>1.1579317820739664E-3</v>
      </c>
      <c r="BS60" s="24">
        <f t="shared" si="9"/>
        <v>1.3658876531708914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</v>
      </c>
      <c r="BY60" s="13">
        <f>IF('Données projet'!$A$114&gt;35,BY59+BX60-CG59,IF(A60&lt;'Données projet'!$A$114,$BV$205^A60,IF(A60='Données projet'!$A$114,'Données projet'!$B$114,BY59+BX60-CG59)))</f>
        <v>202.00000000000003</v>
      </c>
      <c r="BZ60" s="14">
        <f>BY60*VLOOKUP('Données projet'!$B$12,Paramètres!$A$1:$I$89,3,0)*VLOOKUP('Données projet'!$B$12,Paramètres!$A$1:$I$89,5,0)</f>
        <v>176.46720000000005</v>
      </c>
      <c r="CA60" s="14">
        <f t="shared" si="39"/>
        <v>44.535298821989393</v>
      </c>
      <c r="CB60" s="22">
        <f t="shared" si="10"/>
        <v>384.91268544829819</v>
      </c>
      <c r="CC60" s="62">
        <f t="shared" si="11"/>
        <v>678.24601878163151</v>
      </c>
      <c r="CD60" s="62">
        <f ca="1">AVERAGE(OFFSET($CC$3,0,0,'Données projet'!$E$12+1,1))-AVERAGE(OFFSET($H$3,0,0,'Données projet'!$E$12+1,1))</f>
        <v>327.62212115491479</v>
      </c>
      <c r="CE60" s="62">
        <f t="shared" si="40"/>
        <v>348.84706693879735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11.62555429895883</v>
      </c>
      <c r="CM60" s="23">
        <f>EXP(-LN(2)/2)*CM59+(1-EXP(-LN(2)/2))/(LN(2)/2)*CG60*CJ60*VLOOKUP('Données projet'!$B$12,Paramètres!$A$1:$I$89,3,0)*0.475*44/12</f>
        <v>7.3445297113001427E-3</v>
      </c>
      <c r="CN60" s="24">
        <f t="shared" si="12"/>
        <v>11.632898828670131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5.2</v>
      </c>
      <c r="CT60" s="13">
        <f>IF('Données projet'!$A$140&gt;35,CT59+CS60-DB59,IF(A60&lt;'Données projet'!$A$140,$CQ$205^A60,IF(A60='Données projet'!$A$140,'Données projet'!$B$140,CT59+CS60-DB59)))</f>
        <v>229.39999999999992</v>
      </c>
      <c r="CU60" s="18">
        <f>CT60*VLOOKUP('Données projet'!$B$13,Paramètres!$A$1:$I$89,3,0)*VLOOKUP('Données projet'!$B$13,Paramètres!$A$1:$I$89,5,0)</f>
        <v>168.19607999999994</v>
      </c>
      <c r="CV60" s="14">
        <f t="shared" si="41"/>
        <v>42.685755010634267</v>
      </c>
      <c r="CW60" s="22">
        <f t="shared" si="13"/>
        <v>367.28586264352117</v>
      </c>
      <c r="CX60" s="62">
        <f t="shared" si="14"/>
        <v>660.61919597685448</v>
      </c>
      <c r="CY60" s="62">
        <f ca="1">AVERAGE(OFFSET($CX$3,0,0,'Données projet'!$E$13+1,1))-AVERAGE(OFFSET($H$3,0,0,'Données projet'!$E$13+1,1))</f>
        <v>277.97613250285963</v>
      </c>
      <c r="CZ60" s="62">
        <f t="shared" si="42"/>
        <v>274.55710362891892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4.6978077333140389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4.6978077333140389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364.63511534965755</v>
      </c>
      <c r="T61" s="62">
        <f t="shared" si="34"/>
        <v>233.32640143610541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1.2417716885901056</v>
      </c>
      <c r="AB61" s="23">
        <f>EXP(-LN(2)/2)*AB60+(1-EXP(-LN(2)/2))/(LN(2)/2)*V61*Y61*VLOOKUP('Données projet'!$B$9,Paramètres!$A$1:$I$89,3,0)*0.475*44/12</f>
        <v>7.6595680782005871E-4</v>
      </c>
      <c r="AC61" s="24">
        <f t="shared" si="3"/>
        <v>1.2425376453979255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201.98880000000008</v>
      </c>
      <c r="AK61" s="14">
        <f t="shared" si="35"/>
        <v>50.18099374666096</v>
      </c>
      <c r="AL61" s="22">
        <f t="shared" si="4"/>
        <v>439.19572410876793</v>
      </c>
      <c r="AM61" s="62">
        <f t="shared" si="5"/>
        <v>732.52905744210125</v>
      </c>
      <c r="AN61" s="62">
        <f ca="1">AVERAGE(OFFSET($AM$3,0,0,'Données projet'!$E$10+1,1))-AVERAGE(OFFSET($H$3,0,0,'Données projet'!$E$10+1,1))</f>
        <v>403.82490501309815</v>
      </c>
      <c r="AO61" s="62">
        <f t="shared" si="36"/>
        <v>256.4377087753457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1.3916406854889116</v>
      </c>
      <c r="AW61" s="23">
        <f>EXP(-LN(2)/2)*AW60+(1-EXP(-LN(2)/2))/(LN(2)/2)*AQ61*AT61*VLOOKUP('Données projet'!$B$10,Paramètres!$A$1:$I$89,3,0)*0.475*44/12</f>
        <v>8.583998708328245E-4</v>
      </c>
      <c r="AX61" s="23">
        <f t="shared" si="6"/>
        <v>1.3924990853597445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192.66624000000007</v>
      </c>
      <c r="BF61" s="14">
        <f t="shared" si="37"/>
        <v>48.12894172983674</v>
      </c>
      <c r="BG61" s="22">
        <f t="shared" si="7"/>
        <v>419.38494151279912</v>
      </c>
      <c r="BH61" s="62">
        <f t="shared" si="8"/>
        <v>712.71827484613243</v>
      </c>
      <c r="BI61" s="62">
        <f ca="1">AVERAGE(OFFSET($BH$3,0,0,'Données projet'!$E$11+1,1))-AVERAGE(OFFSET($H$3,0,0,'Données projet'!$E$11+1,1))</f>
        <v>387.04070351732537</v>
      </c>
      <c r="BJ61" s="62">
        <f t="shared" si="38"/>
        <v>246.54010105494137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1.3274111153894232</v>
      </c>
      <c r="BR61" s="23">
        <f>EXP(-LN(2)/2)*BR60+(1-EXP(-LN(2)/2))/(LN(2)/2)*BL61*BO61*VLOOKUP('Données projet'!$B$11,Paramètres!$A$1:$I$89,3,0)*0.475*44/12</f>
        <v>8.1878141525592522E-4</v>
      </c>
      <c r="BS61" s="24">
        <f t="shared" si="9"/>
        <v>1.3282298968046791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</v>
      </c>
      <c r="BY61" s="13">
        <f>IF('Données projet'!$A$114&gt;35,BY60+BX61-CG60,IF(A61&lt;'Données projet'!$A$114,$BV$205^A61,IF(A61='Données projet'!$A$114,'Données projet'!$B$114,BY60+BX61-CG60)))</f>
        <v>208.00000000000003</v>
      </c>
      <c r="BZ61" s="14">
        <f>BY61*VLOOKUP('Données projet'!$B$12,Paramètres!$A$1:$I$89,3,0)*VLOOKUP('Données projet'!$B$12,Paramètres!$A$1:$I$89,5,0)</f>
        <v>181.70880000000005</v>
      </c>
      <c r="CA61" s="14">
        <f t="shared" si="39"/>
        <v>45.702153370067812</v>
      </c>
      <c r="CB61" s="22">
        <f t="shared" si="10"/>
        <v>396.07407711953482</v>
      </c>
      <c r="CC61" s="62">
        <f t="shared" si="11"/>
        <v>689.40741045286813</v>
      </c>
      <c r="CD61" s="62">
        <f ca="1">AVERAGE(OFFSET($CC$3,0,0,'Données projet'!$E$12+1,1))-AVERAGE(OFFSET($H$3,0,0,'Données projet'!$E$12+1,1))</f>
        <v>327.62212115491479</v>
      </c>
      <c r="CE61" s="62">
        <f t="shared" si="40"/>
        <v>348.84706693879735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11.307652905292471</v>
      </c>
      <c r="CM61" s="23">
        <f>EXP(-LN(2)/2)*CM60+(1-EXP(-LN(2)/2))/(LN(2)/2)*CG61*CJ61*VLOOKUP('Données projet'!$B$12,Paramètres!$A$1:$I$89,3,0)*0.475*44/12</f>
        <v>5.1933667634864074E-3</v>
      </c>
      <c r="CN61" s="24">
        <f t="shared" si="12"/>
        <v>11.312846272055957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5.2</v>
      </c>
      <c r="CT61" s="13">
        <f>IF('Données projet'!$A$140&gt;35,CT60+CS61-DB60,IF(A61&lt;'Données projet'!$A$140,$CQ$205^A61,IF(A61='Données projet'!$A$140,'Données projet'!$B$140,CT60+CS61-DB60)))</f>
        <v>234.59999999999991</v>
      </c>
      <c r="CU61" s="18">
        <f>CT61*VLOOKUP('Données projet'!$B$13,Paramètres!$A$1:$I$89,3,0)*VLOOKUP('Données projet'!$B$13,Paramètres!$A$1:$I$89,5,0)</f>
        <v>172.00871999999995</v>
      </c>
      <c r="CV61" s="14">
        <f t="shared" si="41"/>
        <v>43.539602012936207</v>
      </c>
      <c r="CW61" s="22">
        <f t="shared" si="13"/>
        <v>375.41332750586383</v>
      </c>
      <c r="CX61" s="62">
        <f t="shared" si="14"/>
        <v>668.74666083919715</v>
      </c>
      <c r="CY61" s="62">
        <f ca="1">AVERAGE(OFFSET($CX$3,0,0,'Données projet'!$E$13+1,1))-AVERAGE(OFFSET($H$3,0,0,'Données projet'!$E$13+1,1))</f>
        <v>277.97613250285963</v>
      </c>
      <c r="CZ61" s="62">
        <f t="shared" si="42"/>
        <v>274.55710362891892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4.6056865890435352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4.6056865890435352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364.63511534965755</v>
      </c>
      <c r="T62" s="62">
        <f t="shared" si="34"/>
        <v>233.32640143610541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1.2078153764636741</v>
      </c>
      <c r="AB62" s="23">
        <f>EXP(-LN(2)/2)*AB61+(1-EXP(-LN(2)/2))/(LN(2)/2)*V62*Y62*VLOOKUP('Données projet'!$B$9,Paramètres!$A$1:$I$89,3,0)*0.475*44/12</f>
        <v>5.4161325290556469E-4</v>
      </c>
      <c r="AC62" s="24">
        <f t="shared" si="3"/>
        <v>1.2083569897165796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209.49240000000009</v>
      </c>
      <c r="AK62" s="14">
        <f t="shared" si="35"/>
        <v>51.824646708770558</v>
      </c>
      <c r="AL62" s="22">
        <f t="shared" si="4"/>
        <v>455.12718968444216</v>
      </c>
      <c r="AM62" s="62">
        <f t="shared" si="5"/>
        <v>748.46052301777547</v>
      </c>
      <c r="AN62" s="62">
        <f ca="1">AVERAGE(OFFSET($AM$3,0,0,'Données projet'!$E$10+1,1))-AVERAGE(OFFSET($H$3,0,0,'Données projet'!$E$10+1,1))</f>
        <v>403.82490501309815</v>
      </c>
      <c r="AO62" s="62">
        <f t="shared" si="36"/>
        <v>256.4377087753457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1.3535861977610144</v>
      </c>
      <c r="AW62" s="23">
        <f>EXP(-LN(2)/2)*AW61+(1-EXP(-LN(2)/2))/(LN(2)/2)*AQ62*AT62*VLOOKUP('Données projet'!$B$10,Paramètres!$A$1:$I$89,3,0)*0.475*44/12</f>
        <v>6.0698036963554669E-4</v>
      </c>
      <c r="AX62" s="23">
        <f t="shared" si="6"/>
        <v>1.35419317813065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199.82352000000006</v>
      </c>
      <c r="BF62" s="14">
        <f t="shared" si="37"/>
        <v>49.705380770418969</v>
      </c>
      <c r="BG62" s="22">
        <f t="shared" si="7"/>
        <v>434.59616884181315</v>
      </c>
      <c r="BH62" s="62">
        <f t="shared" si="8"/>
        <v>727.92950217514647</v>
      </c>
      <c r="BI62" s="62">
        <f ca="1">AVERAGE(OFFSET($BH$3,0,0,'Données projet'!$E$11+1,1))-AVERAGE(OFFSET($H$3,0,0,'Données projet'!$E$11+1,1))</f>
        <v>387.04070351732537</v>
      </c>
      <c r="BJ62" s="62">
        <f t="shared" si="38"/>
        <v>246.54010105494137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1.2911129886335828</v>
      </c>
      <c r="BR62" s="23">
        <f>EXP(-LN(2)/2)*BR61+(1-EXP(-LN(2)/2))/(LN(2)/2)*BL62*BO62*VLOOKUP('Données projet'!$B$11,Paramètres!$A$1:$I$89,3,0)*0.475*44/12</f>
        <v>5.7896589103698321E-4</v>
      </c>
      <c r="BS62" s="24">
        <f t="shared" si="9"/>
        <v>1.2916919545246197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</v>
      </c>
      <c r="BY62" s="13">
        <f>IF('Données projet'!$A$114&gt;35,BY61+BX62-CG61,IF(A62&lt;'Données projet'!$A$114,$BV$205^A62,IF(A62='Données projet'!$A$114,'Données projet'!$B$114,BY61+BX62-CG61)))</f>
        <v>214.00000000000003</v>
      </c>
      <c r="BZ62" s="14">
        <f>BY62*VLOOKUP('Données projet'!$B$12,Paramètres!$A$1:$I$89,3,0)*VLOOKUP('Données projet'!$B$12,Paramètres!$A$1:$I$89,5,0)</f>
        <v>186.95040000000006</v>
      </c>
      <c r="CA62" s="14">
        <f t="shared" si="39"/>
        <v>46.865095976617653</v>
      </c>
      <c r="CB62" s="22">
        <f t="shared" si="10"/>
        <v>407.22865549260922</v>
      </c>
      <c r="CC62" s="62">
        <f t="shared" si="11"/>
        <v>700.56198882594254</v>
      </c>
      <c r="CD62" s="62">
        <f ca="1">AVERAGE(OFFSET($CC$3,0,0,'Données projet'!$E$12+1,1))-AVERAGE(OFFSET($H$3,0,0,'Données projet'!$E$12+1,1))</f>
        <v>327.62212115491479</v>
      </c>
      <c r="CE62" s="62">
        <f t="shared" si="40"/>
        <v>348.84706693879735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10.998444541953626</v>
      </c>
      <c r="CM62" s="23">
        <f>EXP(-LN(2)/2)*CM61+(1-EXP(-LN(2)/2))/(LN(2)/2)*CG62*CJ62*VLOOKUP('Données projet'!$B$12,Paramètres!$A$1:$I$89,3,0)*0.475*44/12</f>
        <v>3.6722648556500718E-3</v>
      </c>
      <c r="CN62" s="24">
        <f t="shared" si="12"/>
        <v>11.002116806809276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5.2</v>
      </c>
      <c r="CT62" s="13">
        <f>IF('Données projet'!$A$140&gt;35,CT61+CS62-DB61,IF(A62&lt;'Données projet'!$A$140,$CQ$205^A62,IF(A62='Données projet'!$A$140,'Données projet'!$B$140,CT61+CS62-DB61)))</f>
        <v>239.7999999999999</v>
      </c>
      <c r="CU62" s="18">
        <f>CT62*VLOOKUP('Données projet'!$B$13,Paramètres!$A$1:$I$89,3,0)*VLOOKUP('Données projet'!$B$13,Paramètres!$A$1:$I$89,5,0)</f>
        <v>175.82135999999991</v>
      </c>
      <c r="CV62" s="14">
        <f t="shared" si="41"/>
        <v>44.391248695306977</v>
      </c>
      <c r="CW62" s="22">
        <f t="shared" si="13"/>
        <v>383.5369601443262</v>
      </c>
      <c r="CX62" s="62">
        <f t="shared" si="14"/>
        <v>676.87029347765952</v>
      </c>
      <c r="CY62" s="62">
        <f ca="1">AVERAGE(OFFSET($CX$3,0,0,'Données projet'!$E$13+1,1))-AVERAGE(OFFSET($H$3,0,0,'Données projet'!$E$13+1,1))</f>
        <v>277.97613250285963</v>
      </c>
      <c r="CZ62" s="62">
        <f t="shared" si="42"/>
        <v>274.55710362891892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4.5153718842238266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4.5153718842238266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364.63511534965755</v>
      </c>
      <c r="T63" s="62">
        <f t="shared" si="34"/>
        <v>233.32640143610541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1.1747876014780247</v>
      </c>
      <c r="AB63" s="23">
        <f>EXP(-LN(2)/2)*AB62+(1-EXP(-LN(2)/2))/(LN(2)/2)*V63*Y63*VLOOKUP('Données projet'!$B$9,Paramètres!$A$1:$I$89,3,0)*0.475*44/12</f>
        <v>3.8297840391002936E-4</v>
      </c>
      <c r="AC63" s="24">
        <f t="shared" si="3"/>
        <v>1.1751705798819347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216.99600000000009</v>
      </c>
      <c r="AK63" s="14">
        <f t="shared" si="35"/>
        <v>53.461459647386917</v>
      </c>
      <c r="AL63" s="22">
        <f t="shared" si="4"/>
        <v>471.04674221919907</v>
      </c>
      <c r="AM63" s="62">
        <f t="shared" si="5"/>
        <v>764.38007555253239</v>
      </c>
      <c r="AN63" s="62">
        <f ca="1">AVERAGE(OFFSET($AM$3,0,0,'Données projet'!$E$10+1,1))-AVERAGE(OFFSET($H$3,0,0,'Données projet'!$E$10+1,1))</f>
        <v>403.82490501309815</v>
      </c>
      <c r="AO63" s="62">
        <f t="shared" si="36"/>
        <v>256.4377087753457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1.3165723120012349</v>
      </c>
      <c r="AW63" s="23">
        <f>EXP(-LN(2)/2)*AW62+(1-EXP(-LN(2)/2))/(LN(2)/2)*AQ63*AT63*VLOOKUP('Données projet'!$B$10,Paramètres!$A$1:$I$89,3,0)*0.475*44/12</f>
        <v>4.2919993541641225E-4</v>
      </c>
      <c r="AX63" s="23">
        <f t="shared" si="6"/>
        <v>1.3170015119366514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206.9808000000001</v>
      </c>
      <c r="BF63" s="14">
        <f t="shared" si="37"/>
        <v>51.275259496675787</v>
      </c>
      <c r="BG63" s="22">
        <f t="shared" si="7"/>
        <v>449.7959702900439</v>
      </c>
      <c r="BH63" s="62">
        <f t="shared" si="8"/>
        <v>743.12930362337715</v>
      </c>
      <c r="BI63" s="62">
        <f ca="1">AVERAGE(OFFSET($BH$3,0,0,'Données projet'!$E$11+1,1))-AVERAGE(OFFSET($H$3,0,0,'Données projet'!$E$11+1,1))</f>
        <v>387.04070351732537</v>
      </c>
      <c r="BJ63" s="62">
        <f t="shared" si="38"/>
        <v>246.54010105494137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1.2558074360627163</v>
      </c>
      <c r="BR63" s="23">
        <f>EXP(-LN(2)/2)*BR62+(1-EXP(-LN(2)/2))/(LN(2)/2)*BL63*BO63*VLOOKUP('Données projet'!$B$11,Paramètres!$A$1:$I$89,3,0)*0.475*44/12</f>
        <v>4.0939070762796261E-4</v>
      </c>
      <c r="BS63" s="24">
        <f t="shared" si="9"/>
        <v>1.2562168267703442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220</v>
      </c>
      <c r="BW63" s="13">
        <f>VLOOKUP(A63,'Données projet'!$A$113:$I$133,9,0)</f>
        <v>6</v>
      </c>
      <c r="BX63" s="13">
        <f t="array" ref="BX63">INDEX(BW:BW,MIN(IF(ISNUMBER(BW63:BW259),ROW(BW63:BW259),"")))</f>
        <v>6</v>
      </c>
      <c r="BY63" s="13">
        <f>IF('Données projet'!$A$114&gt;35,BY62+BX63-CG62,IF(A63&lt;'Données projet'!$A$114,$BV$205^A63,IF(A63='Données projet'!$A$114,'Données projet'!$B$114,BY62+BX63-CG62)))</f>
        <v>220.00000000000003</v>
      </c>
      <c r="BZ63" s="14">
        <f>BY63*VLOOKUP('Données projet'!$B$12,Paramètres!$A$1:$I$89,3,0)*VLOOKUP('Données projet'!$B$12,Paramètres!$A$1:$I$89,5,0)</f>
        <v>192.19200000000006</v>
      </c>
      <c r="CA63" s="14">
        <f t="shared" si="39"/>
        <v>48.02424892193244</v>
      </c>
      <c r="CB63" s="22">
        <f t="shared" si="10"/>
        <v>418.37663353903241</v>
      </c>
      <c r="CC63" s="62">
        <f t="shared" si="11"/>
        <v>711.70996687236573</v>
      </c>
      <c r="CD63" s="62">
        <f ca="1">AVERAGE(OFFSET($CC$3,0,0,'Données projet'!$E$12+1,1))-AVERAGE(OFFSET($H$3,0,0,'Données projet'!$E$12+1,1))</f>
        <v>327.62212115491479</v>
      </c>
      <c r="CE63" s="62">
        <f t="shared" si="40"/>
        <v>348.84706693879735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10.697691497570842</v>
      </c>
      <c r="CM63" s="23">
        <f>EXP(-LN(2)/2)*CM62+(1-EXP(-LN(2)/2))/(LN(2)/2)*CG63*CJ63*VLOOKUP('Données projet'!$B$12,Paramètres!$A$1:$I$89,3,0)*0.475*44/12</f>
        <v>2.5966833817432041E-3</v>
      </c>
      <c r="CN63" s="24">
        <f t="shared" si="12"/>
        <v>10.700288180952585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245</v>
      </c>
      <c r="CR63" s="13">
        <f>VLOOKUP(A63,'Données projet'!$A$139:$I$159,9,0)</f>
        <v>5.2</v>
      </c>
      <c r="CS63" s="13">
        <f t="array" ref="CS63">INDEX(CR:CR,MIN(IF(ISNUMBER(CR63:CR259),ROW(CR63:CR259),"")))</f>
        <v>5.2</v>
      </c>
      <c r="CT63" s="13">
        <f>IF('Données projet'!$A$140&gt;35,CT62+CS63-DB62,IF(A63&lt;'Données projet'!$A$140,$CQ$205^A63,IF(A63='Données projet'!$A$140,'Données projet'!$B$140,CT62+CS63-DB62)))</f>
        <v>244.99999999999989</v>
      </c>
      <c r="CU63" s="18">
        <f>CT63*VLOOKUP('Données projet'!$B$13,Paramètres!$A$1:$I$89,3,0)*VLOOKUP('Données projet'!$B$13,Paramètres!$A$1:$I$89,5,0)</f>
        <v>179.6339999999999</v>
      </c>
      <c r="CV63" s="14">
        <f t="shared" si="41"/>
        <v>45.240748266194686</v>
      </c>
      <c r="CW63" s="22">
        <f t="shared" si="13"/>
        <v>391.65685323028885</v>
      </c>
      <c r="CX63" s="62">
        <f t="shared" si="14"/>
        <v>684.99018656362216</v>
      </c>
      <c r="CY63" s="62">
        <f ca="1">AVERAGE(OFFSET($CX$3,0,0,'Données projet'!$E$13+1,1))-AVERAGE(OFFSET($H$3,0,0,'Données projet'!$E$13+1,1))</f>
        <v>277.97613250285963</v>
      </c>
      <c r="CZ63" s="62">
        <f t="shared" si="42"/>
        <v>274.55710362891892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12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4.4268281956791018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4.4268281956791018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364.63511534965755</v>
      </c>
      <c r="T64" s="62">
        <f t="shared" si="34"/>
        <v>233.32640143610541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1.1426629727362132</v>
      </c>
      <c r="AB64" s="23">
        <f>EXP(-LN(2)/2)*AB63+(1-EXP(-LN(2)/2))/(LN(2)/2)*V64*Y64*VLOOKUP('Données projet'!$B$9,Paramètres!$A$1:$I$89,3,0)*0.475*44/12</f>
        <v>2.7080662645278234E-4</v>
      </c>
      <c r="AC64" s="24">
        <f t="shared" si="3"/>
        <v>1.1429337793626659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203.00280000000009</v>
      </c>
      <c r="AK64" s="14">
        <f t="shared" si="35"/>
        <v>50.403518824343074</v>
      </c>
      <c r="AL64" s="22">
        <f t="shared" si="4"/>
        <v>441.34933861906433</v>
      </c>
      <c r="AM64" s="62">
        <f t="shared" si="5"/>
        <v>734.68267195239764</v>
      </c>
      <c r="AN64" s="62">
        <f ca="1">AVERAGE(OFFSET($AM$3,0,0,'Données projet'!$E$10+1,1))-AVERAGE(OFFSET($H$3,0,0,'Données projet'!$E$10+1,1))</f>
        <v>403.82490501309815</v>
      </c>
      <c r="AO64" s="62">
        <f t="shared" si="36"/>
        <v>256.4377087753457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1.2805705728940324</v>
      </c>
      <c r="AW64" s="23">
        <f>EXP(-LN(2)/2)*AW63+(1-EXP(-LN(2)/2))/(LN(2)/2)*AQ64*AT64*VLOOKUP('Données projet'!$B$10,Paramètres!$A$1:$I$89,3,0)*0.475*44/12</f>
        <v>3.0349018481777335E-4</v>
      </c>
      <c r="AX64" s="23">
        <f t="shared" si="6"/>
        <v>1.2808740630788502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193.63344000000006</v>
      </c>
      <c r="BF64" s="14">
        <f t="shared" si="37"/>
        <v>48.342367086681271</v>
      </c>
      <c r="BG64" s="22">
        <f t="shared" si="7"/>
        <v>421.4411973426366</v>
      </c>
      <c r="BH64" s="62">
        <f t="shared" si="8"/>
        <v>714.77453067596991</v>
      </c>
      <c r="BI64" s="62">
        <f ca="1">AVERAGE(OFFSET($BH$3,0,0,'Données projet'!$E$11+1,1))-AVERAGE(OFFSET($H$3,0,0,'Données projet'!$E$11+1,1))</f>
        <v>387.04070351732537</v>
      </c>
      <c r="BJ64" s="62">
        <f t="shared" si="38"/>
        <v>246.54010105494137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1.2214673156835385</v>
      </c>
      <c r="BR64" s="23">
        <f>EXP(-LN(2)/2)*BR63+(1-EXP(-LN(2)/2))/(LN(2)/2)*BL64*BO64*VLOOKUP('Données projet'!$B$11,Paramètres!$A$1:$I$89,3,0)*0.475*44/12</f>
        <v>2.894829455184916E-4</v>
      </c>
      <c r="BS64" s="24">
        <f t="shared" si="9"/>
        <v>1.221756798629057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203.20000000000002</v>
      </c>
      <c r="BZ64" s="14">
        <f>BY64*VLOOKUP('Données projet'!$B$12,Paramètres!$A$1:$I$89,3,0)*VLOOKUP('Données projet'!$B$12,Paramètres!$A$1:$I$89,5,0)</f>
        <v>177.51552000000004</v>
      </c>
      <c r="CA64" s="14">
        <f t="shared" si="39"/>
        <v>44.768988809542904</v>
      </c>
      <c r="CB64" s="22">
        <f t="shared" si="10"/>
        <v>387.145519509954</v>
      </c>
      <c r="CC64" s="62">
        <f t="shared" si="11"/>
        <v>680.47885284328731</v>
      </c>
      <c r="CD64" s="62">
        <f ca="1">AVERAGE(OFFSET($CC$3,0,0,'Données projet'!$E$12+1,1))-AVERAGE(OFFSET($H$3,0,0,'Données projet'!$E$12+1,1))</f>
        <v>327.62212115491479</v>
      </c>
      <c r="CE64" s="62">
        <f t="shared" si="40"/>
        <v>348.84706693879735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10.405162561002621</v>
      </c>
      <c r="CM64" s="23">
        <f>EXP(-LN(2)/2)*CM63+(1-EXP(-LN(2)/2))/(LN(2)/2)*CG64*CJ64*VLOOKUP('Données projet'!$B$12,Paramètres!$A$1:$I$89,3,0)*0.475*44/12</f>
        <v>1.8361324278250361E-3</v>
      </c>
      <c r="CN64" s="24">
        <f t="shared" si="12"/>
        <v>10.406998693430445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4.2</v>
      </c>
      <c r="CT64" s="13">
        <f>IF('Données projet'!$A$140&gt;35,CT63+CS64-DB63,IF(A64&lt;'Données projet'!$A$140,$CQ$205^A64,IF(A64='Données projet'!$A$140,'Données projet'!$B$140,CT63+CS64-DB63)))</f>
        <v>237.19999999999987</v>
      </c>
      <c r="CU64" s="18">
        <f>CT64*VLOOKUP('Données projet'!$B$13,Paramètres!$A$1:$I$89,3,0)*VLOOKUP('Données projet'!$B$13,Paramètres!$A$1:$I$89,5,0)</f>
        <v>173.91503999999992</v>
      </c>
      <c r="CV64" s="14">
        <f t="shared" si="41"/>
        <v>43.965697010718181</v>
      </c>
      <c r="CW64" s="22">
        <f t="shared" si="13"/>
        <v>379.47561696033398</v>
      </c>
      <c r="CX64" s="62">
        <f t="shared" si="14"/>
        <v>672.80895029366729</v>
      </c>
      <c r="CY64" s="62">
        <f ca="1">AVERAGE(OFFSET($CX$3,0,0,'Données projet'!$E$13+1,1))-AVERAGE(OFFSET($H$3,0,0,'Données projet'!$E$13+1,1))</f>
        <v>277.97613250285963</v>
      </c>
      <c r="CZ64" s="62">
        <f t="shared" si="42"/>
        <v>274.55710362891892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4.340020794860421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4.340020794860421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364.63511534965755</v>
      </c>
      <c r="T65" s="62">
        <f t="shared" si="34"/>
        <v>233.32640143610541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1.1114167936567072</v>
      </c>
      <c r="AB65" s="23">
        <f>EXP(-LN(2)/2)*AB64+(1-EXP(-LN(2)/2))/(LN(2)/2)*V65*Y65*VLOOKUP('Données projet'!$B$9,Paramètres!$A$1:$I$89,3,0)*0.475*44/12</f>
        <v>1.9148920195501468E-4</v>
      </c>
      <c r="AC65" s="24">
        <f t="shared" si="3"/>
        <v>1.1116082828586622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210.3036000000001</v>
      </c>
      <c r="AK65" s="14">
        <f t="shared" si="35"/>
        <v>52.001924357524501</v>
      </c>
      <c r="AL65" s="22">
        <f t="shared" si="4"/>
        <v>456.84878825602203</v>
      </c>
      <c r="AM65" s="62">
        <f t="shared" si="5"/>
        <v>750.18212158935535</v>
      </c>
      <c r="AN65" s="62">
        <f ca="1">AVERAGE(OFFSET($AM$3,0,0,'Données projet'!$E$10+1,1))-AVERAGE(OFFSET($H$3,0,0,'Données projet'!$E$10+1,1))</f>
        <v>403.82490501309815</v>
      </c>
      <c r="AO65" s="62">
        <f t="shared" si="36"/>
        <v>256.4377087753457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1.2455533032359654</v>
      </c>
      <c r="AW65" s="23">
        <f>EXP(-LN(2)/2)*AW64+(1-EXP(-LN(2)/2))/(LN(2)/2)*AQ65*AT65*VLOOKUP('Données projet'!$B$10,Paramètres!$A$1:$I$89,3,0)*0.475*44/12</f>
        <v>2.1459996770820613E-4</v>
      </c>
      <c r="AX65" s="23">
        <f t="shared" si="6"/>
        <v>1.2457679032036735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200.5972800000001</v>
      </c>
      <c r="BF65" s="14">
        <f t="shared" si="37"/>
        <v>49.875409002023019</v>
      </c>
      <c r="BG65" s="22">
        <f t="shared" si="7"/>
        <v>436.23993334519031</v>
      </c>
      <c r="BH65" s="62">
        <f t="shared" si="8"/>
        <v>729.57326667852362</v>
      </c>
      <c r="BI65" s="62">
        <f ca="1">AVERAGE(OFFSET($BH$3,0,0,'Données projet'!$E$11+1,1))-AVERAGE(OFFSET($H$3,0,0,'Données projet'!$E$11+1,1))</f>
        <v>387.04070351732537</v>
      </c>
      <c r="BJ65" s="62">
        <f t="shared" si="38"/>
        <v>246.54010105494137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1.1880662277019978</v>
      </c>
      <c r="BR65" s="23">
        <f>EXP(-LN(2)/2)*BR64+(1-EXP(-LN(2)/2))/(LN(2)/2)*BL65*BO65*VLOOKUP('Données projet'!$B$11,Paramètres!$A$1:$I$89,3,0)*0.475*44/12</f>
        <v>2.046953538139813E-4</v>
      </c>
      <c r="BS65" s="24">
        <f t="shared" si="9"/>
        <v>1.1882709230558117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208.4</v>
      </c>
      <c r="BZ65" s="14">
        <f>BY65*VLOOKUP('Données projet'!$B$12,Paramètres!$A$1:$I$89,3,0)*VLOOKUP('Données projet'!$B$12,Paramètres!$A$1:$I$89,5,0)</f>
        <v>182.05824000000001</v>
      </c>
      <c r="CA65" s="14">
        <f t="shared" si="39"/>
        <v>45.779803189729343</v>
      </c>
      <c r="CB65" s="22">
        <f t="shared" si="10"/>
        <v>396.81792522211191</v>
      </c>
      <c r="CC65" s="62">
        <f t="shared" si="11"/>
        <v>690.15125855544522</v>
      </c>
      <c r="CD65" s="62">
        <f ca="1">AVERAGE(OFFSET($CC$3,0,0,'Données projet'!$E$12+1,1))-AVERAGE(OFFSET($H$3,0,0,'Données projet'!$E$12+1,1))</f>
        <v>327.62212115491479</v>
      </c>
      <c r="CE65" s="62">
        <f t="shared" si="40"/>
        <v>348.84706693879735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10.120632843588286</v>
      </c>
      <c r="CM65" s="23">
        <f>EXP(-LN(2)/2)*CM64+(1-EXP(-LN(2)/2))/(LN(2)/2)*CG65*CJ65*VLOOKUP('Données projet'!$B$12,Paramètres!$A$1:$I$89,3,0)*0.475*44/12</f>
        <v>1.2983416908716021E-3</v>
      </c>
      <c r="CN65" s="24">
        <f t="shared" si="12"/>
        <v>10.121931185279157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4.2</v>
      </c>
      <c r="CT65" s="13">
        <f>IF('Données projet'!$A$140&gt;35,CT64+CS65-DB64,IF(A65&lt;'Données projet'!$A$140,$CQ$205^A65,IF(A65='Données projet'!$A$140,'Données projet'!$B$140,CT64+CS65-DB64)))</f>
        <v>241.39999999999986</v>
      </c>
      <c r="CU65" s="18">
        <f>CT65*VLOOKUP('Données projet'!$B$13,Paramètres!$A$1:$I$89,3,0)*VLOOKUP('Données projet'!$B$13,Paramètres!$A$1:$I$89,5,0)</f>
        <v>176.9944799999999</v>
      </c>
      <c r="CV65" s="14">
        <f t="shared" si="41"/>
        <v>44.652859460191443</v>
      </c>
      <c r="CW65" s="22">
        <f t="shared" si="13"/>
        <v>386.03578289316653</v>
      </c>
      <c r="CX65" s="62">
        <f t="shared" si="14"/>
        <v>679.36911622649984</v>
      </c>
      <c r="CY65" s="62">
        <f ca="1">AVERAGE(OFFSET($CX$3,0,0,'Données projet'!$E$13+1,1))-AVERAGE(OFFSET($H$3,0,0,'Données projet'!$E$13+1,1))</f>
        <v>277.97613250285963</v>
      </c>
      <c r="CZ65" s="62">
        <f t="shared" si="42"/>
        <v>274.55710362891892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4.2549156342245089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4.2549156342245089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364.63511534965755</v>
      </c>
      <c r="T66" s="62">
        <f t="shared" si="34"/>
        <v>233.32640143610541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1.0810250429872956</v>
      </c>
      <c r="AB66" s="23">
        <f>EXP(-LN(2)/2)*AB65+(1-EXP(-LN(2)/2))/(LN(2)/2)*V66*Y66*VLOOKUP('Données projet'!$B$9,Paramètres!$A$1:$I$89,3,0)*0.475*44/12</f>
        <v>1.3540331322639117E-4</v>
      </c>
      <c r="AC66" s="24">
        <f t="shared" si="3"/>
        <v>1.081160446300522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217.60440000000006</v>
      </c>
      <c r="AK66" s="14">
        <f t="shared" si="35"/>
        <v>53.593882578706406</v>
      </c>
      <c r="AL66" s="22">
        <f t="shared" si="4"/>
        <v>472.33700882458038</v>
      </c>
      <c r="AM66" s="62">
        <f t="shared" si="5"/>
        <v>765.67034215791364</v>
      </c>
      <c r="AN66" s="62">
        <f ca="1">AVERAGE(OFFSET($AM$3,0,0,'Données projet'!$E$10+1,1))-AVERAGE(OFFSET($H$3,0,0,'Données projet'!$E$10+1,1))</f>
        <v>403.82490501309815</v>
      </c>
      <c r="AO66" s="62">
        <f t="shared" si="36"/>
        <v>256.4377087753457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1.2114935826581765</v>
      </c>
      <c r="AW66" s="23">
        <f>EXP(-LN(2)/2)*AW65+(1-EXP(-LN(2)/2))/(LN(2)/2)*AQ66*AT66*VLOOKUP('Données projet'!$B$10,Paramètres!$A$1:$I$89,3,0)*0.475*44/12</f>
        <v>1.5174509240888667E-4</v>
      </c>
      <c r="AX66" s="23">
        <f t="shared" si="6"/>
        <v>1.2116453277505854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207.56112000000005</v>
      </c>
      <c r="BF66" s="14">
        <f t="shared" si="37"/>
        <v>51.40226725537714</v>
      </c>
      <c r="BG66" s="22">
        <f t="shared" si="7"/>
        <v>451.02789946978191</v>
      </c>
      <c r="BH66" s="62">
        <f t="shared" si="8"/>
        <v>744.36123280311517</v>
      </c>
      <c r="BI66" s="62">
        <f ca="1">AVERAGE(OFFSET($BH$3,0,0,'Données projet'!$E$11+1,1))-AVERAGE(OFFSET($H$3,0,0,'Données projet'!$E$11+1,1))</f>
        <v>387.04070351732537</v>
      </c>
      <c r="BJ66" s="62">
        <f t="shared" si="38"/>
        <v>246.54010105494137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1.1555784942277991</v>
      </c>
      <c r="BR66" s="23">
        <f>EXP(-LN(2)/2)*BR65+(1-EXP(-LN(2)/2))/(LN(2)/2)*BL66*BO66*VLOOKUP('Données projet'!$B$11,Paramètres!$A$1:$I$89,3,0)*0.475*44/12</f>
        <v>1.447414727592458E-4</v>
      </c>
      <c r="BS66" s="24">
        <f t="shared" si="9"/>
        <v>1.1557232357005585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213.6</v>
      </c>
      <c r="BZ66" s="14">
        <f>BY66*VLOOKUP('Données projet'!$B$12,Paramètres!$A$1:$I$89,3,0)*VLOOKUP('Données projet'!$B$12,Paramètres!$A$1:$I$89,5,0)</f>
        <v>186.60096000000001</v>
      </c>
      <c r="CA66" s="14">
        <f t="shared" si="39"/>
        <v>46.787685683664144</v>
      </c>
      <c r="CB66" s="22">
        <f t="shared" si="10"/>
        <v>406.48522456571504</v>
      </c>
      <c r="CC66" s="62">
        <f t="shared" si="11"/>
        <v>699.8185578990483</v>
      </c>
      <c r="CD66" s="62">
        <f ca="1">AVERAGE(OFFSET($CC$3,0,0,'Données projet'!$E$12+1,1))-AVERAGE(OFFSET($H$3,0,0,'Données projet'!$E$12+1,1))</f>
        <v>327.62212115491479</v>
      </c>
      <c r="CE66" s="62">
        <f t="shared" si="40"/>
        <v>348.84706693879735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9.8438836062594142</v>
      </c>
      <c r="CM66" s="23">
        <f>EXP(-LN(2)/2)*CM65+(1-EXP(-LN(2)/2))/(LN(2)/2)*CG66*CJ66*VLOOKUP('Données projet'!$B$12,Paramètres!$A$1:$I$89,3,0)*0.475*44/12</f>
        <v>9.1806621391251806E-4</v>
      </c>
      <c r="CN66" s="24">
        <f t="shared" si="12"/>
        <v>9.8448016724733272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4.2</v>
      </c>
      <c r="CT66" s="13">
        <f>IF('Données projet'!$A$140&gt;35,CT65+CS66-DB65,IF(A66&lt;'Données projet'!$A$140,$CQ$205^A66,IF(A66='Données projet'!$A$140,'Données projet'!$B$140,CT65+CS66-DB65)))</f>
        <v>245.59999999999985</v>
      </c>
      <c r="CU66" s="18">
        <f>CT66*VLOOKUP('Données projet'!$B$13,Paramètres!$A$1:$I$89,3,0)*VLOOKUP('Données projet'!$B$13,Paramètres!$A$1:$I$89,5,0)</f>
        <v>180.07391999999987</v>
      </c>
      <c r="CV66" s="14">
        <f t="shared" si="41"/>
        <v>45.338631611660183</v>
      </c>
      <c r="CW66" s="22">
        <f t="shared" si="13"/>
        <v>392.59352739030788</v>
      </c>
      <c r="CX66" s="62">
        <f t="shared" si="14"/>
        <v>685.9268607236412</v>
      </c>
      <c r="CY66" s="62">
        <f ca="1">AVERAGE(OFFSET($CX$3,0,0,'Données projet'!$E$13+1,1))-AVERAGE(OFFSET($H$3,0,0,'Données projet'!$E$13+1,1))</f>
        <v>277.97613250285963</v>
      </c>
      <c r="CZ66" s="62">
        <f t="shared" si="42"/>
        <v>274.55710362891892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4.1714793338796445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4.1714793338796445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364.63511534965755</v>
      </c>
      <c r="T67" s="62">
        <f t="shared" si="34"/>
        <v>233.32640143610541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1.0514643563381718</v>
      </c>
      <c r="AB67" s="23">
        <f>EXP(-LN(2)/2)*AB66+(1-EXP(-LN(2)/2))/(LN(2)/2)*V67*Y67*VLOOKUP('Données projet'!$B$9,Paramètres!$A$1:$I$89,3,0)*0.475*44/12</f>
        <v>9.5744600977507339E-5</v>
      </c>
      <c r="AC67" s="24">
        <f t="shared" si="3"/>
        <v>1.0515601009391493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224.90520000000006</v>
      </c>
      <c r="AK67" s="14">
        <f t="shared" si="35"/>
        <v>55.17963460003309</v>
      </c>
      <c r="AL67" s="22">
        <f t="shared" si="4"/>
        <v>487.81442026172436</v>
      </c>
      <c r="AM67" s="62">
        <f t="shared" si="5"/>
        <v>781.14775359505768</v>
      </c>
      <c r="AN67" s="62">
        <f ca="1">AVERAGE(OFFSET($AM$3,0,0,'Données projet'!$E$10+1,1))-AVERAGE(OFFSET($H$3,0,0,'Données projet'!$E$10+1,1))</f>
        <v>403.82490501309815</v>
      </c>
      <c r="AO67" s="62">
        <f t="shared" si="36"/>
        <v>256.4377087753457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1.1783652269307101</v>
      </c>
      <c r="AW67" s="23">
        <f>EXP(-LN(2)/2)*AW66+(1-EXP(-LN(2)/2))/(LN(2)/2)*AQ67*AT67*VLOOKUP('Données projet'!$B$10,Paramètres!$A$1:$I$89,3,0)*0.475*44/12</f>
        <v>1.0729998385410306E-4</v>
      </c>
      <c r="AX67" s="23">
        <f t="shared" si="6"/>
        <v>1.1784725269145642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214.52496000000005</v>
      </c>
      <c r="BF67" s="14">
        <f t="shared" si="37"/>
        <v>52.923173099085766</v>
      </c>
      <c r="BG67" s="22">
        <f t="shared" si="7"/>
        <v>465.80549848090777</v>
      </c>
      <c r="BH67" s="62">
        <f t="shared" si="8"/>
        <v>759.13883181424103</v>
      </c>
      <c r="BI67" s="62">
        <f ca="1">AVERAGE(OFFSET($BH$3,0,0,'Données projet'!$E$11+1,1))-AVERAGE(OFFSET($H$3,0,0,'Données projet'!$E$11+1,1))</f>
        <v>387.04070351732537</v>
      </c>
      <c r="BJ67" s="62">
        <f t="shared" si="38"/>
        <v>246.54010105494137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1.123979139533908</v>
      </c>
      <c r="BR67" s="23">
        <f>EXP(-LN(2)/2)*BR66+(1-EXP(-LN(2)/2))/(LN(2)/2)*BL67*BO67*VLOOKUP('Données projet'!$B$11,Paramètres!$A$1:$I$89,3,0)*0.475*44/12</f>
        <v>1.0234767690699065E-4</v>
      </c>
      <c r="BS67" s="24">
        <f t="shared" si="9"/>
        <v>1.1240814872108151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218.79999999999998</v>
      </c>
      <c r="BZ67" s="14">
        <f>BY67*VLOOKUP('Données projet'!$B$12,Paramètres!$A$1:$I$89,3,0)*VLOOKUP('Données projet'!$B$12,Paramètres!$A$1:$I$89,5,0)</f>
        <v>191.14368000000002</v>
      </c>
      <c r="CA67" s="14">
        <f t="shared" si="39"/>
        <v>47.792715878069586</v>
      </c>
      <c r="CB67" s="22">
        <f t="shared" si="10"/>
        <v>416.14755615430454</v>
      </c>
      <c r="CC67" s="62">
        <f t="shared" si="11"/>
        <v>709.4808894876378</v>
      </c>
      <c r="CD67" s="62">
        <f ca="1">AVERAGE(OFFSET($CC$3,0,0,'Données projet'!$E$12+1,1))-AVERAGE(OFFSET($H$3,0,0,'Données projet'!$E$12+1,1))</f>
        <v>327.62212115491479</v>
      </c>
      <c r="CE67" s="62">
        <f t="shared" si="40"/>
        <v>348.84706693879735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9.57470209137891</v>
      </c>
      <c r="CM67" s="23">
        <f>EXP(-LN(2)/2)*CM66+(1-EXP(-LN(2)/2))/(LN(2)/2)*CG67*CJ67*VLOOKUP('Données projet'!$B$12,Paramètres!$A$1:$I$89,3,0)*0.475*44/12</f>
        <v>6.4917084543580103E-4</v>
      </c>
      <c r="CN67" s="24">
        <f t="shared" si="12"/>
        <v>9.5753512622243466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4.2</v>
      </c>
      <c r="CT67" s="13">
        <f>IF('Données projet'!$A$140&gt;35,CT66+CS67-DB66,IF(A67&lt;'Données projet'!$A$140,$CQ$205^A67,IF(A67='Données projet'!$A$140,'Données projet'!$B$140,CT66+CS67-DB66)))</f>
        <v>249.79999999999984</v>
      </c>
      <c r="CU67" s="18">
        <f>CT67*VLOOKUP('Données projet'!$B$13,Paramètres!$A$1:$I$89,3,0)*VLOOKUP('Données projet'!$B$13,Paramètres!$A$1:$I$89,5,0)</f>
        <v>183.15335999999988</v>
      </c>
      <c r="CV67" s="14">
        <f t="shared" si="41"/>
        <v>46.023039984246878</v>
      </c>
      <c r="CW67" s="22">
        <f t="shared" si="13"/>
        <v>399.14889663922969</v>
      </c>
      <c r="CX67" s="62">
        <f t="shared" si="14"/>
        <v>692.482229972563</v>
      </c>
      <c r="CY67" s="62">
        <f ca="1">AVERAGE(OFFSET($CX$3,0,0,'Données projet'!$E$13+1,1))-AVERAGE(OFFSET($H$3,0,0,'Données projet'!$E$13+1,1))</f>
        <v>277.97613250285963</v>
      </c>
      <c r="CZ67" s="62">
        <f t="shared" si="42"/>
        <v>274.55710362891892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4.0896791684934248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4.0896791684934248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364.63511534965755</v>
      </c>
      <c r="T68" s="62">
        <f t="shared" si="34"/>
        <v>233.32640143610541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1.0227120082199972</v>
      </c>
      <c r="AB68" s="23">
        <f>EXP(-LN(2)/2)*AB67+(1-EXP(-LN(2)/2))/(LN(2)/2)*V68*Y68*VLOOKUP('Données projet'!$B$9,Paramètres!$A$1:$I$89,3,0)*0.475*44/12</f>
        <v>6.7701656613195586E-5</v>
      </c>
      <c r="AC68" s="24">
        <f t="shared" ref="AC68:AC131" si="57">SUM(Z68:AB68)</f>
        <v>1.0227797098766105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232.20600000000005</v>
      </c>
      <c r="AK68" s="14">
        <f t="shared" si="35"/>
        <v>56.759404991217572</v>
      </c>
      <c r="AL68" s="22">
        <f t="shared" ref="AL68:AL131" si="58">(AJ68+AK68)*0.475*44/12</f>
        <v>503.28141369303734</v>
      </c>
      <c r="AM68" s="62">
        <f t="shared" ref="AM68:AM131" si="59">AL68+(AD68+AE68)*44/12</f>
        <v>796.61474702637065</v>
      </c>
      <c r="AN68" s="62">
        <f ca="1">AVERAGE(OFFSET($AM$3,0,0,'Données projet'!$E$10+1,1))-AVERAGE(OFFSET($H$3,0,0,'Données projet'!$E$10+1,1))</f>
        <v>403.82490501309815</v>
      </c>
      <c r="AO68" s="62">
        <f t="shared" si="36"/>
        <v>256.4377087753457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1.1461427678327558</v>
      </c>
      <c r="AW68" s="23">
        <f>EXP(-LN(2)/2)*AW67+(1-EXP(-LN(2)/2))/(LN(2)/2)*AQ68*AT68*VLOOKUP('Données projet'!$B$10,Paramètres!$A$1:$I$89,3,0)*0.475*44/12</f>
        <v>7.5872546204443336E-5</v>
      </c>
      <c r="AX68" s="23">
        <f t="shared" ref="AX68:AX131" si="60">SUM(AU68:AW68)</f>
        <v>1.1462186403789603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221.48880000000003</v>
      </c>
      <c r="BF68" s="14">
        <f t="shared" si="37"/>
        <v>54.43834191952984</v>
      </c>
      <c r="BG68" s="22">
        <f t="shared" ref="BG68:BG131" si="61">(BE68+BF68)*0.475*44/12</f>
        <v>480.57310550984772</v>
      </c>
      <c r="BH68" s="62">
        <f t="shared" ref="BH68:BH131" si="62">BG68+(AY68+AZ68)*44/12</f>
        <v>773.90643884318104</v>
      </c>
      <c r="BI68" s="62">
        <f ca="1">AVERAGE(OFFSET($BH$3,0,0,'Données projet'!$E$11+1,1))-AVERAGE(OFFSET($H$3,0,0,'Données projet'!$E$11+1,1))</f>
        <v>387.04070351732537</v>
      </c>
      <c r="BJ68" s="62">
        <f t="shared" si="38"/>
        <v>246.54010105494137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1.0932438708558592</v>
      </c>
      <c r="BR68" s="23">
        <f>EXP(-LN(2)/2)*BR67+(1-EXP(-LN(2)/2))/(LN(2)/2)*BL68*BO68*VLOOKUP('Données projet'!$B$11,Paramètres!$A$1:$I$89,3,0)*0.475*44/12</f>
        <v>7.2370736379622901E-5</v>
      </c>
      <c r="BS68" s="24">
        <f t="shared" ref="BS68:BS131" si="63">SUM(BP68:BR68)</f>
        <v>1.0933162415922388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224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223.99999999999997</v>
      </c>
      <c r="BZ68" s="14">
        <f>BY68*VLOOKUP('Données projet'!$B$12,Paramètres!$A$1:$I$89,3,0)*VLOOKUP('Données projet'!$B$12,Paramètres!$A$1:$I$89,5,0)</f>
        <v>195.68639999999999</v>
      </c>
      <c r="CA68" s="14">
        <f t="shared" si="39"/>
        <v>48.794969360985156</v>
      </c>
      <c r="CB68" s="22">
        <f t="shared" ref="CB68:CB131" si="64">(BZ68+CA68)*0.475*44/12</f>
        <v>425.80505163704908</v>
      </c>
      <c r="CC68" s="62">
        <f t="shared" ref="CC68:CC131" si="65">CB68+(BT68+BU68)*44/12</f>
        <v>719.13838497038239</v>
      </c>
      <c r="CD68" s="62">
        <f ca="1">AVERAGE(OFFSET($CC$3,0,0,'Données projet'!$E$12+1,1))-AVERAGE(OFFSET($H$3,0,0,'Données projet'!$E$12+1,1))</f>
        <v>327.62212115491479</v>
      </c>
      <c r="CE68" s="62">
        <f t="shared" si="40"/>
        <v>348.84706693879735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9.3128813591784532</v>
      </c>
      <c r="CM68" s="23">
        <f>EXP(-LN(2)/2)*CM67+(1-EXP(-LN(2)/2))/(LN(2)/2)*CG68*CJ68*VLOOKUP('Données projet'!$B$12,Paramètres!$A$1:$I$89,3,0)*0.475*44/12</f>
        <v>4.5903310695625903E-4</v>
      </c>
      <c r="CN68" s="24">
        <f t="shared" ref="CN68:CN131" si="66">SUM(CK68:CM68)</f>
        <v>9.3133403922854097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254</v>
      </c>
      <c r="CR68" s="13">
        <f>VLOOKUP(A68,'Données projet'!$A$139:$I$159,9,0)</f>
        <v>4.2</v>
      </c>
      <c r="CS68" s="13">
        <f t="array" ref="CS68">INDEX(CR:CR,MIN(IF(ISNUMBER(CR68:CR264),ROW(CR68:CR264),"")))</f>
        <v>4.2</v>
      </c>
      <c r="CT68" s="13">
        <f>IF('Données projet'!$A$140&gt;35,CT67+CS68-DB67,IF(A68&lt;'Données projet'!$A$140,$CQ$205^A68,IF(A68='Données projet'!$A$140,'Données projet'!$B$140,CT67+CS68-DB67)))</f>
        <v>253.99999999999983</v>
      </c>
      <c r="CU68" s="18">
        <f>CT68*VLOOKUP('Données projet'!$B$13,Paramètres!$A$1:$I$89,3,0)*VLOOKUP('Données projet'!$B$13,Paramètres!$A$1:$I$89,5,0)</f>
        <v>186.23279999999986</v>
      </c>
      <c r="CV68" s="14">
        <f t="shared" si="41"/>
        <v>46.706110154207899</v>
      </c>
      <c r="CW68" s="22">
        <f t="shared" ref="CW68:CW131" si="67">(CU68+CV68)*0.475*44/12</f>
        <v>405.70193518524519</v>
      </c>
      <c r="CX68" s="62">
        <f t="shared" ref="CX68:CX131" si="68">CW68+(CO68+CP68)*44/12</f>
        <v>699.0352685185785</v>
      </c>
      <c r="CY68" s="62">
        <f ca="1">AVERAGE(OFFSET($CX$3,0,0,'Données projet'!$E$13+1,1))-AVERAGE(OFFSET($H$3,0,0,'Données projet'!$E$13+1,1))</f>
        <v>277.97613250285963</v>
      </c>
      <c r="CZ68" s="62">
        <f t="shared" si="42"/>
        <v>274.55710362891892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11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4.0094830544572542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4.0094830544572542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364.63511534965755</v>
      </c>
      <c r="T69" s="62">
        <f t="shared" ref="T69:T132" si="88">$T$3</f>
        <v>233.32640143610541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0.99474589457313434</v>
      </c>
      <c r="AB69" s="23">
        <f>EXP(-LN(2)/2)*AB68+(1-EXP(-LN(2)/2))/(LN(2)/2)*V69*Y69*VLOOKUP('Données projet'!$B$9,Paramètres!$A$1:$I$89,3,0)*0.475*44/12</f>
        <v>4.787230048875367E-5</v>
      </c>
      <c r="AC69" s="24">
        <f t="shared" si="57"/>
        <v>0.99479376687362309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217.80720000000005</v>
      </c>
      <c r="AK69" s="14">
        <f t="shared" ref="AK69:AK132" si="89">EXP(-1.0587+0.8836*LN(AJ69)+0.284)</f>
        <v>53.638013973813976</v>
      </c>
      <c r="AL69" s="22">
        <f t="shared" si="58"/>
        <v>472.76708100439265</v>
      </c>
      <c r="AM69" s="62">
        <f t="shared" si="59"/>
        <v>766.10041433772597</v>
      </c>
      <c r="AN69" s="62">
        <f ca="1">AVERAGE(OFFSET($AM$3,0,0,'Données projet'!$E$10+1,1))-AVERAGE(OFFSET($H$3,0,0,'Données projet'!$E$10+1,1))</f>
        <v>403.82490501309815</v>
      </c>
      <c r="AO69" s="62">
        <f t="shared" ref="AO69:AO132" si="90">$AO$3</f>
        <v>256.4377087753457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1.1148014335733405</v>
      </c>
      <c r="AW69" s="23">
        <f>EXP(-LN(2)/2)*AW68+(1-EXP(-LN(2)/2))/(LN(2)/2)*AQ69*AT69*VLOOKUP('Données projet'!$B$10,Paramètres!$A$1:$I$89,3,0)*0.475*44/12</f>
        <v>5.3649991927051531E-5</v>
      </c>
      <c r="AX69" s="23">
        <f t="shared" si="60"/>
        <v>1.1148550835652675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207.75456000000003</v>
      </c>
      <c r="BF69" s="14">
        <f t="shared" ref="BF69:BF132" si="91">EXP(-1.0587+0.8836*LN(BE69)+0.284)</f>
        <v>51.44459398478218</v>
      </c>
      <c r="BG69" s="22">
        <f t="shared" si="61"/>
        <v>451.43852652349568</v>
      </c>
      <c r="BH69" s="62">
        <f t="shared" si="62"/>
        <v>744.771859856829</v>
      </c>
      <c r="BI69" s="62">
        <f ca="1">AVERAGE(OFFSET($BH$3,0,0,'Données projet'!$E$11+1,1))-AVERAGE(OFFSET($H$3,0,0,'Données projet'!$E$11+1,1))</f>
        <v>387.04070351732537</v>
      </c>
      <c r="BJ69" s="62">
        <f t="shared" ref="BJ69:BJ132" si="92">$BJ$3</f>
        <v>246.54010105494137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1.0633490597161093</v>
      </c>
      <c r="BR69" s="23">
        <f>EXP(-LN(2)/2)*BR68+(1-EXP(-LN(2)/2))/(LN(2)/2)*BL69*BO69*VLOOKUP('Données projet'!$B$11,Paramètres!$A$1:$I$89,3,0)*0.475*44/12</f>
        <v>5.1173838453495326E-5</v>
      </c>
      <c r="BS69" s="24">
        <f t="shared" si="63"/>
        <v>1.0634002335545627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4.5999999999999996</v>
      </c>
      <c r="BY69" s="13">
        <f>IF('Données projet'!$A$114&gt;35,BY68+BX69-CG68,IF(A69&lt;'Données projet'!$A$114,$BV$205^A69,IF(A69='Données projet'!$A$114,'Données projet'!$B$114,BY68+BX69-CG68)))</f>
        <v>208.59999999999997</v>
      </c>
      <c r="BZ69" s="14">
        <f>BY69*VLOOKUP('Données projet'!$B$12,Paramètres!$A$1:$I$89,3,0)*VLOOKUP('Données projet'!$B$12,Paramètres!$A$1:$I$89,5,0)</f>
        <v>182.23295999999999</v>
      </c>
      <c r="CA69" s="14">
        <f t="shared" ref="CA69:CA132" si="93">EXP(-1.0587+0.8836*LN(BZ69)+0.284)</f>
        <v>45.818621592366291</v>
      </c>
      <c r="CB69" s="22">
        <f t="shared" si="64"/>
        <v>397.18983794003793</v>
      </c>
      <c r="CC69" s="62">
        <f t="shared" si="65"/>
        <v>690.52317127337119</v>
      </c>
      <c r="CD69" s="62">
        <f ca="1">AVERAGE(OFFSET($CC$3,0,0,'Données projet'!$E$12+1,1))-AVERAGE(OFFSET($H$3,0,0,'Données projet'!$E$12+1,1))</f>
        <v>327.62212115491479</v>
      </c>
      <c r="CE69" s="62">
        <f t="shared" ref="CE69:CE132" si="94">$CE$3</f>
        <v>348.84706693879735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9.0582201286685731</v>
      </c>
      <c r="CM69" s="23">
        <f>EXP(-LN(2)/2)*CM68+(1-EXP(-LN(2)/2))/(LN(2)/2)*CG69*CJ69*VLOOKUP('Données projet'!$B$12,Paramètres!$A$1:$I$89,3,0)*0.475*44/12</f>
        <v>3.2458542271790052E-4</v>
      </c>
      <c r="CN69" s="24">
        <f t="shared" si="66"/>
        <v>9.0585447140912905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</v>
      </c>
      <c r="CT69" s="13">
        <f>IF('Données projet'!$A$140&gt;35,CT68+CS69-DB68,IF(A69&lt;'Données projet'!$A$140,$CQ$205^A69,IF(A69='Données projet'!$A$140,'Données projet'!$B$140,CT68+CS69-DB68)))</f>
        <v>246.79999999999984</v>
      </c>
      <c r="CU69" s="18">
        <f>CT69*VLOOKUP('Données projet'!$B$13,Paramètres!$A$1:$I$89,3,0)*VLOOKUP('Données projet'!$B$13,Paramètres!$A$1:$I$89,5,0)</f>
        <v>180.95375999999987</v>
      </c>
      <c r="CV69" s="14">
        <f t="shared" ref="CV69:CV132" si="95">EXP(-1.0587+0.8836*LN(CU69)+0.284)</f>
        <v>45.534314886343658</v>
      </c>
      <c r="CW69" s="22">
        <f t="shared" si="67"/>
        <v>394.46673042704833</v>
      </c>
      <c r="CX69" s="62">
        <f t="shared" si="68"/>
        <v>687.80006376038159</v>
      </c>
      <c r="CY69" s="62">
        <f ca="1">AVERAGE(OFFSET($CX$3,0,0,'Données projet'!$E$13+1,1))-AVERAGE(OFFSET($H$3,0,0,'Données projet'!$E$13+1,1))</f>
        <v>277.97613250285963</v>
      </c>
      <c r="CZ69" s="62">
        <f t="shared" ref="CZ69:CZ132" si="96">$CZ$3</f>
        <v>274.55710362891892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3.9308595373025335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3.9308595373025335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364.63511534965755</v>
      </c>
      <c r="T70" s="62">
        <f t="shared" si="88"/>
        <v>233.32640143610541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0.96754451577461886</v>
      </c>
      <c r="AB70" s="23">
        <f>EXP(-LN(2)/2)*AB69+(1-EXP(-LN(2)/2))/(LN(2)/2)*V70*Y70*VLOOKUP('Données projet'!$B$9,Paramètres!$A$1:$I$89,3,0)*0.475*44/12</f>
        <v>3.3850828306597793E-5</v>
      </c>
      <c r="AC70" s="24">
        <f t="shared" si="57"/>
        <v>0.96757836660292551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224.7024000000001</v>
      </c>
      <c r="AK70" s="14">
        <f t="shared" si="89"/>
        <v>55.135667706678312</v>
      </c>
      <c r="AL70" s="22">
        <f t="shared" si="58"/>
        <v>487.38463458913157</v>
      </c>
      <c r="AM70" s="62">
        <f t="shared" si="59"/>
        <v>780.71796792246482</v>
      </c>
      <c r="AN70" s="62">
        <f ca="1">AVERAGE(OFFSET($AM$3,0,0,'Données projet'!$E$10+1,1))-AVERAGE(OFFSET($H$3,0,0,'Données projet'!$E$10+1,1))</f>
        <v>403.82490501309815</v>
      </c>
      <c r="AO70" s="62">
        <f t="shared" si="90"/>
        <v>256.4377087753457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1.0843171297474181</v>
      </c>
      <c r="AW70" s="23">
        <f>EXP(-LN(2)/2)*AW69+(1-EXP(-LN(2)/2))/(LN(2)/2)*AQ70*AT70*VLOOKUP('Données projet'!$B$10,Paramètres!$A$1:$I$89,3,0)*0.475*44/12</f>
        <v>3.7936273102221668E-5</v>
      </c>
      <c r="AX70" s="23">
        <f t="shared" si="60"/>
        <v>1.0843550660205203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214.33152000000004</v>
      </c>
      <c r="BF70" s="14">
        <f t="shared" si="91"/>
        <v>52.881004144461244</v>
      </c>
      <c r="BG70" s="22">
        <f t="shared" si="61"/>
        <v>465.39514621826999</v>
      </c>
      <c r="BH70" s="62">
        <f t="shared" si="62"/>
        <v>758.7284795516033</v>
      </c>
      <c r="BI70" s="62">
        <f ca="1">AVERAGE(OFFSET($BH$3,0,0,'Données projet'!$E$11+1,1))-AVERAGE(OFFSET($H$3,0,0,'Données projet'!$E$11+1,1))</f>
        <v>387.04070351732537</v>
      </c>
      <c r="BJ70" s="62">
        <f t="shared" si="92"/>
        <v>246.54010105494137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1.0342717237590755</v>
      </c>
      <c r="BR70" s="23">
        <f>EXP(-LN(2)/2)*BR69+(1-EXP(-LN(2)/2))/(LN(2)/2)*BL70*BO70*VLOOKUP('Données projet'!$B$11,Paramètres!$A$1:$I$89,3,0)*0.475*44/12</f>
        <v>3.6185368189811451E-5</v>
      </c>
      <c r="BS70" s="24">
        <f t="shared" si="63"/>
        <v>1.0343079091272653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4.5999999999999996</v>
      </c>
      <c r="BY70" s="13">
        <f>IF('Données projet'!$A$114&gt;35,BY69+BX70-CG69,IF(A70&lt;'Données projet'!$A$114,$BV$205^A70,IF(A70='Données projet'!$A$114,'Données projet'!$B$114,BY69+BX70-CG69)))</f>
        <v>213.19999999999996</v>
      </c>
      <c r="BZ70" s="14">
        <f>BY70*VLOOKUP('Données projet'!$B$12,Paramètres!$A$1:$I$89,3,0)*VLOOKUP('Données projet'!$B$12,Paramètres!$A$1:$I$89,5,0)</f>
        <v>186.25152</v>
      </c>
      <c r="CA70" s="14">
        <f t="shared" si="93"/>
        <v>46.71025851515671</v>
      </c>
      <c r="CB70" s="22">
        <f t="shared" si="64"/>
        <v>405.74176424723129</v>
      </c>
      <c r="CC70" s="62">
        <f t="shared" si="65"/>
        <v>699.0750975805646</v>
      </c>
      <c r="CD70" s="62">
        <f ca="1">AVERAGE(OFFSET($CC$3,0,0,'Données projet'!$E$12+1,1))-AVERAGE(OFFSET($H$3,0,0,'Données projet'!$E$12+1,1))</f>
        <v>327.62212115491479</v>
      </c>
      <c r="CE70" s="62">
        <f t="shared" si="94"/>
        <v>348.84706693879735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8.8105226228990379</v>
      </c>
      <c r="CM70" s="23">
        <f>EXP(-LN(2)/2)*CM69+(1-EXP(-LN(2)/2))/(LN(2)/2)*CG70*CJ70*VLOOKUP('Données projet'!$B$12,Paramètres!$A$1:$I$89,3,0)*0.475*44/12</f>
        <v>2.2951655347812951E-4</v>
      </c>
      <c r="CN70" s="24">
        <f t="shared" si="66"/>
        <v>8.8107521394525161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</v>
      </c>
      <c r="CT70" s="13">
        <f>IF('Données projet'!$A$140&gt;35,CT69+CS70-DB69,IF(A70&lt;'Données projet'!$A$140,$CQ$205^A70,IF(A70='Données projet'!$A$140,'Données projet'!$B$140,CT69+CS70-DB69)))</f>
        <v>250.59999999999985</v>
      </c>
      <c r="CU70" s="18">
        <f>CT70*VLOOKUP('Données projet'!$B$13,Paramètres!$A$1:$I$89,3,0)*VLOOKUP('Données projet'!$B$13,Paramètres!$A$1:$I$89,5,0)</f>
        <v>183.7399199999999</v>
      </c>
      <c r="CV70" s="14">
        <f t="shared" si="95"/>
        <v>46.153250992914103</v>
      </c>
      <c r="CW70" s="22">
        <f t="shared" si="67"/>
        <v>400.39727281265851</v>
      </c>
      <c r="CX70" s="62">
        <f t="shared" si="68"/>
        <v>693.73060614599183</v>
      </c>
      <c r="CY70" s="62">
        <f ca="1">AVERAGE(OFFSET($CX$3,0,0,'Données projet'!$E$13+1,1))-AVERAGE(OFFSET($H$3,0,0,'Données projet'!$E$13+1,1))</f>
        <v>277.97613250285963</v>
      </c>
      <c r="CZ70" s="62">
        <f t="shared" si="96"/>
        <v>274.55710362891892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3.8537777793636065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3.8537777793636065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364.63511534965755</v>
      </c>
      <c r="T71" s="62">
        <f t="shared" si="88"/>
        <v>233.32640143610541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0.94108696010980719</v>
      </c>
      <c r="AB71" s="23">
        <f>EXP(-LN(2)/2)*AB70+(1-EXP(-LN(2)/2))/(LN(2)/2)*V71*Y71*VLOOKUP('Données projet'!$B$9,Paramètres!$A$1:$I$89,3,0)*0.475*44/12</f>
        <v>2.3936150244376835E-5</v>
      </c>
      <c r="AC71" s="24">
        <f t="shared" si="57"/>
        <v>0.94111089626005162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231.59760000000006</v>
      </c>
      <c r="AK71" s="14">
        <f t="shared" si="89"/>
        <v>56.627980714948151</v>
      </c>
      <c r="AL71" s="22">
        <f t="shared" si="58"/>
        <v>501.99288641186803</v>
      </c>
      <c r="AM71" s="62">
        <f t="shared" si="59"/>
        <v>795.32621974520134</v>
      </c>
      <c r="AN71" s="62">
        <f ca="1">AVERAGE(OFFSET($AM$3,0,0,'Données projet'!$E$10+1,1))-AVERAGE(OFFSET($H$3,0,0,'Données projet'!$E$10+1,1))</f>
        <v>403.82490501309815</v>
      </c>
      <c r="AO71" s="62">
        <f t="shared" si="90"/>
        <v>256.4377087753457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1.0546664208127154</v>
      </c>
      <c r="AW71" s="23">
        <f>EXP(-LN(2)/2)*AW70+(1-EXP(-LN(2)/2))/(LN(2)/2)*AQ71*AT71*VLOOKUP('Données projet'!$B$10,Paramètres!$A$1:$I$89,3,0)*0.475*44/12</f>
        <v>2.6824995963525766E-5</v>
      </c>
      <c r="AX71" s="23">
        <f t="shared" si="60"/>
        <v>1.0546932458086791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220.90848000000005</v>
      </c>
      <c r="BF71" s="14">
        <f t="shared" si="91"/>
        <v>54.312291977864867</v>
      </c>
      <c r="BG71" s="22">
        <f t="shared" si="61"/>
        <v>479.34284452811465</v>
      </c>
      <c r="BH71" s="62">
        <f t="shared" si="62"/>
        <v>772.67617786144797</v>
      </c>
      <c r="BI71" s="62">
        <f ca="1">AVERAGE(OFFSET($BH$3,0,0,'Données projet'!$E$11+1,1))-AVERAGE(OFFSET($H$3,0,0,'Données projet'!$E$11+1,1))</f>
        <v>387.04070351732537</v>
      </c>
      <c r="BJ71" s="62">
        <f t="shared" si="92"/>
        <v>246.54010105494137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1.0059895090828974</v>
      </c>
      <c r="BR71" s="23">
        <f>EXP(-LN(2)/2)*BR70+(1-EXP(-LN(2)/2))/(LN(2)/2)*BL71*BO71*VLOOKUP('Données projet'!$B$11,Paramètres!$A$1:$I$89,3,0)*0.475*44/12</f>
        <v>2.5586919226747663E-5</v>
      </c>
      <c r="BS71" s="24">
        <f t="shared" si="63"/>
        <v>1.0060150960021241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4.5999999999999996</v>
      </c>
      <c r="BY71" s="13">
        <f>IF('Données projet'!$A$114&gt;35,BY70+BX71-CG70,IF(A71&lt;'Données projet'!$A$114,$BV$205^A71,IF(A71='Données projet'!$A$114,'Données projet'!$B$114,BY70+BX71-CG70)))</f>
        <v>217.79999999999995</v>
      </c>
      <c r="BZ71" s="14">
        <f>BY71*VLOOKUP('Données projet'!$B$12,Paramètres!$A$1:$I$89,3,0)*VLOOKUP('Données projet'!$B$12,Paramètres!$A$1:$I$89,5,0)</f>
        <v>190.27007999999998</v>
      </c>
      <c r="CA71" s="14">
        <f t="shared" si="93"/>
        <v>47.599658767320413</v>
      </c>
      <c r="CB71" s="22">
        <f t="shared" si="64"/>
        <v>414.28979501974965</v>
      </c>
      <c r="CC71" s="62">
        <f t="shared" si="65"/>
        <v>707.62312835308296</v>
      </c>
      <c r="CD71" s="62">
        <f ca="1">AVERAGE(OFFSET($CC$3,0,0,'Données projet'!$E$12+1,1))-AVERAGE(OFFSET($H$3,0,0,'Données projet'!$E$12+1,1))</f>
        <v>327.62212115491479</v>
      </c>
      <c r="CE71" s="62">
        <f t="shared" si="94"/>
        <v>348.84706693879735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8.5695984184506155</v>
      </c>
      <c r="CM71" s="23">
        <f>EXP(-LN(2)/2)*CM70+(1-EXP(-LN(2)/2))/(LN(2)/2)*CG71*CJ71*VLOOKUP('Données projet'!$B$12,Paramètres!$A$1:$I$89,3,0)*0.475*44/12</f>
        <v>1.6229271135895026E-4</v>
      </c>
      <c r="CN71" s="24">
        <f t="shared" si="66"/>
        <v>8.5697607111619742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</v>
      </c>
      <c r="CT71" s="13">
        <f>IF('Données projet'!$A$140&gt;35,CT70+CS71-DB70,IF(A71&lt;'Données projet'!$A$140,$CQ$205^A71,IF(A71='Données projet'!$A$140,'Données projet'!$B$140,CT70+CS71-DB70)))</f>
        <v>254.39999999999986</v>
      </c>
      <c r="CU71" s="18">
        <f>CT71*VLOOKUP('Données projet'!$B$13,Paramètres!$A$1:$I$89,3,0)*VLOOKUP('Données projet'!$B$13,Paramètres!$A$1:$I$89,5,0)</f>
        <v>186.52607999999989</v>
      </c>
      <c r="CV71" s="14">
        <f t="shared" si="95"/>
        <v>46.771095569403919</v>
      </c>
      <c r="CW71" s="22">
        <f t="shared" si="67"/>
        <v>406.3259141167116</v>
      </c>
      <c r="CX71" s="62">
        <f t="shared" si="68"/>
        <v>699.65924745004486</v>
      </c>
      <c r="CY71" s="62">
        <f ca="1">AVERAGE(OFFSET($CX$3,0,0,'Données projet'!$E$13+1,1))-AVERAGE(OFFSET($H$3,0,0,'Données projet'!$E$13+1,1))</f>
        <v>277.97613250285963</v>
      </c>
      <c r="CZ71" s="62">
        <f t="shared" si="96"/>
        <v>274.55710362891892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3.7782075476826318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3.7782075476826318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364.63511534965755</v>
      </c>
      <c r="T72" s="62">
        <f t="shared" si="88"/>
        <v>233.32640143610541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0.91535288769599221</v>
      </c>
      <c r="AB72" s="23">
        <f>EXP(-LN(2)/2)*AB71+(1-EXP(-LN(2)/2))/(LN(2)/2)*V72*Y72*VLOOKUP('Données projet'!$B$9,Paramètres!$A$1:$I$89,3,0)*0.475*44/12</f>
        <v>1.6925414153298897E-5</v>
      </c>
      <c r="AC72" s="24">
        <f t="shared" si="57"/>
        <v>0.91536981311014554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238.4928000000001</v>
      </c>
      <c r="AK72" s="14">
        <f t="shared" si="89"/>
        <v>58.115130258576592</v>
      </c>
      <c r="AL72" s="22">
        <f t="shared" si="58"/>
        <v>516.59214520035437</v>
      </c>
      <c r="AM72" s="62">
        <f t="shared" si="59"/>
        <v>809.92547853368774</v>
      </c>
      <c r="AN72" s="62">
        <f ca="1">AVERAGE(OFFSET($AM$3,0,0,'Données projet'!$E$10+1,1))-AVERAGE(OFFSET($H$3,0,0,'Données projet'!$E$10+1,1))</f>
        <v>403.82490501309815</v>
      </c>
      <c r="AO72" s="62">
        <f t="shared" si="90"/>
        <v>256.4377087753457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1.0258265120730952</v>
      </c>
      <c r="AW72" s="23">
        <f>EXP(-LN(2)/2)*AW71+(1-EXP(-LN(2)/2))/(LN(2)/2)*AQ72*AT72*VLOOKUP('Données projet'!$B$10,Paramètres!$A$1:$I$89,3,0)*0.475*44/12</f>
        <v>1.8968136551110834E-5</v>
      </c>
      <c r="AX72" s="23">
        <f t="shared" si="60"/>
        <v>1.0258454802096462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227.48544000000007</v>
      </c>
      <c r="BF72" s="14">
        <f t="shared" si="91"/>
        <v>55.738627496252377</v>
      </c>
      <c r="BG72" s="22">
        <f t="shared" si="61"/>
        <v>493.281917555973</v>
      </c>
      <c r="BH72" s="62">
        <f t="shared" si="62"/>
        <v>786.61525088930625</v>
      </c>
      <c r="BI72" s="62">
        <f ca="1">AVERAGE(OFFSET($BH$3,0,0,'Données projet'!$E$11+1,1))-AVERAGE(OFFSET($H$3,0,0,'Données projet'!$E$11+1,1))</f>
        <v>387.04070351732537</v>
      </c>
      <c r="BJ72" s="62">
        <f t="shared" si="92"/>
        <v>246.54010105494137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0.9784806730543365</v>
      </c>
      <c r="BR72" s="23">
        <f>EXP(-LN(2)/2)*BR71+(1-EXP(-LN(2)/2))/(LN(2)/2)*BL72*BO72*VLOOKUP('Données projet'!$B$11,Paramètres!$A$1:$I$89,3,0)*0.475*44/12</f>
        <v>1.8092684094905725E-5</v>
      </c>
      <c r="BS72" s="24">
        <f t="shared" si="63"/>
        <v>0.97849876573843142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4.5999999999999996</v>
      </c>
      <c r="BY72" s="13">
        <f>IF('Données projet'!$A$114&gt;35,BY71+BX72-CG71,IF(A72&lt;'Données projet'!$A$114,$BV$205^A72,IF(A72='Données projet'!$A$114,'Données projet'!$B$114,BY71+BX72-CG71)))</f>
        <v>222.39999999999995</v>
      </c>
      <c r="BZ72" s="14">
        <f>BY72*VLOOKUP('Données projet'!$B$12,Paramètres!$A$1:$I$89,3,0)*VLOOKUP('Données projet'!$B$12,Paramètres!$A$1:$I$89,5,0)</f>
        <v>194.28863999999999</v>
      </c>
      <c r="CA72" s="14">
        <f t="shared" si="93"/>
        <v>48.486875029770822</v>
      </c>
      <c r="CB72" s="22">
        <f t="shared" si="64"/>
        <v>422.83402201018413</v>
      </c>
      <c r="CC72" s="62">
        <f t="shared" si="65"/>
        <v>716.16735534351744</v>
      </c>
      <c r="CD72" s="62">
        <f ca="1">AVERAGE(OFFSET($CC$3,0,0,'Données projet'!$E$12+1,1))-AVERAGE(OFFSET($H$3,0,0,'Données projet'!$E$12+1,1))</f>
        <v>327.62212115491479</v>
      </c>
      <c r="CE72" s="62">
        <f t="shared" si="94"/>
        <v>348.84706693879735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8.3352622990424887</v>
      </c>
      <c r="CM72" s="23">
        <f>EXP(-LN(2)/2)*CM71+(1-EXP(-LN(2)/2))/(LN(2)/2)*CG72*CJ72*VLOOKUP('Données projet'!$B$12,Paramètres!$A$1:$I$89,3,0)*0.475*44/12</f>
        <v>1.1475827673906476E-4</v>
      </c>
      <c r="CN72" s="24">
        <f t="shared" si="66"/>
        <v>8.3353770573192278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</v>
      </c>
      <c r="CT72" s="13">
        <f>IF('Données projet'!$A$140&gt;35,CT71+CS72-DB71,IF(A72&lt;'Données projet'!$A$140,$CQ$205^A72,IF(A72='Données projet'!$A$140,'Données projet'!$B$140,CT71+CS72-DB71)))</f>
        <v>258.19999999999987</v>
      </c>
      <c r="CU72" s="18">
        <f>CT72*VLOOKUP('Données projet'!$B$13,Paramètres!$A$1:$I$89,3,0)*VLOOKUP('Données projet'!$B$13,Paramètres!$A$1:$I$89,5,0)</f>
        <v>189.31223999999989</v>
      </c>
      <c r="CV72" s="14">
        <f t="shared" si="95"/>
        <v>47.387866803482567</v>
      </c>
      <c r="CW72" s="22">
        <f t="shared" si="67"/>
        <v>412.2526860160653</v>
      </c>
      <c r="CX72" s="62">
        <f t="shared" si="68"/>
        <v>705.58601934939861</v>
      </c>
      <c r="CY72" s="62">
        <f ca="1">AVERAGE(OFFSET($CX$3,0,0,'Données projet'!$E$13+1,1))-AVERAGE(OFFSET($H$3,0,0,'Données projet'!$E$13+1,1))</f>
        <v>277.97613250285963</v>
      </c>
      <c r="CZ72" s="62">
        <f t="shared" si="96"/>
        <v>274.55710362891892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3.7041192021516309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3.7041192021516309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364.63511534965755</v>
      </c>
      <c r="T73" s="62">
        <f t="shared" si="88"/>
        <v>233.32640143610541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0.89032251484562897</v>
      </c>
      <c r="AB73" s="23">
        <f>EXP(-LN(2)/2)*AB72+(1-EXP(-LN(2)/2))/(LN(2)/2)*V73*Y73*VLOOKUP('Données projet'!$B$9,Paramètres!$A$1:$I$89,3,0)*0.475*44/12</f>
        <v>1.1968075122188417E-5</v>
      </c>
      <c r="AC73" s="24">
        <f t="shared" si="57"/>
        <v>0.89033448292075112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245.38800000000012</v>
      </c>
      <c r="AK73" s="14">
        <f t="shared" si="89"/>
        <v>59.597282764919569</v>
      </c>
      <c r="AL73" s="22">
        <f t="shared" si="58"/>
        <v>531.18270081556841</v>
      </c>
      <c r="AM73" s="62">
        <f t="shared" si="59"/>
        <v>824.51603414890178</v>
      </c>
      <c r="AN73" s="62">
        <f ca="1">AVERAGE(OFFSET($AM$3,0,0,'Données projet'!$E$10+1,1))-AVERAGE(OFFSET($H$3,0,0,'Données projet'!$E$10+1,1))</f>
        <v>403.82490501309815</v>
      </c>
      <c r="AO73" s="62">
        <f t="shared" si="90"/>
        <v>256.4377087753457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0.99777523215458463</v>
      </c>
      <c r="AW73" s="23">
        <f>EXP(-LN(2)/2)*AW72+(1-EXP(-LN(2)/2))/(LN(2)/2)*AQ73*AT73*VLOOKUP('Données projet'!$B$10,Paramètres!$A$1:$I$89,3,0)*0.475*44/12</f>
        <v>1.3412497981762883E-5</v>
      </c>
      <c r="AX73" s="23">
        <f t="shared" si="60"/>
        <v>0.99778864465256645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234.06240000000008</v>
      </c>
      <c r="BF73" s="14">
        <f t="shared" si="91"/>
        <v>57.160170321263926</v>
      </c>
      <c r="BG73" s="22">
        <f t="shared" si="61"/>
        <v>507.21264330953483</v>
      </c>
      <c r="BH73" s="62">
        <f t="shared" si="62"/>
        <v>800.54597664286814</v>
      </c>
      <c r="BI73" s="62">
        <f ca="1">AVERAGE(OFFSET($BH$3,0,0,'Données projet'!$E$11+1,1))-AVERAGE(OFFSET($H$3,0,0,'Données projet'!$E$11+1,1))</f>
        <v>387.04070351732537</v>
      </c>
      <c r="BJ73" s="62">
        <f t="shared" si="92"/>
        <v>246.54010105494137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0.9517240675936034</v>
      </c>
      <c r="BR73" s="23">
        <f>EXP(-LN(2)/2)*BR72+(1-EXP(-LN(2)/2))/(LN(2)/2)*BL73*BO73*VLOOKUP('Données projet'!$B$11,Paramètres!$A$1:$I$89,3,0)*0.475*44/12</f>
        <v>1.2793459613373832E-5</v>
      </c>
      <c r="BS73" s="24">
        <f t="shared" si="63"/>
        <v>0.95173686105321675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227</v>
      </c>
      <c r="BW73" s="13">
        <f>VLOOKUP(A73,'Données projet'!$A$113:$I$133,9,0)</f>
        <v>4.5999999999999996</v>
      </c>
      <c r="BX73" s="13">
        <f t="array" ref="BX73">INDEX(BW:BW,MIN(IF(ISNUMBER(BW73:BW269),ROW(BW73:BW269),"")))</f>
        <v>4.5999999999999996</v>
      </c>
      <c r="BY73" s="13">
        <f>IF('Données projet'!$A$114&gt;35,BY72+BX73-CG72,IF(A73&lt;'Données projet'!$A$114,$BV$205^A73,IF(A73='Données projet'!$A$114,'Données projet'!$B$114,BY72+BX73-CG72)))</f>
        <v>226.99999999999994</v>
      </c>
      <c r="BZ73" s="14">
        <f>BY73*VLOOKUP('Données projet'!$B$12,Paramètres!$A$1:$I$89,3,0)*VLOOKUP('Données projet'!$B$12,Paramètres!$A$1:$I$89,5,0)</f>
        <v>198.30719999999997</v>
      </c>
      <c r="CA73" s="14">
        <f t="shared" si="93"/>
        <v>49.371957679623371</v>
      </c>
      <c r="CB73" s="22">
        <f t="shared" si="64"/>
        <v>431.37453295867726</v>
      </c>
      <c r="CC73" s="62">
        <f t="shared" si="65"/>
        <v>724.70786629201052</v>
      </c>
      <c r="CD73" s="62">
        <f ca="1">AVERAGE(OFFSET($CC$3,0,0,'Données projet'!$E$12+1,1))-AVERAGE(OFFSET($H$3,0,0,'Données projet'!$E$12+1,1))</f>
        <v>327.62212115491479</v>
      </c>
      <c r="CE73" s="62">
        <f t="shared" si="94"/>
        <v>348.84706693879735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17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8.1073341131427785</v>
      </c>
      <c r="CM73" s="23">
        <f>EXP(-LN(2)/2)*CM72+(1-EXP(-LN(2)/2))/(LN(2)/2)*CG73*CJ73*VLOOKUP('Données projet'!$B$12,Paramètres!$A$1:$I$89,3,0)*0.475*44/12</f>
        <v>8.1146355679475129E-5</v>
      </c>
      <c r="CN73" s="24">
        <f t="shared" si="66"/>
        <v>8.1074152594984579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262</v>
      </c>
      <c r="CR73" s="13">
        <f>VLOOKUP(A73,'Données projet'!$A$139:$I$159,9,0)</f>
        <v>3.8</v>
      </c>
      <c r="CS73" s="13">
        <f t="array" ref="CS73">INDEX(CR:CR,MIN(IF(ISNUMBER(CR73:CR269),ROW(CR73:CR269),"")))</f>
        <v>3.8</v>
      </c>
      <c r="CT73" s="13">
        <f>IF('Données projet'!$A$140&gt;35,CT72+CS73-DB72,IF(A73&lt;'Données projet'!$A$140,$CQ$205^A73,IF(A73='Données projet'!$A$140,'Données projet'!$B$140,CT72+CS73-DB72)))</f>
        <v>261.99999999999989</v>
      </c>
      <c r="CU73" s="18">
        <f>CT73*VLOOKUP('Données projet'!$B$13,Paramètres!$A$1:$I$89,3,0)*VLOOKUP('Données projet'!$B$13,Paramètres!$A$1:$I$89,5,0)</f>
        <v>192.09839999999991</v>
      </c>
      <c r="CV73" s="14">
        <f t="shared" si="95"/>
        <v>48.003582316740335</v>
      </c>
      <c r="CW73" s="22">
        <f t="shared" si="67"/>
        <v>418.17761920165594</v>
      </c>
      <c r="CX73" s="62">
        <f t="shared" si="68"/>
        <v>711.5109525349892</v>
      </c>
      <c r="CY73" s="62">
        <f ca="1">AVERAGE(OFFSET($CX$3,0,0,'Données projet'!$E$13+1,1))-AVERAGE(OFFSET($H$3,0,0,'Données projet'!$E$13+1,1))</f>
        <v>277.97613250285963</v>
      </c>
      <c r="CZ73" s="62">
        <f t="shared" si="96"/>
        <v>274.55710362891892</v>
      </c>
      <c r="DA73" s="16">
        <f>IF(ISNA(VLOOKUP(A73,'Données projet'!$A$139:$I$159,3,0)),0,VLOOKUP(A73,'Données projet'!$A$139:$I$159,3,0))</f>
        <v>12</v>
      </c>
      <c r="DB73" s="16">
        <f>IF(ISNA(VLOOKUP(A73,'Données projet'!$A$139:$I$159,4,0)),0,VLOOKUP(A73,'Données projet'!$A$139:$I$159,4,0))</f>
        <v>10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3.6314836838870646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3.6314836838870646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364.63511534965755</v>
      </c>
      <c r="T74" s="62">
        <f t="shared" si="88"/>
        <v>233.32640143610541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0.86597659885714906</v>
      </c>
      <c r="AB74" s="23">
        <f>EXP(-LN(2)/2)*AB73+(1-EXP(-LN(2)/2))/(LN(2)/2)*V74*Y74*VLOOKUP('Données projet'!$B$9,Paramètres!$A$1:$I$89,3,0)*0.475*44/12</f>
        <v>8.4627070766494483E-6</v>
      </c>
      <c r="AC74" s="24">
        <f t="shared" si="57"/>
        <v>0.86598506156422572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230.5836000000001</v>
      </c>
      <c r="AK74" s="14">
        <f t="shared" si="89"/>
        <v>56.408850878328018</v>
      </c>
      <c r="AL74" s="22">
        <f t="shared" si="58"/>
        <v>499.84518527975473</v>
      </c>
      <c r="AM74" s="62">
        <f t="shared" si="59"/>
        <v>793.17851861308804</v>
      </c>
      <c r="AN74" s="62">
        <f ca="1">AVERAGE(OFFSET($AM$3,0,0,'Données projet'!$E$10+1,1))-AVERAGE(OFFSET($H$3,0,0,'Données projet'!$E$10+1,1))</f>
        <v>403.82490501309815</v>
      </c>
      <c r="AO74" s="62">
        <f t="shared" si="90"/>
        <v>256.4377087753457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0.9704910159605985</v>
      </c>
      <c r="AW74" s="23">
        <f>EXP(-LN(2)/2)*AW73+(1-EXP(-LN(2)/2))/(LN(2)/2)*AQ74*AT74*VLOOKUP('Données projet'!$B$10,Paramètres!$A$1:$I$89,3,0)*0.475*44/12</f>
        <v>9.4840682755554171E-6</v>
      </c>
      <c r="AX74" s="23">
        <f t="shared" si="60"/>
        <v>0.970500500028874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219.94128000000009</v>
      </c>
      <c r="BF74" s="14">
        <f t="shared" si="91"/>
        <v>54.102123020446335</v>
      </c>
      <c r="BG74" s="22">
        <f t="shared" si="61"/>
        <v>477.29226026061082</v>
      </c>
      <c r="BH74" s="62">
        <f t="shared" si="62"/>
        <v>770.62559359394413</v>
      </c>
      <c r="BI74" s="62">
        <f ca="1">AVERAGE(OFFSET($BH$3,0,0,'Données projet'!$E$11+1,1))-AVERAGE(OFFSET($H$3,0,0,'Données projet'!$E$11+1,1))</f>
        <v>387.04070351732537</v>
      </c>
      <c r="BJ74" s="62">
        <f t="shared" si="92"/>
        <v>246.54010105494137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0.92569912291626277</v>
      </c>
      <c r="BR74" s="23">
        <f>EXP(-LN(2)/2)*BR73+(1-EXP(-LN(2)/2))/(LN(2)/2)*BL74*BO74*VLOOKUP('Données projet'!$B$11,Paramètres!$A$1:$I$89,3,0)*0.475*44/12</f>
        <v>9.0463420474528626E-6</v>
      </c>
      <c r="BS74" s="24">
        <f t="shared" si="63"/>
        <v>0.92570816925831023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</v>
      </c>
      <c r="BY74" s="13">
        <f>IF('Données projet'!$A$114&gt;35,BY73+BX74-CG73,IF(A74&lt;'Données projet'!$A$114,$BV$205^A74,IF(A74='Données projet'!$A$114,'Données projet'!$B$114,BY73+BX74-CG73)))</f>
        <v>213.99999999999994</v>
      </c>
      <c r="BZ74" s="14">
        <f>BY74*VLOOKUP('Données projet'!$B$12,Paramètres!$A$1:$I$89,3,0)*VLOOKUP('Données projet'!$B$12,Paramètres!$A$1:$I$89,5,0)</f>
        <v>186.95039999999997</v>
      </c>
      <c r="CA74" s="14">
        <f t="shared" si="93"/>
        <v>46.865095976617653</v>
      </c>
      <c r="CB74" s="22">
        <f t="shared" si="64"/>
        <v>407.22865549260905</v>
      </c>
      <c r="CC74" s="62">
        <f t="shared" si="65"/>
        <v>700.56198882594231</v>
      </c>
      <c r="CD74" s="62">
        <f ca="1">AVERAGE(OFFSET($CC$3,0,0,'Données projet'!$E$12+1,1))-AVERAGE(OFFSET($H$3,0,0,'Données projet'!$E$12+1,1))</f>
        <v>327.62212115491479</v>
      </c>
      <c r="CE74" s="62">
        <f t="shared" si="94"/>
        <v>348.84706693879735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7.8856386354727181</v>
      </c>
      <c r="CM74" s="23">
        <f>EXP(-LN(2)/2)*CM73+(1-EXP(-LN(2)/2))/(LN(2)/2)*CG74*CJ74*VLOOKUP('Données projet'!$B$12,Paramètres!$A$1:$I$89,3,0)*0.475*44/12</f>
        <v>5.7379138369532379E-5</v>
      </c>
      <c r="CN74" s="24">
        <f t="shared" si="66"/>
        <v>7.8856960146110877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2.8</v>
      </c>
      <c r="CT74" s="13">
        <f>IF('Données projet'!$A$140&gt;35,CT73+CS74-DB73,IF(A74&lt;'Données projet'!$A$140,$CQ$205^A74,IF(A74='Données projet'!$A$140,'Données projet'!$B$140,CT73+CS74-DB73)))</f>
        <v>254.7999999999999</v>
      </c>
      <c r="CU74" s="18">
        <f>CT74*VLOOKUP('Données projet'!$B$13,Paramètres!$A$1:$I$89,3,0)*VLOOKUP('Données projet'!$B$13,Paramètres!$A$1:$I$89,5,0)</f>
        <v>186.81935999999993</v>
      </c>
      <c r="CV74" s="14">
        <f t="shared" si="95"/>
        <v>46.836069092125932</v>
      </c>
      <c r="CW74" s="22">
        <f t="shared" si="67"/>
        <v>406.94987233545254</v>
      </c>
      <c r="CX74" s="62">
        <f t="shared" si="68"/>
        <v>700.28320566878585</v>
      </c>
      <c r="CY74" s="62">
        <f ca="1">AVERAGE(OFFSET($CX$3,0,0,'Données projet'!$E$13+1,1))-AVERAGE(OFFSET($H$3,0,0,'Données projet'!$E$13+1,1))</f>
        <v>277.97613250285963</v>
      </c>
      <c r="CZ74" s="62">
        <f t="shared" si="96"/>
        <v>274.55710362891892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3.5602725038323748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3.5602725038323748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364.63511534965755</v>
      </c>
      <c r="T75" s="62">
        <f t="shared" si="88"/>
        <v>233.32640143610541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0.8422964232216702</v>
      </c>
      <c r="AB75" s="23">
        <f>EXP(-LN(2)/2)*AB74+(1-EXP(-LN(2)/2))/(LN(2)/2)*V75*Y75*VLOOKUP('Données projet'!$B$9,Paramètres!$A$1:$I$89,3,0)*0.475*44/12</f>
        <v>5.9840375610942087E-6</v>
      </c>
      <c r="AC75" s="24">
        <f t="shared" si="57"/>
        <v>0.84230240725923133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237.0732000000001</v>
      </c>
      <c r="AK75" s="14">
        <f t="shared" si="89"/>
        <v>57.809366223361302</v>
      </c>
      <c r="AL75" s="22">
        <f t="shared" si="58"/>
        <v>513.58713617235435</v>
      </c>
      <c r="AM75" s="62">
        <f t="shared" si="59"/>
        <v>806.92046950568761</v>
      </c>
      <c r="AN75" s="62">
        <f ca="1">AVERAGE(OFFSET($AM$3,0,0,'Données projet'!$E$10+1,1))-AVERAGE(OFFSET($H$3,0,0,'Données projet'!$E$10+1,1))</f>
        <v>403.82490501309815</v>
      </c>
      <c r="AO75" s="62">
        <f t="shared" si="90"/>
        <v>256.4377087753457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0.94395288809325151</v>
      </c>
      <c r="AW75" s="23">
        <f>EXP(-LN(2)/2)*AW74+(1-EXP(-LN(2)/2))/(LN(2)/2)*AQ75*AT75*VLOOKUP('Données projet'!$B$10,Paramètres!$A$1:$I$89,3,0)*0.475*44/12</f>
        <v>6.7062489908814414E-6</v>
      </c>
      <c r="AX75" s="23">
        <f t="shared" si="60"/>
        <v>0.94395959434224241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226.13136000000009</v>
      </c>
      <c r="BF75" s="14">
        <f t="shared" si="91"/>
        <v>55.445367073626066</v>
      </c>
      <c r="BG75" s="22">
        <f t="shared" si="61"/>
        <v>490.41279965323224</v>
      </c>
      <c r="BH75" s="62">
        <f t="shared" si="62"/>
        <v>783.7461329865655</v>
      </c>
      <c r="BI75" s="62">
        <f ca="1">AVERAGE(OFFSET($BH$3,0,0,'Données projet'!$E$11+1,1))-AVERAGE(OFFSET($H$3,0,0,'Données projet'!$E$11+1,1))</f>
        <v>387.04070351732537</v>
      </c>
      <c r="BJ75" s="62">
        <f t="shared" si="92"/>
        <v>246.54010105494137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0.90038583171971642</v>
      </c>
      <c r="BR75" s="23">
        <f>EXP(-LN(2)/2)*BR74+(1-EXP(-LN(2)/2))/(LN(2)/2)*BL75*BO75*VLOOKUP('Données projet'!$B$11,Paramètres!$A$1:$I$89,3,0)*0.475*44/12</f>
        <v>6.3967298066869158E-6</v>
      </c>
      <c r="BS75" s="24">
        <f t="shared" si="63"/>
        <v>0.90039222844952316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</v>
      </c>
      <c r="BY75" s="13">
        <f>IF('Données projet'!$A$114&gt;35,BY74+BX75-CG74,IF(A75&lt;'Données projet'!$A$114,$BV$205^A75,IF(A75='Données projet'!$A$114,'Données projet'!$B$114,BY74+BX75-CG74)))</f>
        <v>217.99999999999994</v>
      </c>
      <c r="BZ75" s="14">
        <f>BY75*VLOOKUP('Données projet'!$B$12,Paramètres!$A$1:$I$89,3,0)*VLOOKUP('Données projet'!$B$12,Paramètres!$A$1:$I$89,5,0)</f>
        <v>190.44479999999999</v>
      </c>
      <c r="CA75" s="14">
        <f t="shared" si="93"/>
        <v>47.638278428909231</v>
      </c>
      <c r="CB75" s="22">
        <f t="shared" si="64"/>
        <v>414.66136159701688</v>
      </c>
      <c r="CC75" s="62">
        <f t="shared" si="65"/>
        <v>707.99469493035019</v>
      </c>
      <c r="CD75" s="62">
        <f ca="1">AVERAGE(OFFSET($CC$3,0,0,'Données projet'!$E$12+1,1))-AVERAGE(OFFSET($H$3,0,0,'Données projet'!$E$12+1,1))</f>
        <v>327.62212115491479</v>
      </c>
      <c r="CE75" s="62">
        <f t="shared" si="94"/>
        <v>348.84706693879735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7.6700054322980034</v>
      </c>
      <c r="CM75" s="23">
        <f>EXP(-LN(2)/2)*CM74+(1-EXP(-LN(2)/2))/(LN(2)/2)*CG75*CJ75*VLOOKUP('Données projet'!$B$12,Paramètres!$A$1:$I$89,3,0)*0.475*44/12</f>
        <v>4.0573177839737564E-5</v>
      </c>
      <c r="CN75" s="24">
        <f t="shared" si="66"/>
        <v>7.670046005475843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2.8</v>
      </c>
      <c r="CT75" s="13">
        <f>IF('Données projet'!$A$140&gt;35,CT74+CS75-DB74,IF(A75&lt;'Données projet'!$A$140,$CQ$205^A75,IF(A75='Données projet'!$A$140,'Données projet'!$B$140,CT74+CS75-DB74)))</f>
        <v>257.59999999999991</v>
      </c>
      <c r="CU75" s="18">
        <f>CT75*VLOOKUP('Données projet'!$B$13,Paramètres!$A$1:$I$89,3,0)*VLOOKUP('Données projet'!$B$13,Paramètres!$A$1:$I$89,5,0)</f>
        <v>188.87231999999992</v>
      </c>
      <c r="CV75" s="14">
        <f t="shared" si="95"/>
        <v>47.290552503862848</v>
      </c>
      <c r="CW75" s="22">
        <f t="shared" si="67"/>
        <v>411.31700294422762</v>
      </c>
      <c r="CX75" s="62">
        <f t="shared" si="68"/>
        <v>704.65033627756088</v>
      </c>
      <c r="CY75" s="62">
        <f ca="1">AVERAGE(OFFSET($CX$3,0,0,'Données projet'!$E$13+1,1))-AVERAGE(OFFSET($H$3,0,0,'Données projet'!$E$13+1,1))</f>
        <v>277.97613250285963</v>
      </c>
      <c r="CZ75" s="62">
        <f t="shared" si="96"/>
        <v>274.55710362891892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3.4904577315840264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3.4904577315840264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364.63511534965755</v>
      </c>
      <c r="T76" s="62">
        <f t="shared" si="88"/>
        <v>233.32640143610541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0.81926378323422977</v>
      </c>
      <c r="AB76" s="23">
        <f>EXP(-LN(2)/2)*AB75+(1-EXP(-LN(2)/2))/(LN(2)/2)*V76*Y76*VLOOKUP('Données projet'!$B$9,Paramètres!$A$1:$I$89,3,0)*0.475*44/12</f>
        <v>4.2313535383247241E-6</v>
      </c>
      <c r="AC76" s="24">
        <f t="shared" si="57"/>
        <v>0.8192680145877681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243.56280000000012</v>
      </c>
      <c r="AK76" s="14">
        <f t="shared" si="89"/>
        <v>59.205425601852873</v>
      </c>
      <c r="AL76" s="22">
        <f t="shared" si="58"/>
        <v>527.32132625656061</v>
      </c>
      <c r="AM76" s="62">
        <f t="shared" si="59"/>
        <v>820.65465958989398</v>
      </c>
      <c r="AN76" s="62">
        <f ca="1">AVERAGE(OFFSET($AM$3,0,0,'Données projet'!$E$10+1,1))-AVERAGE(OFFSET($H$3,0,0,'Données projet'!$E$10+1,1))</f>
        <v>403.82490501309815</v>
      </c>
      <c r="AO76" s="62">
        <f t="shared" si="90"/>
        <v>256.4377087753457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0.91814044672801665</v>
      </c>
      <c r="AW76" s="23">
        <f>EXP(-LN(2)/2)*AW75+(1-EXP(-LN(2)/2))/(LN(2)/2)*AQ76*AT76*VLOOKUP('Données projet'!$B$10,Paramètres!$A$1:$I$89,3,0)*0.475*44/12</f>
        <v>4.7420341377777085E-6</v>
      </c>
      <c r="AX76" s="23">
        <f t="shared" si="60"/>
        <v>0.91814518876215445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232.32144000000011</v>
      </c>
      <c r="BF76" s="14">
        <f t="shared" si="91"/>
        <v>56.784337378160622</v>
      </c>
      <c r="BG76" s="22">
        <f t="shared" si="61"/>
        <v>503.52589560029656</v>
      </c>
      <c r="BH76" s="62">
        <f t="shared" si="62"/>
        <v>796.85922893362988</v>
      </c>
      <c r="BI76" s="62">
        <f ca="1">AVERAGE(OFFSET($BH$3,0,0,'Données projet'!$E$11+1,1))-AVERAGE(OFFSET($H$3,0,0,'Données projet'!$E$11+1,1))</f>
        <v>387.04070351732537</v>
      </c>
      <c r="BJ76" s="62">
        <f t="shared" si="92"/>
        <v>246.54010105494137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0.87576473380210773</v>
      </c>
      <c r="BR76" s="23">
        <f>EXP(-LN(2)/2)*BR75+(1-EXP(-LN(2)/2))/(LN(2)/2)*BL76*BO76*VLOOKUP('Données projet'!$B$11,Paramètres!$A$1:$I$89,3,0)*0.475*44/12</f>
        <v>4.5231710237264313E-6</v>
      </c>
      <c r="BS76" s="24">
        <f t="shared" si="63"/>
        <v>0.87576925697313146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</v>
      </c>
      <c r="BY76" s="13">
        <f>IF('Données projet'!$A$114&gt;35,BY75+BX76-CG75,IF(A76&lt;'Données projet'!$A$114,$BV$205^A76,IF(A76='Données projet'!$A$114,'Données projet'!$B$114,BY75+BX76-CG75)))</f>
        <v>221.99999999999994</v>
      </c>
      <c r="BZ76" s="14">
        <f>BY76*VLOOKUP('Données projet'!$B$12,Paramètres!$A$1:$I$89,3,0)*VLOOKUP('Données projet'!$B$12,Paramètres!$A$1:$I$89,5,0)</f>
        <v>193.93919999999997</v>
      </c>
      <c r="CA76" s="14">
        <f t="shared" si="93"/>
        <v>48.409811198069342</v>
      </c>
      <c r="CB76" s="22">
        <f t="shared" si="64"/>
        <v>422.091194503304</v>
      </c>
      <c r="CC76" s="62">
        <f t="shared" si="65"/>
        <v>715.42452783663725</v>
      </c>
      <c r="CD76" s="62">
        <f ca="1">AVERAGE(OFFSET($CC$3,0,0,'Données projet'!$E$12+1,1))-AVERAGE(OFFSET($H$3,0,0,'Données projet'!$E$12+1,1))</f>
        <v>327.62212115491479</v>
      </c>
      <c r="CE76" s="62">
        <f t="shared" si="94"/>
        <v>348.84706693879735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7.4602687304037589</v>
      </c>
      <c r="CM76" s="23">
        <f>EXP(-LN(2)/2)*CM75+(1-EXP(-LN(2)/2))/(LN(2)/2)*CG76*CJ76*VLOOKUP('Données projet'!$B$12,Paramètres!$A$1:$I$89,3,0)*0.475*44/12</f>
        <v>2.8689569184766189E-5</v>
      </c>
      <c r="CN76" s="24">
        <f t="shared" si="66"/>
        <v>7.4602974199729433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2.8</v>
      </c>
      <c r="CT76" s="13">
        <f>IF('Données projet'!$A$140&gt;35,CT75+CS76-DB75,IF(A76&lt;'Données projet'!$A$140,$CQ$205^A76,IF(A76='Données projet'!$A$140,'Données projet'!$B$140,CT75+CS76-DB75)))</f>
        <v>260.39999999999992</v>
      </c>
      <c r="CU76" s="18">
        <f>CT76*VLOOKUP('Données projet'!$B$13,Paramètres!$A$1:$I$89,3,0)*VLOOKUP('Données projet'!$B$13,Paramètres!$A$1:$I$89,5,0)</f>
        <v>190.92527999999996</v>
      </c>
      <c r="CV76" s="14">
        <f t="shared" si="95"/>
        <v>47.74446124692539</v>
      </c>
      <c r="CW76" s="22">
        <f t="shared" si="67"/>
        <v>415.68313267172834</v>
      </c>
      <c r="CX76" s="62">
        <f t="shared" si="68"/>
        <v>709.0164660050616</v>
      </c>
      <c r="CY76" s="62">
        <f ca="1">AVERAGE(OFFSET($CX$3,0,0,'Données projet'!$E$13+1,1))-AVERAGE(OFFSET($H$3,0,0,'Données projet'!$E$13+1,1))</f>
        <v>277.97613250285963</v>
      </c>
      <c r="CZ76" s="62">
        <f t="shared" si="96"/>
        <v>274.55710362891892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3.4220119844366619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3.4220119844366619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364.63511534965755</v>
      </c>
      <c r="T77" s="62">
        <f t="shared" si="88"/>
        <v>233.32640143610541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0.79686097199847983</v>
      </c>
      <c r="AB77" s="23">
        <f>EXP(-LN(2)/2)*AB76+(1-EXP(-LN(2)/2))/(LN(2)/2)*V77*Y77*VLOOKUP('Données projet'!$B$9,Paramètres!$A$1:$I$89,3,0)*0.475*44/12</f>
        <v>2.9920187805471043E-6</v>
      </c>
      <c r="AC77" s="24">
        <f t="shared" si="57"/>
        <v>0.79686396401726034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250.05240000000012</v>
      </c>
      <c r="AK77" s="14">
        <f t="shared" si="89"/>
        <v>60.597161386823522</v>
      </c>
      <c r="AL77" s="22">
        <f t="shared" si="58"/>
        <v>541.04798608205112</v>
      </c>
      <c r="AM77" s="62">
        <f t="shared" si="59"/>
        <v>834.3813194153845</v>
      </c>
      <c r="AN77" s="62">
        <f ca="1">AVERAGE(OFFSET($AM$3,0,0,'Données projet'!$E$10+1,1))-AVERAGE(OFFSET($H$3,0,0,'Données projet'!$E$10+1,1))</f>
        <v>403.82490501309815</v>
      </c>
      <c r="AO77" s="62">
        <f t="shared" si="90"/>
        <v>256.4377087753457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0.89303384792933138</v>
      </c>
      <c r="AW77" s="23">
        <f>EXP(-LN(2)/2)*AW76+(1-EXP(-LN(2)/2))/(LN(2)/2)*AQ77*AT77*VLOOKUP('Données projet'!$B$10,Paramètres!$A$1:$I$89,3,0)*0.475*44/12</f>
        <v>3.3531244954407207E-6</v>
      </c>
      <c r="AX77" s="23">
        <f t="shared" si="60"/>
        <v>0.89303720105382678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238.5115200000001</v>
      </c>
      <c r="BF77" s="14">
        <f t="shared" si="91"/>
        <v>58.119160893939195</v>
      </c>
      <c r="BG77" s="22">
        <f t="shared" si="61"/>
        <v>516.63176922361095</v>
      </c>
      <c r="BH77" s="62">
        <f t="shared" si="62"/>
        <v>809.9651025569442</v>
      </c>
      <c r="BI77" s="62">
        <f ca="1">AVERAGE(OFFSET($BH$3,0,0,'Données projet'!$E$11+1,1))-AVERAGE(OFFSET($H$3,0,0,'Données projet'!$E$11+1,1))</f>
        <v>387.04070351732537</v>
      </c>
      <c r="BJ77" s="62">
        <f t="shared" si="92"/>
        <v>246.54010105494137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0.85181690110182329</v>
      </c>
      <c r="BR77" s="23">
        <f>EXP(-LN(2)/2)*BR76+(1-EXP(-LN(2)/2))/(LN(2)/2)*BL77*BO77*VLOOKUP('Données projet'!$B$11,Paramètres!$A$1:$I$89,3,0)*0.475*44/12</f>
        <v>3.1983649033434579E-6</v>
      </c>
      <c r="BS77" s="24">
        <f t="shared" si="63"/>
        <v>0.85182009946672665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</v>
      </c>
      <c r="BY77" s="13">
        <f>IF('Données projet'!$A$114&gt;35,BY76+BX77-CG76,IF(A77&lt;'Données projet'!$A$114,$BV$205^A77,IF(A77='Données projet'!$A$114,'Données projet'!$B$114,BY76+BX77-CG76)))</f>
        <v>225.99999999999994</v>
      </c>
      <c r="BZ77" s="14">
        <f>BY77*VLOOKUP('Données projet'!$B$12,Paramètres!$A$1:$I$89,3,0)*VLOOKUP('Données projet'!$B$12,Paramètres!$A$1:$I$89,5,0)</f>
        <v>197.43359999999996</v>
      </c>
      <c r="CA77" s="14">
        <f t="shared" si="93"/>
        <v>49.179727436837609</v>
      </c>
      <c r="CB77" s="22">
        <f t="shared" si="64"/>
        <v>429.51821195249204</v>
      </c>
      <c r="CC77" s="62">
        <f t="shared" si="65"/>
        <v>722.8515452858253</v>
      </c>
      <c r="CD77" s="62">
        <f ca="1">AVERAGE(OFFSET($CC$3,0,0,'Données projet'!$E$12+1,1))-AVERAGE(OFFSET($H$3,0,0,'Données projet'!$E$12+1,1))</f>
        <v>327.62212115491479</v>
      </c>
      <c r="CE77" s="62">
        <f t="shared" si="94"/>
        <v>348.84706693879735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7.2562672896523859</v>
      </c>
      <c r="CM77" s="23">
        <f>EXP(-LN(2)/2)*CM76+(1-EXP(-LN(2)/2))/(LN(2)/2)*CG77*CJ77*VLOOKUP('Données projet'!$B$12,Paramètres!$A$1:$I$89,3,0)*0.475*44/12</f>
        <v>2.0286588919868782E-5</v>
      </c>
      <c r="CN77" s="24">
        <f t="shared" si="66"/>
        <v>7.2562875762413057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2.8</v>
      </c>
      <c r="CT77" s="13">
        <f>IF('Données projet'!$A$140&gt;35,CT76+CS77-DB76,IF(A77&lt;'Données projet'!$A$140,$CQ$205^A77,IF(A77='Données projet'!$A$140,'Données projet'!$B$140,CT76+CS77-DB76)))</f>
        <v>263.19999999999993</v>
      </c>
      <c r="CU77" s="18">
        <f>CT77*VLOOKUP('Données projet'!$B$13,Paramètres!$A$1:$I$89,3,0)*VLOOKUP('Données projet'!$B$13,Paramètres!$A$1:$I$89,5,0)</f>
        <v>192.97823999999994</v>
      </c>
      <c r="CV77" s="14">
        <f t="shared" si="95"/>
        <v>48.197802215761044</v>
      </c>
      <c r="CW77" s="22">
        <f t="shared" si="67"/>
        <v>420.04827352578371</v>
      </c>
      <c r="CX77" s="62">
        <f t="shared" si="68"/>
        <v>713.38160685911703</v>
      </c>
      <c r="CY77" s="62">
        <f ca="1">AVERAGE(OFFSET($CX$3,0,0,'Données projet'!$E$13+1,1))-AVERAGE(OFFSET($H$3,0,0,'Données projet'!$E$13+1,1))</f>
        <v>277.97613250285963</v>
      </c>
      <c r="CZ77" s="62">
        <f t="shared" si="96"/>
        <v>274.55710362891892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3.3549084166430734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3.3549084166430734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364.63511534965755</v>
      </c>
      <c r="T78" s="62">
        <f t="shared" si="88"/>
        <v>233.32640143610541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0.77507076681408416</v>
      </c>
      <c r="AB78" s="23">
        <f>EXP(-LN(2)/2)*AB77+(1-EXP(-LN(2)/2))/(LN(2)/2)*V78*Y78*VLOOKUP('Données projet'!$B$9,Paramètres!$A$1:$I$89,3,0)*0.475*44/12</f>
        <v>2.1156767691623621E-6</v>
      </c>
      <c r="AC78" s="24">
        <f t="shared" si="57"/>
        <v>0.77507288249085327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256.54200000000014</v>
      </c>
      <c r="AK78" s="14">
        <f t="shared" si="89"/>
        <v>61.984698688972557</v>
      </c>
      <c r="AL78" s="22">
        <f t="shared" si="58"/>
        <v>554.76733354996077</v>
      </c>
      <c r="AM78" s="62">
        <f t="shared" si="59"/>
        <v>848.10066688329402</v>
      </c>
      <c r="AN78" s="62">
        <f ca="1">AVERAGE(OFFSET($AM$3,0,0,'Données projet'!$E$10+1,1))-AVERAGE(OFFSET($H$3,0,0,'Données projet'!$E$10+1,1))</f>
        <v>403.82490501309815</v>
      </c>
      <c r="AO78" s="62">
        <f t="shared" si="90"/>
        <v>256.4377087753457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0.86861379039509479</v>
      </c>
      <c r="AW78" s="23">
        <f>EXP(-LN(2)/2)*AW77+(1-EXP(-LN(2)/2))/(LN(2)/2)*AQ78*AT78*VLOOKUP('Données projet'!$B$10,Paramètres!$A$1:$I$89,3,0)*0.475*44/12</f>
        <v>2.3710170688888543E-6</v>
      </c>
      <c r="AX78" s="23">
        <f t="shared" si="60"/>
        <v>0.86861616141216369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244.70160000000013</v>
      </c>
      <c r="BF78" s="14">
        <f t="shared" si="91"/>
        <v>59.449957615507699</v>
      </c>
      <c r="BG78" s="22">
        <f t="shared" si="61"/>
        <v>529.73062951367604</v>
      </c>
      <c r="BH78" s="62">
        <f t="shared" si="62"/>
        <v>823.06396284700941</v>
      </c>
      <c r="BI78" s="62">
        <f ca="1">AVERAGE(OFFSET($BH$3,0,0,'Données projet'!$E$11+1,1))-AVERAGE(OFFSET($H$3,0,0,'Données projet'!$E$11+1,1))</f>
        <v>387.04070351732537</v>
      </c>
      <c r="BJ78" s="62">
        <f t="shared" si="92"/>
        <v>246.54010105494137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0.82852392314608991</v>
      </c>
      <c r="BR78" s="23">
        <f>EXP(-LN(2)/2)*BR77+(1-EXP(-LN(2)/2))/(LN(2)/2)*BL78*BO78*VLOOKUP('Données projet'!$B$11,Paramètres!$A$1:$I$89,3,0)*0.475*44/12</f>
        <v>2.2615855118632157E-6</v>
      </c>
      <c r="BS78" s="24">
        <f t="shared" si="63"/>
        <v>0.82852618473160178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230</v>
      </c>
      <c r="BW78" s="13">
        <f>VLOOKUP(A78,'Données projet'!$A$113:$I$133,9,0)</f>
        <v>4</v>
      </c>
      <c r="BX78" s="13">
        <f t="array" ref="BX78">INDEX(BW:BW,MIN(IF(ISNUMBER(BW78:BW274),ROW(BW78:BW274),"")))</f>
        <v>4</v>
      </c>
      <c r="BY78" s="13">
        <f>IF('Données projet'!$A$114&gt;35,BY77+BX78-CG77,IF(A78&lt;'Données projet'!$A$114,$BV$205^A78,IF(A78='Données projet'!$A$114,'Données projet'!$B$114,BY77+BX78-CG77)))</f>
        <v>229.99999999999994</v>
      </c>
      <c r="BZ78" s="14">
        <f>BY78*VLOOKUP('Données projet'!$B$12,Paramètres!$A$1:$I$89,3,0)*VLOOKUP('Données projet'!$B$12,Paramètres!$A$1:$I$89,5,0)</f>
        <v>200.92799999999997</v>
      </c>
      <c r="CA78" s="14">
        <f t="shared" si="93"/>
        <v>49.948059057189042</v>
      </c>
      <c r="CB78" s="22">
        <f t="shared" si="64"/>
        <v>436.94246952460418</v>
      </c>
      <c r="CC78" s="62">
        <f t="shared" si="65"/>
        <v>730.27580285793749</v>
      </c>
      <c r="CD78" s="62">
        <f ca="1">AVERAGE(OFFSET($CC$3,0,0,'Données projet'!$E$12+1,1))-AVERAGE(OFFSET($H$3,0,0,'Données projet'!$E$12+1,1))</f>
        <v>327.62212115491479</v>
      </c>
      <c r="CE78" s="62">
        <f t="shared" si="94"/>
        <v>348.84706693879735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15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7.0578442790263294</v>
      </c>
      <c r="CM78" s="23">
        <f>EXP(-LN(2)/2)*CM77+(1-EXP(-LN(2)/2))/(LN(2)/2)*CG78*CJ78*VLOOKUP('Données projet'!$B$12,Paramètres!$A$1:$I$89,3,0)*0.475*44/12</f>
        <v>1.4344784592383095E-5</v>
      </c>
      <c r="CN78" s="24">
        <f t="shared" si="66"/>
        <v>7.0578586238109216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266</v>
      </c>
      <c r="CR78" s="13">
        <f>VLOOKUP(A78,'Données projet'!$A$139:$I$159,9,0)</f>
        <v>2.8</v>
      </c>
      <c r="CS78" s="13">
        <f t="array" ref="CS78">INDEX(CR:CR,MIN(IF(ISNUMBER(CR78:CR274),ROW(CR78:CR274),"")))</f>
        <v>2.8</v>
      </c>
      <c r="CT78" s="13">
        <f>IF('Données projet'!$A$140&gt;35,CT77+CS78-DB77,IF(A78&lt;'Données projet'!$A$140,$CQ$205^A78,IF(A78='Données projet'!$A$140,'Données projet'!$B$140,CT77+CS78-DB77)))</f>
        <v>265.99999999999994</v>
      </c>
      <c r="CU78" s="18">
        <f>CT78*VLOOKUP('Données projet'!$B$13,Paramètres!$A$1:$I$89,3,0)*VLOOKUP('Données projet'!$B$13,Paramètres!$A$1:$I$89,5,0)</f>
        <v>195.03119999999996</v>
      </c>
      <c r="CV78" s="14">
        <f t="shared" si="95"/>
        <v>48.650582149676794</v>
      </c>
      <c r="CW78" s="22">
        <f t="shared" si="67"/>
        <v>424.41243724402028</v>
      </c>
      <c r="CX78" s="62">
        <f t="shared" si="68"/>
        <v>717.7457705773536</v>
      </c>
      <c r="CY78" s="62">
        <f ca="1">AVERAGE(OFFSET($CX$3,0,0,'Données projet'!$E$13+1,1))-AVERAGE(OFFSET($H$3,0,0,'Données projet'!$E$13+1,1))</f>
        <v>277.97613250285963</v>
      </c>
      <c r="CZ78" s="62">
        <f t="shared" si="96"/>
        <v>274.55710362891892</v>
      </c>
      <c r="DA78" s="16">
        <f>IF(ISNA(VLOOKUP(A78,'Données projet'!$A$139:$I$159,3,0)),0,VLOOKUP(A78,'Données projet'!$A$139:$I$159,3,0))</f>
        <v>13</v>
      </c>
      <c r="DB78" s="16">
        <f>IF(ISNA(VLOOKUP(A78,'Données projet'!$A$139:$I$159,4,0)),0,VLOOKUP(A78,'Données projet'!$A$139:$I$159,4,0))</f>
        <v>9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3.2891207088847825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3.2891207088847825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364.63511534965755</v>
      </c>
      <c r="T79" s="62">
        <f t="shared" si="88"/>
        <v>233.32640143610541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0.7538764159363528</v>
      </c>
      <c r="AB79" s="23">
        <f>EXP(-LN(2)/2)*AB78+(1-EXP(-LN(2)/2))/(LN(2)/2)*V79*Y79*VLOOKUP('Données projet'!$B$9,Paramètres!$A$1:$I$89,3,0)*0.475*44/12</f>
        <v>1.4960093902735522E-6</v>
      </c>
      <c r="AC79" s="24">
        <f t="shared" si="57"/>
        <v>0.75387791194574305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241.33200000000014</v>
      </c>
      <c r="AK79" s="14">
        <f t="shared" si="89"/>
        <v>58.726024391301159</v>
      </c>
      <c r="AL79" s="22">
        <f t="shared" si="58"/>
        <v>522.60105914818303</v>
      </c>
      <c r="AM79" s="62">
        <f t="shared" si="59"/>
        <v>815.9343924815164</v>
      </c>
      <c r="AN79" s="62">
        <f ca="1">AVERAGE(OFFSET($AM$3,0,0,'Données projet'!$E$10+1,1))-AVERAGE(OFFSET($H$3,0,0,'Données projet'!$E$10+1,1))</f>
        <v>403.82490501309815</v>
      </c>
      <c r="AO79" s="62">
        <f t="shared" si="90"/>
        <v>256.4377087753457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0.84486150061832688</v>
      </c>
      <c r="AW79" s="23">
        <f>EXP(-LN(2)/2)*AW78+(1-EXP(-LN(2)/2))/(LN(2)/2)*AQ79*AT79*VLOOKUP('Données projet'!$B$10,Paramètres!$A$1:$I$89,3,0)*0.475*44/12</f>
        <v>1.6765622477203604E-6</v>
      </c>
      <c r="AX79" s="23">
        <f t="shared" si="60"/>
        <v>0.84486317718057458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230.19360000000009</v>
      </c>
      <c r="BF79" s="14">
        <f t="shared" si="91"/>
        <v>56.324540327421772</v>
      </c>
      <c r="BG79" s="22">
        <f t="shared" si="61"/>
        <v>499.01909440359304</v>
      </c>
      <c r="BH79" s="62">
        <f t="shared" si="62"/>
        <v>792.3524277369263</v>
      </c>
      <c r="BI79" s="62">
        <f ca="1">AVERAGE(OFFSET($BH$3,0,0,'Données projet'!$E$11+1,1))-AVERAGE(OFFSET($H$3,0,0,'Données projet'!$E$11+1,1))</f>
        <v>387.04070351732537</v>
      </c>
      <c r="BJ79" s="62">
        <f t="shared" si="92"/>
        <v>246.54010105494137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0.80586789289748062</v>
      </c>
      <c r="BR79" s="23">
        <f>EXP(-LN(2)/2)*BR78+(1-EXP(-LN(2)/2))/(LN(2)/2)*BL79*BO79*VLOOKUP('Données projet'!$B$11,Paramètres!$A$1:$I$89,3,0)*0.475*44/12</f>
        <v>1.5991824516717289E-6</v>
      </c>
      <c r="BS79" s="24">
        <f t="shared" si="63"/>
        <v>0.8058694920799323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3.4</v>
      </c>
      <c r="BY79" s="13">
        <f>IF('Données projet'!$A$114&gt;35,BY78+BX79-CG78,IF(A79&lt;'Données projet'!$A$114,$BV$205^A79,IF(A79='Données projet'!$A$114,'Données projet'!$B$114,BY78+BX79-CG78)))</f>
        <v>218.39999999999995</v>
      </c>
      <c r="BZ79" s="14">
        <f>BY79*VLOOKUP('Données projet'!$B$12,Paramètres!$A$1:$I$89,3,0)*VLOOKUP('Données projet'!$B$12,Paramètres!$A$1:$I$89,5,0)</f>
        <v>190.79423999999997</v>
      </c>
      <c r="CA79" s="14">
        <f t="shared" si="93"/>
        <v>47.715505384501107</v>
      </c>
      <c r="CB79" s="22">
        <f t="shared" si="64"/>
        <v>415.40447321133934</v>
      </c>
      <c r="CC79" s="62">
        <f t="shared" si="65"/>
        <v>708.73780654467259</v>
      </c>
      <c r="CD79" s="62">
        <f ca="1">AVERAGE(OFFSET($CC$3,0,0,'Données projet'!$E$12+1,1))-AVERAGE(OFFSET($H$3,0,0,'Données projet'!$E$12+1,1))</f>
        <v>327.62212115491479</v>
      </c>
      <c r="CE79" s="62">
        <f t="shared" si="94"/>
        <v>348.84706693879735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6.8648471560604545</v>
      </c>
      <c r="CM79" s="23">
        <f>EXP(-LN(2)/2)*CM78+(1-EXP(-LN(2)/2))/(LN(2)/2)*CG79*CJ79*VLOOKUP('Données projet'!$B$12,Paramètres!$A$1:$I$89,3,0)*0.475*44/12</f>
        <v>1.0143294459934391E-5</v>
      </c>
      <c r="CN79" s="24">
        <f t="shared" si="66"/>
        <v>6.8648572993549148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3.6</v>
      </c>
      <c r="CT79" s="13">
        <f>IF('Données projet'!$A$140&gt;35,CT78+CS79-DB78,IF(A79&lt;'Données projet'!$A$140,$CQ$205^A79,IF(A79='Données projet'!$A$140,'Données projet'!$B$140,CT78+CS79-DB78)))</f>
        <v>260.59999999999997</v>
      </c>
      <c r="CU79" s="18">
        <f>CT79*VLOOKUP('Données projet'!$B$13,Paramètres!$A$1:$I$89,3,0)*VLOOKUP('Données projet'!$B$13,Paramètres!$A$1:$I$89,5,0)</f>
        <v>191.07191999999995</v>
      </c>
      <c r="CV79" s="14">
        <f t="shared" si="95"/>
        <v>47.776861493252582</v>
      </c>
      <c r="CW79" s="22">
        <f t="shared" si="67"/>
        <v>415.99496110074818</v>
      </c>
      <c r="CX79" s="62">
        <f t="shared" si="68"/>
        <v>709.3282944340815</v>
      </c>
      <c r="CY79" s="62">
        <f ca="1">AVERAGE(OFFSET($CX$3,0,0,'Données projet'!$E$13+1,1))-AVERAGE(OFFSET($H$3,0,0,'Données projet'!$E$13+1,1))</f>
        <v>277.97613250285963</v>
      </c>
      <c r="CZ79" s="62">
        <f t="shared" si="96"/>
        <v>274.55710362891892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3.224623057949092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3.224623057949092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364.63511534965755</v>
      </c>
      <c r="T80" s="62">
        <f t="shared" si="88"/>
        <v>233.32640143610541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0.73326162569793552</v>
      </c>
      <c r="AB80" s="23">
        <f>EXP(-LN(2)/2)*AB79+(1-EXP(-LN(2)/2))/(LN(2)/2)*V80*Y80*VLOOKUP('Données projet'!$B$9,Paramètres!$A$1:$I$89,3,0)*0.475*44/12</f>
        <v>1.057838384581181E-6</v>
      </c>
      <c r="AC80" s="24">
        <f t="shared" si="57"/>
        <v>0.73326268353632007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247.41600000000014</v>
      </c>
      <c r="AK80" s="14">
        <f t="shared" si="89"/>
        <v>60.032282000540242</v>
      </c>
      <c r="AL80" s="22">
        <f t="shared" si="58"/>
        <v>535.47242448427448</v>
      </c>
      <c r="AM80" s="62">
        <f t="shared" si="59"/>
        <v>828.80575781760786</v>
      </c>
      <c r="AN80" s="62">
        <f ca="1">AVERAGE(OFFSET($AM$3,0,0,'Données projet'!$E$10+1,1))-AVERAGE(OFFSET($H$3,0,0,'Données projet'!$E$10+1,1))</f>
        <v>403.82490501309815</v>
      </c>
      <c r="AO80" s="62">
        <f t="shared" si="90"/>
        <v>256.4377087753457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0.82175871845458337</v>
      </c>
      <c r="AW80" s="23">
        <f>EXP(-LN(2)/2)*AW79+(1-EXP(-LN(2)/2))/(LN(2)/2)*AQ80*AT80*VLOOKUP('Données projet'!$B$10,Paramètres!$A$1:$I$89,3,0)*0.475*44/12</f>
        <v>1.1855085344444271E-6</v>
      </c>
      <c r="AX80" s="23">
        <f t="shared" si="60"/>
        <v>0.82175990396311782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235.99680000000009</v>
      </c>
      <c r="BF80" s="14">
        <f t="shared" si="91"/>
        <v>57.577381127598372</v>
      </c>
      <c r="BG80" s="22">
        <f t="shared" si="61"/>
        <v>511.30836546390066</v>
      </c>
      <c r="BH80" s="62">
        <f t="shared" si="62"/>
        <v>804.64169879723397</v>
      </c>
      <c r="BI80" s="62">
        <f ca="1">AVERAGE(OFFSET($BH$3,0,0,'Données projet'!$E$11+1,1))-AVERAGE(OFFSET($H$3,0,0,'Données projet'!$E$11+1,1))</f>
        <v>387.04070351732537</v>
      </c>
      <c r="BJ80" s="62">
        <f t="shared" si="92"/>
        <v>246.54010105494137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0.78383139298744831</v>
      </c>
      <c r="BR80" s="23">
        <f>EXP(-LN(2)/2)*BR79+(1-EXP(-LN(2)/2))/(LN(2)/2)*BL80*BO80*VLOOKUP('Données projet'!$B$11,Paramètres!$A$1:$I$89,3,0)*0.475*44/12</f>
        <v>1.1307927559316078E-6</v>
      </c>
      <c r="BS80" s="24">
        <f t="shared" si="63"/>
        <v>0.78383252378020418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3.4</v>
      </c>
      <c r="BY80" s="13">
        <f>IF('Données projet'!$A$114&gt;35,BY79+BX80-CG79,IF(A80&lt;'Données projet'!$A$114,$BV$205^A80,IF(A80='Données projet'!$A$114,'Données projet'!$B$114,BY79+BX80-CG79)))</f>
        <v>221.79999999999995</v>
      </c>
      <c r="BZ80" s="14">
        <f>BY80*VLOOKUP('Données projet'!$B$12,Paramètres!$A$1:$I$89,3,0)*VLOOKUP('Données projet'!$B$12,Paramètres!$A$1:$I$89,5,0)</f>
        <v>193.76447999999999</v>
      </c>
      <c r="CA80" s="14">
        <f t="shared" si="93"/>
        <v>48.371273222646451</v>
      </c>
      <c r="CB80" s="22">
        <f t="shared" si="64"/>
        <v>421.71977019610921</v>
      </c>
      <c r="CC80" s="62">
        <f t="shared" si="65"/>
        <v>715.05310352944252</v>
      </c>
      <c r="CD80" s="62">
        <f ca="1">AVERAGE(OFFSET($CC$3,0,0,'Données projet'!$E$12+1,1))-AVERAGE(OFFSET($H$3,0,0,'Données projet'!$E$12+1,1))</f>
        <v>327.62212115491479</v>
      </c>
      <c r="CE80" s="62">
        <f t="shared" si="94"/>
        <v>348.84706693879735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6.6771275495713596</v>
      </c>
      <c r="CM80" s="23">
        <f>EXP(-LN(2)/2)*CM79+(1-EXP(-LN(2)/2))/(LN(2)/2)*CG80*CJ80*VLOOKUP('Données projet'!$B$12,Paramètres!$A$1:$I$89,3,0)*0.475*44/12</f>
        <v>7.1723922961915473E-6</v>
      </c>
      <c r="CN80" s="24">
        <f t="shared" si="66"/>
        <v>6.6771347219636557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3.6</v>
      </c>
      <c r="CT80" s="13">
        <f>IF('Données projet'!$A$140&gt;35,CT79+CS80-DB79,IF(A80&lt;'Données projet'!$A$140,$CQ$205^A80,IF(A80='Données projet'!$A$140,'Données projet'!$B$140,CT79+CS80-DB79)))</f>
        <v>264.2</v>
      </c>
      <c r="CU80" s="18">
        <f>CT80*VLOOKUP('Données projet'!$B$13,Paramètres!$A$1:$I$89,3,0)*VLOOKUP('Données projet'!$B$13,Paramètres!$A$1:$I$89,5,0)</f>
        <v>193.71143999999998</v>
      </c>
      <c r="CV80" s="14">
        <f t="shared" si="95"/>
        <v>48.359573394195209</v>
      </c>
      <c r="CW80" s="22">
        <f t="shared" si="67"/>
        <v>421.60701499488988</v>
      </c>
      <c r="CX80" s="62">
        <f t="shared" si="68"/>
        <v>714.94034832822319</v>
      </c>
      <c r="CY80" s="62">
        <f ca="1">AVERAGE(OFFSET($CX$3,0,0,'Données projet'!$E$13+1,1))-AVERAGE(OFFSET($H$3,0,0,'Données projet'!$E$13+1,1))</f>
        <v>277.97613250285963</v>
      </c>
      <c r="CZ80" s="62">
        <f t="shared" si="96"/>
        <v>274.55710362891892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3.1613901666085678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3.1613901666085678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364.63511534965755</v>
      </c>
      <c r="T81" s="62">
        <f t="shared" si="88"/>
        <v>233.32640143610541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0.71321054798267247</v>
      </c>
      <c r="AB81" s="23">
        <f>EXP(-LN(2)/2)*AB80+(1-EXP(-LN(2)/2))/(LN(2)/2)*V81*Y81*VLOOKUP('Données projet'!$B$9,Paramètres!$A$1:$I$89,3,0)*0.475*44/12</f>
        <v>7.4800469513677609E-7</v>
      </c>
      <c r="AC81" s="24">
        <f t="shared" si="57"/>
        <v>0.71321129598736765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253.50000000000014</v>
      </c>
      <c r="AK81" s="14">
        <f t="shared" si="89"/>
        <v>61.334805663162555</v>
      </c>
      <c r="AL81" s="22">
        <f t="shared" si="58"/>
        <v>548.33728653000833</v>
      </c>
      <c r="AM81" s="62">
        <f t="shared" si="59"/>
        <v>841.6706198633417</v>
      </c>
      <c r="AN81" s="62">
        <f ca="1">AVERAGE(OFFSET($AM$3,0,0,'Données projet'!$E$10+1,1))-AVERAGE(OFFSET($H$3,0,0,'Données projet'!$E$10+1,1))</f>
        <v>403.82490501309815</v>
      </c>
      <c r="AO81" s="62">
        <f t="shared" si="90"/>
        <v>256.4377087753457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0.79928768308402998</v>
      </c>
      <c r="AW81" s="23">
        <f>EXP(-LN(2)/2)*AW80+(1-EXP(-LN(2)/2))/(LN(2)/2)*AQ81*AT81*VLOOKUP('Données projet'!$B$10,Paramètres!$A$1:$I$89,3,0)*0.475*44/12</f>
        <v>8.3828112386018018E-7</v>
      </c>
      <c r="AX81" s="23">
        <f t="shared" si="60"/>
        <v>0.79928852136515383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241.8000000000001</v>
      </c>
      <c r="BF81" s="14">
        <f t="shared" si="91"/>
        <v>58.826640673484889</v>
      </c>
      <c r="BG81" s="22">
        <f t="shared" si="61"/>
        <v>523.59139917298626</v>
      </c>
      <c r="BH81" s="62">
        <f t="shared" si="62"/>
        <v>816.92473250631951</v>
      </c>
      <c r="BI81" s="62">
        <f ca="1">AVERAGE(OFFSET($BH$3,0,0,'Données projet'!$E$11+1,1))-AVERAGE(OFFSET($H$3,0,0,'Données projet'!$E$11+1,1))</f>
        <v>387.04070351732537</v>
      </c>
      <c r="BJ81" s="62">
        <f t="shared" si="92"/>
        <v>246.54010105494137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0.762397482326305</v>
      </c>
      <c r="BR81" s="23">
        <f>EXP(-LN(2)/2)*BR80+(1-EXP(-LN(2)/2))/(LN(2)/2)*BL81*BO81*VLOOKUP('Données projet'!$B$11,Paramètres!$A$1:$I$89,3,0)*0.475*44/12</f>
        <v>7.9959122583586447E-7</v>
      </c>
      <c r="BS81" s="24">
        <f t="shared" si="63"/>
        <v>0.76239828191753078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3.4</v>
      </c>
      <c r="BY81" s="13">
        <f>IF('Données projet'!$A$114&gt;35,BY80+BX81-CG80,IF(A81&lt;'Données projet'!$A$114,$BV$205^A81,IF(A81='Données projet'!$A$114,'Données projet'!$B$114,BY80+BX81-CG80)))</f>
        <v>225.19999999999996</v>
      </c>
      <c r="BZ81" s="14">
        <f>BY81*VLOOKUP('Données projet'!$B$12,Paramètres!$A$1:$I$89,3,0)*VLOOKUP('Données projet'!$B$12,Paramètres!$A$1:$I$89,5,0)</f>
        <v>196.73472000000001</v>
      </c>
      <c r="CA81" s="14">
        <f t="shared" si="93"/>
        <v>49.025871962429896</v>
      </c>
      <c r="CB81" s="22">
        <f t="shared" si="64"/>
        <v>428.03303100123208</v>
      </c>
      <c r="CC81" s="62">
        <f t="shared" si="65"/>
        <v>721.36636433456533</v>
      </c>
      <c r="CD81" s="62">
        <f ca="1">AVERAGE(OFFSET($CC$3,0,0,'Données projet'!$E$12+1,1))-AVERAGE(OFFSET($H$3,0,0,'Données projet'!$E$12+1,1))</f>
        <v>327.62212115491479</v>
      </c>
      <c r="CE81" s="62">
        <f t="shared" si="94"/>
        <v>348.84706693879735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6.4945411455934536</v>
      </c>
      <c r="CM81" s="23">
        <f>EXP(-LN(2)/2)*CM80+(1-EXP(-LN(2)/2))/(LN(2)/2)*CG81*CJ81*VLOOKUP('Données projet'!$B$12,Paramètres!$A$1:$I$89,3,0)*0.475*44/12</f>
        <v>5.0716472299671956E-6</v>
      </c>
      <c r="CN81" s="24">
        <f t="shared" si="66"/>
        <v>6.4945462172406838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3.6</v>
      </c>
      <c r="CT81" s="13">
        <f>IF('Données projet'!$A$140&gt;35,CT80+CS81-DB80,IF(A81&lt;'Données projet'!$A$140,$CQ$205^A81,IF(A81='Données projet'!$A$140,'Données projet'!$B$140,CT80+CS81-DB80)))</f>
        <v>267.8</v>
      </c>
      <c r="CU81" s="18">
        <f>CT81*VLOOKUP('Données projet'!$B$13,Paramètres!$A$1:$I$89,3,0)*VLOOKUP('Données projet'!$B$13,Paramètres!$A$1:$I$89,5,0)</f>
        <v>196.35096000000001</v>
      </c>
      <c r="CV81" s="14">
        <f t="shared" si="95"/>
        <v>48.941361774933419</v>
      </c>
      <c r="CW81" s="22">
        <f t="shared" si="67"/>
        <v>427.21746042467572</v>
      </c>
      <c r="CX81" s="62">
        <f t="shared" si="68"/>
        <v>720.55079375800904</v>
      </c>
      <c r="CY81" s="62">
        <f ca="1">AVERAGE(OFFSET($CX$3,0,0,'Données projet'!$E$13+1,1))-AVERAGE(OFFSET($H$3,0,0,'Données projet'!$E$13+1,1))</f>
        <v>277.97613250285963</v>
      </c>
      <c r="CZ81" s="62">
        <f t="shared" si="96"/>
        <v>274.55710362891892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3.0993972336989759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3.0993972336989759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364.63511534965755</v>
      </c>
      <c r="T82" s="62">
        <f t="shared" si="88"/>
        <v>233.32640143610541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0.69370776804197365</v>
      </c>
      <c r="AB82" s="23">
        <f>EXP(-LN(2)/2)*AB81+(1-EXP(-LN(2)/2))/(LN(2)/2)*V82*Y82*VLOOKUP('Données projet'!$B$9,Paramètres!$A$1:$I$89,3,0)*0.475*44/12</f>
        <v>5.2891919229059052E-7</v>
      </c>
      <c r="AC82" s="24">
        <f t="shared" si="57"/>
        <v>0.69370829696116598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259.58400000000017</v>
      </c>
      <c r="AK82" s="14">
        <f t="shared" si="89"/>
        <v>62.63369530482359</v>
      </c>
      <c r="AL82" s="22">
        <f t="shared" si="58"/>
        <v>561.19581932256801</v>
      </c>
      <c r="AM82" s="62">
        <f t="shared" si="59"/>
        <v>854.52915265590127</v>
      </c>
      <c r="AN82" s="62">
        <f ca="1">AVERAGE(OFFSET($AM$3,0,0,'Données projet'!$E$10+1,1))-AVERAGE(OFFSET($H$3,0,0,'Données projet'!$E$10+1,1))</f>
        <v>403.82490501309815</v>
      </c>
      <c r="AO82" s="62">
        <f t="shared" si="90"/>
        <v>256.4377087753457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0.77743111935738474</v>
      </c>
      <c r="AW82" s="23">
        <f>EXP(-LN(2)/2)*AW81+(1-EXP(-LN(2)/2))/(LN(2)/2)*AQ82*AT82*VLOOKUP('Données projet'!$B$10,Paramètres!$A$1:$I$89,3,0)*0.475*44/12</f>
        <v>5.9275426722221357E-7</v>
      </c>
      <c r="AX82" s="23">
        <f t="shared" si="60"/>
        <v>0.77743171211165196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247.6032000000001</v>
      </c>
      <c r="BF82" s="14">
        <f t="shared" si="91"/>
        <v>60.072414804475414</v>
      </c>
      <c r="BG82" s="22">
        <f t="shared" si="61"/>
        <v>535.86836245112806</v>
      </c>
      <c r="BH82" s="62">
        <f t="shared" si="62"/>
        <v>829.20169578446144</v>
      </c>
      <c r="BI82" s="62">
        <f ca="1">AVERAGE(OFFSET($BH$3,0,0,'Données projet'!$E$11+1,1))-AVERAGE(OFFSET($H$3,0,0,'Données projet'!$E$11+1,1))</f>
        <v>387.04070351732537</v>
      </c>
      <c r="BJ82" s="62">
        <f t="shared" si="92"/>
        <v>246.54010105494137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0.7415496830793511</v>
      </c>
      <c r="BR82" s="23">
        <f>EXP(-LN(2)/2)*BR81+(1-EXP(-LN(2)/2))/(LN(2)/2)*BL82*BO82*VLOOKUP('Données projet'!$B$11,Paramètres!$A$1:$I$89,3,0)*0.475*44/12</f>
        <v>5.6539637796580391E-7</v>
      </c>
      <c r="BS82" s="24">
        <f t="shared" si="63"/>
        <v>0.74155024847572903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3.4</v>
      </c>
      <c r="BY82" s="13">
        <f>IF('Données projet'!$A$114&gt;35,BY81+BX82-CG81,IF(A82&lt;'Données projet'!$A$114,$BV$205^A82,IF(A82='Données projet'!$A$114,'Données projet'!$B$114,BY81+BX82-CG81)))</f>
        <v>228.59999999999997</v>
      </c>
      <c r="BZ82" s="14">
        <f>BY82*VLOOKUP('Données projet'!$B$12,Paramètres!$A$1:$I$89,3,0)*VLOOKUP('Données projet'!$B$12,Paramètres!$A$1:$I$89,5,0)</f>
        <v>199.70496</v>
      </c>
      <c r="CA82" s="14">
        <f t="shared" si="93"/>
        <v>49.679321293278612</v>
      </c>
      <c r="CB82" s="22">
        <f t="shared" si="64"/>
        <v>434.34428991912688</v>
      </c>
      <c r="CC82" s="62">
        <f t="shared" si="65"/>
        <v>727.67762325246019</v>
      </c>
      <c r="CD82" s="62">
        <f ca="1">AVERAGE(OFFSET($CC$3,0,0,'Données projet'!$E$12+1,1))-AVERAGE(OFFSET($H$3,0,0,'Données projet'!$E$12+1,1))</f>
        <v>327.62212115491479</v>
      </c>
      <c r="CE82" s="62">
        <f t="shared" si="94"/>
        <v>348.84706693879735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6.3169475764341252</v>
      </c>
      <c r="CM82" s="23">
        <f>EXP(-LN(2)/2)*CM81+(1-EXP(-LN(2)/2))/(LN(2)/2)*CG82*CJ82*VLOOKUP('Données projet'!$B$12,Paramètres!$A$1:$I$89,3,0)*0.475*44/12</f>
        <v>3.5861961480957737E-6</v>
      </c>
      <c r="CN82" s="24">
        <f t="shared" si="66"/>
        <v>6.3169511626302732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3.6</v>
      </c>
      <c r="CT82" s="13">
        <f>IF('Données projet'!$A$140&gt;35,CT81+CS82-DB81,IF(A82&lt;'Données projet'!$A$140,$CQ$205^A82,IF(A82='Données projet'!$A$140,'Données projet'!$B$140,CT81+CS82-DB81)))</f>
        <v>271.40000000000003</v>
      </c>
      <c r="CU82" s="18">
        <f>CT82*VLOOKUP('Données projet'!$B$13,Paramètres!$A$1:$I$89,3,0)*VLOOKUP('Données projet'!$B$13,Paramètres!$A$1:$I$89,5,0)</f>
        <v>198.99048000000002</v>
      </c>
      <c r="CV82" s="14">
        <f t="shared" si="95"/>
        <v>49.522240485306654</v>
      </c>
      <c r="CW82" s="22">
        <f t="shared" si="67"/>
        <v>432.8263215119091</v>
      </c>
      <c r="CX82" s="62">
        <f t="shared" si="68"/>
        <v>726.15965484524236</v>
      </c>
      <c r="CY82" s="62">
        <f ca="1">AVERAGE(OFFSET($CX$3,0,0,'Données projet'!$E$13+1,1))-AVERAGE(OFFSET($H$3,0,0,'Données projet'!$E$13+1,1))</f>
        <v>277.97613250285963</v>
      </c>
      <c r="CZ82" s="62">
        <f t="shared" si="96"/>
        <v>274.55710362891892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3.0386199443917854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3.0386199443917854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364.63511534965755</v>
      </c>
      <c r="T83" s="62">
        <f t="shared" si="88"/>
        <v>233.32640143610541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0.67473829264435981</v>
      </c>
      <c r="AB83" s="23">
        <f>EXP(-LN(2)/2)*AB82+(1-EXP(-LN(2)/2))/(LN(2)/2)*V83*Y83*VLOOKUP('Données projet'!$B$9,Paramètres!$A$1:$I$89,3,0)*0.475*44/12</f>
        <v>3.7400234756838804E-7</v>
      </c>
      <c r="AC83" s="24">
        <f t="shared" si="57"/>
        <v>0.67473866664670734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265.66800000000012</v>
      </c>
      <c r="AK83" s="14">
        <f t="shared" si="89"/>
        <v>63.929045899944406</v>
      </c>
      <c r="AL83" s="22">
        <f t="shared" si="58"/>
        <v>574.04818827573672</v>
      </c>
      <c r="AM83" s="62">
        <f t="shared" si="59"/>
        <v>867.38152160906998</v>
      </c>
      <c r="AN83" s="62">
        <f ca="1">AVERAGE(OFFSET($AM$3,0,0,'Données projet'!$E$10+1,1))-AVERAGE(OFFSET($H$3,0,0,'Données projet'!$E$10+1,1))</f>
        <v>403.82490501309815</v>
      </c>
      <c r="AO83" s="62">
        <f t="shared" si="90"/>
        <v>256.4377087753457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0.75617222451523136</v>
      </c>
      <c r="AW83" s="23">
        <f>EXP(-LN(2)/2)*AW82+(1-EXP(-LN(2)/2))/(LN(2)/2)*AQ83*AT83*VLOOKUP('Données projet'!$B$10,Paramètres!$A$1:$I$89,3,0)*0.475*44/12</f>
        <v>4.1914056193009009E-7</v>
      </c>
      <c r="AX83" s="23">
        <f t="shared" si="60"/>
        <v>0.75617264365579329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253.40640000000013</v>
      </c>
      <c r="BF83" s="14">
        <f t="shared" si="91"/>
        <v>61.314794611201144</v>
      </c>
      <c r="BG83" s="22">
        <f t="shared" si="61"/>
        <v>548.13941394784217</v>
      </c>
      <c r="BH83" s="62">
        <f t="shared" si="62"/>
        <v>841.47274728117554</v>
      </c>
      <c r="BI83" s="62">
        <f ca="1">AVERAGE(OFFSET($BH$3,0,0,'Données projet'!$E$11+1,1))-AVERAGE(OFFSET($H$3,0,0,'Données projet'!$E$11+1,1))</f>
        <v>387.04070351732537</v>
      </c>
      <c r="BJ83" s="62">
        <f t="shared" si="92"/>
        <v>246.54010105494137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0.72127196799914328</v>
      </c>
      <c r="BR83" s="23">
        <f>EXP(-LN(2)/2)*BR82+(1-EXP(-LN(2)/2))/(LN(2)/2)*BL83*BO83*VLOOKUP('Données projet'!$B$11,Paramètres!$A$1:$I$89,3,0)*0.475*44/12</f>
        <v>3.9979561291793224E-7</v>
      </c>
      <c r="BS83" s="24">
        <f t="shared" si="63"/>
        <v>0.72127236779475623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232</v>
      </c>
      <c r="BW83" s="13">
        <f>VLOOKUP(A83,'Données projet'!$A$113:$I$133,9,0)</f>
        <v>3.4</v>
      </c>
      <c r="BX83" s="13">
        <f t="array" ref="BX83">INDEX(BW:BW,MIN(IF(ISNUMBER(BW83:BW279),ROW(BW83:BW279),"")))</f>
        <v>3.4</v>
      </c>
      <c r="BY83" s="13">
        <f>IF('Données projet'!$A$114&gt;35,BY82+BX83-CG82,IF(A83&lt;'Données projet'!$A$114,$BV$205^A83,IF(A83='Données projet'!$A$114,'Données projet'!$B$114,BY82+BX83-CG82)))</f>
        <v>231.99999999999997</v>
      </c>
      <c r="BZ83" s="14">
        <f>BY83*VLOOKUP('Données projet'!$B$12,Paramètres!$A$1:$I$89,3,0)*VLOOKUP('Données projet'!$B$12,Paramètres!$A$1:$I$89,5,0)</f>
        <v>202.67519999999999</v>
      </c>
      <c r="CA83" s="14">
        <f t="shared" si="93"/>
        <v>50.33164028531364</v>
      </c>
      <c r="CB83" s="22">
        <f t="shared" si="64"/>
        <v>440.65358016358783</v>
      </c>
      <c r="CC83" s="62">
        <f t="shared" si="65"/>
        <v>733.98691349692115</v>
      </c>
      <c r="CD83" s="62">
        <f ca="1">AVERAGE(OFFSET($CC$3,0,0,'Données projet'!$E$12+1,1))-AVERAGE(OFFSET($H$3,0,0,'Données projet'!$E$12+1,1))</f>
        <v>327.62212115491479</v>
      </c>
      <c r="CE83" s="62">
        <f t="shared" si="94"/>
        <v>348.84706693879735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13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6.1442103127626986</v>
      </c>
      <c r="CM83" s="23">
        <f>EXP(-LN(2)/2)*CM82+(1-EXP(-LN(2)/2))/(LN(2)/2)*CG83*CJ83*VLOOKUP('Données projet'!$B$12,Paramètres!$A$1:$I$89,3,0)*0.475*44/12</f>
        <v>2.5358236149835978E-6</v>
      </c>
      <c r="CN83" s="24">
        <f t="shared" si="66"/>
        <v>6.1442128485863137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275</v>
      </c>
      <c r="CR83" s="13">
        <f>VLOOKUP(A83,'Données projet'!$A$139:$I$159,9,0)</f>
        <v>3.6</v>
      </c>
      <c r="CS83" s="13">
        <f t="array" ref="CS83">INDEX(CR:CR,MIN(IF(ISNUMBER(CR83:CR279),ROW(CR83:CR279),"")))</f>
        <v>3.6</v>
      </c>
      <c r="CT83" s="13">
        <f>IF('Données projet'!$A$140&gt;35,CT82+CS83-DB82,IF(A83&lt;'Données projet'!$A$140,$CQ$205^A83,IF(A83='Données projet'!$A$140,'Données projet'!$B$140,CT82+CS83-DB82)))</f>
        <v>275.00000000000006</v>
      </c>
      <c r="CU83" s="18">
        <f>CT83*VLOOKUP('Données projet'!$B$13,Paramètres!$A$1:$I$89,3,0)*VLOOKUP('Données projet'!$B$13,Paramètres!$A$1:$I$89,5,0)</f>
        <v>201.63000000000005</v>
      </c>
      <c r="CV83" s="14">
        <f t="shared" si="95"/>
        <v>50.102222986612546</v>
      </c>
      <c r="CW83" s="22">
        <f t="shared" si="67"/>
        <v>438.43362170168365</v>
      </c>
      <c r="CX83" s="62">
        <f t="shared" si="68"/>
        <v>731.76695503501696</v>
      </c>
      <c r="CY83" s="62">
        <f ca="1">AVERAGE(OFFSET($CX$3,0,0,'Données projet'!$E$13+1,1))-AVERAGE(OFFSET($H$3,0,0,'Données projet'!$E$13+1,1))</f>
        <v>277.97613250285963</v>
      </c>
      <c r="CZ83" s="62">
        <f t="shared" si="96"/>
        <v>274.55710362891892</v>
      </c>
      <c r="DA83" s="16">
        <f>IF(ISNA(VLOOKUP(A83,'Données projet'!$A$139:$I$159,3,0)),0,VLOOKUP(A83,'Données projet'!$A$139:$I$159,3,0))</f>
        <v>14</v>
      </c>
      <c r="DB83" s="16">
        <f>IF(ISNA(VLOOKUP(A83,'Données projet'!$A$139:$I$159,4,0)),0,VLOOKUP(A83,'Données projet'!$A$139:$I$159,4,0))</f>
        <v>275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2.9790344606574228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2.9790344606574228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364.63511534965755</v>
      </c>
      <c r="T84" s="62">
        <f t="shared" si="88"/>
        <v>233.32640143610541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0.65628753854905508</v>
      </c>
      <c r="AB84" s="23">
        <f>EXP(-LN(2)/2)*AB83+(1-EXP(-LN(2)/2))/(LN(2)/2)*V84*Y84*VLOOKUP('Données projet'!$B$9,Paramètres!$A$1:$I$89,3,0)*0.475*44/12</f>
        <v>2.6445959614529526E-7</v>
      </c>
      <c r="AC84" s="24">
        <f t="shared" si="57"/>
        <v>0.65628780300865119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250.05240000000018</v>
      </c>
      <c r="AK84" s="14">
        <f t="shared" si="89"/>
        <v>60.597161386823522</v>
      </c>
      <c r="AL84" s="22">
        <f t="shared" si="58"/>
        <v>541.04798608205112</v>
      </c>
      <c r="AM84" s="62">
        <f t="shared" si="59"/>
        <v>834.3813194153845</v>
      </c>
      <c r="AN84" s="62">
        <f ca="1">AVERAGE(OFFSET($AM$3,0,0,'Données projet'!$E$10+1,1))-AVERAGE(OFFSET($H$3,0,0,'Données projet'!$E$10+1,1))</f>
        <v>403.82490501309815</v>
      </c>
      <c r="AO84" s="62">
        <f t="shared" si="90"/>
        <v>256.4377087753457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0.73549465527049329</v>
      </c>
      <c r="AW84" s="23">
        <f>EXP(-LN(2)/2)*AW83+(1-EXP(-LN(2)/2))/(LN(2)/2)*AQ84*AT84*VLOOKUP('Données projet'!$B$10,Paramètres!$A$1:$I$89,3,0)*0.475*44/12</f>
        <v>2.9637713361110678E-7</v>
      </c>
      <c r="AX84" s="23">
        <f t="shared" si="60"/>
        <v>0.7354949516476269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238.51152000000013</v>
      </c>
      <c r="BF84" s="14">
        <f t="shared" si="91"/>
        <v>58.119160893939195</v>
      </c>
      <c r="BG84" s="22">
        <f t="shared" si="61"/>
        <v>516.63176922361095</v>
      </c>
      <c r="BH84" s="62">
        <f t="shared" si="62"/>
        <v>809.9651025569442</v>
      </c>
      <c r="BI84" s="62">
        <f ca="1">AVERAGE(OFFSET($BH$3,0,0,'Données projet'!$E$11+1,1))-AVERAGE(OFFSET($H$3,0,0,'Données projet'!$E$11+1,1))</f>
        <v>387.04070351732537</v>
      </c>
      <c r="BJ84" s="62">
        <f t="shared" si="92"/>
        <v>246.54010105494137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0.70154874810416246</v>
      </c>
      <c r="BR84" s="23">
        <f>EXP(-LN(2)/2)*BR83+(1-EXP(-LN(2)/2))/(LN(2)/2)*BL84*BO84*VLOOKUP('Données projet'!$B$11,Paramètres!$A$1:$I$89,3,0)*0.475*44/12</f>
        <v>2.8269818898290196E-7</v>
      </c>
      <c r="BS84" s="24">
        <f t="shared" si="63"/>
        <v>0.70154903080235143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</v>
      </c>
      <c r="BY84" s="13">
        <f>IF('Données projet'!$A$114&gt;35,BY83+BX84-CG83,IF(A84&lt;'Données projet'!$A$114,$BV$205^A84,IF(A84='Données projet'!$A$114,'Données projet'!$B$114,BY83+BX84-CG83)))</f>
        <v>221.99999999999997</v>
      </c>
      <c r="BZ84" s="14">
        <f>BY84*VLOOKUP('Données projet'!$B$12,Paramètres!$A$1:$I$89,3,0)*VLOOKUP('Données projet'!$B$12,Paramètres!$A$1:$I$89,5,0)</f>
        <v>193.9392</v>
      </c>
      <c r="CA84" s="14">
        <f t="shared" si="93"/>
        <v>48.409811198069384</v>
      </c>
      <c r="CB84" s="22">
        <f t="shared" si="64"/>
        <v>422.09119450330417</v>
      </c>
      <c r="CC84" s="62">
        <f t="shared" si="65"/>
        <v>715.42452783663748</v>
      </c>
      <c r="CD84" s="62">
        <f ca="1">AVERAGE(OFFSET($CC$3,0,0,'Données projet'!$E$12+1,1))-AVERAGE(OFFSET($H$3,0,0,'Données projet'!$E$12+1,1))</f>
        <v>327.62212115491479</v>
      </c>
      <c r="CE84" s="62">
        <f t="shared" si="94"/>
        <v>348.84706693879735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5.9761965586502246</v>
      </c>
      <c r="CM84" s="23">
        <f>EXP(-LN(2)/2)*CM83+(1-EXP(-LN(2)/2))/(LN(2)/2)*CG84*CJ84*VLOOKUP('Données projet'!$B$12,Paramètres!$A$1:$I$89,3,0)*0.475*44/12</f>
        <v>1.7930980740478868E-6</v>
      </c>
      <c r="CN84" s="24">
        <f t="shared" si="66"/>
        <v>5.9761983517482991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4.1677594708744434E-14</v>
      </c>
      <c r="CV84" s="14">
        <f t="shared" si="95"/>
        <v>6.9326303456159188E-13</v>
      </c>
      <c r="CW84" s="22">
        <f t="shared" si="67"/>
        <v>1.2800215959791691E-12</v>
      </c>
      <c r="CX84" s="62">
        <f t="shared" si="68"/>
        <v>293.33333333333462</v>
      </c>
      <c r="CY84" s="62">
        <f ca="1">AVERAGE(OFFSET($CX$3,0,0,'Données projet'!$E$13+1,1))-AVERAGE(OFFSET($H$3,0,0,'Données projet'!$E$13+1,1))</f>
        <v>277.97613250285963</v>
      </c>
      <c r="CZ84" s="62">
        <f t="shared" si="96"/>
        <v>274.55710362891892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2.9206174119155346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2.9206174119155346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364.63511534965755</v>
      </c>
      <c r="T85" s="62">
        <f t="shared" si="88"/>
        <v>233.32640143610541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0.6383413212947695</v>
      </c>
      <c r="AB85" s="23">
        <f>EXP(-LN(2)/2)*AB84+(1-EXP(-LN(2)/2))/(LN(2)/2)*V85*Y85*VLOOKUP('Données projet'!$B$9,Paramètres!$A$1:$I$89,3,0)*0.475*44/12</f>
        <v>1.8700117378419402E-7</v>
      </c>
      <c r="AC85" s="24">
        <f t="shared" si="57"/>
        <v>0.63834150829594327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255.73080000000016</v>
      </c>
      <c r="AK85" s="14">
        <f t="shared" si="89"/>
        <v>61.811482021795285</v>
      </c>
      <c r="AL85" s="22">
        <f t="shared" si="58"/>
        <v>553.05280785462708</v>
      </c>
      <c r="AM85" s="62">
        <f t="shared" si="59"/>
        <v>846.38614118796045</v>
      </c>
      <c r="AN85" s="62">
        <f ca="1">AVERAGE(OFFSET($AM$3,0,0,'Données projet'!$E$10+1,1))-AVERAGE(OFFSET($H$3,0,0,'Données projet'!$E$10+1,1))</f>
        <v>403.82490501309815</v>
      </c>
      <c r="AO85" s="62">
        <f t="shared" si="90"/>
        <v>256.4377087753457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0.71538251524413876</v>
      </c>
      <c r="AW85" s="23">
        <f>EXP(-LN(2)/2)*AW84+(1-EXP(-LN(2)/2))/(LN(2)/2)*AQ85*AT85*VLOOKUP('Données projet'!$B$10,Paramètres!$A$1:$I$89,3,0)*0.475*44/12</f>
        <v>2.0957028096504504E-7</v>
      </c>
      <c r="AX85" s="23">
        <f t="shared" si="60"/>
        <v>0.71538272481441978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243.92784000000015</v>
      </c>
      <c r="BF85" s="14">
        <f t="shared" si="91"/>
        <v>59.283824299708904</v>
      </c>
      <c r="BG85" s="22">
        <f t="shared" si="61"/>
        <v>528.09364865532655</v>
      </c>
      <c r="BH85" s="62">
        <f t="shared" si="62"/>
        <v>821.42698198865992</v>
      </c>
      <c r="BI85" s="62">
        <f ca="1">AVERAGE(OFFSET($BH$3,0,0,'Données projet'!$E$11+1,1))-AVERAGE(OFFSET($H$3,0,0,'Données projet'!$E$11+1,1))</f>
        <v>387.04070351732537</v>
      </c>
      <c r="BJ85" s="62">
        <f t="shared" si="92"/>
        <v>246.54010105494137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0.68236486069440894</v>
      </c>
      <c r="BR85" s="23">
        <f>EXP(-LN(2)/2)*BR84+(1-EXP(-LN(2)/2))/(LN(2)/2)*BL85*BO85*VLOOKUP('Données projet'!$B$11,Paramètres!$A$1:$I$89,3,0)*0.475*44/12</f>
        <v>1.9989780645896612E-7</v>
      </c>
      <c r="BS85" s="24">
        <f t="shared" si="63"/>
        <v>0.68236506059221536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</v>
      </c>
      <c r="BY85" s="13">
        <f>IF('Données projet'!$A$114&gt;35,BY84+BX85-CG84,IF(A85&lt;'Données projet'!$A$114,$BV$205^A85,IF(A85='Données projet'!$A$114,'Données projet'!$B$114,BY84+BX85-CG84)))</f>
        <v>224.99999999999997</v>
      </c>
      <c r="BZ85" s="14">
        <f>BY85*VLOOKUP('Données projet'!$B$12,Paramètres!$A$1:$I$89,3,0)*VLOOKUP('Données projet'!$B$12,Paramètres!$A$1:$I$89,5,0)</f>
        <v>196.56</v>
      </c>
      <c r="CA85" s="14">
        <f t="shared" si="93"/>
        <v>48.987398161128091</v>
      </c>
      <c r="CB85" s="22">
        <f t="shared" si="64"/>
        <v>427.66171846396475</v>
      </c>
      <c r="CC85" s="62">
        <f t="shared" si="65"/>
        <v>720.99505179729806</v>
      </c>
      <c r="CD85" s="62">
        <f ca="1">AVERAGE(OFFSET($CC$3,0,0,'Données projet'!$E$12+1,1))-AVERAGE(OFFSET($H$3,0,0,'Données projet'!$E$12+1,1))</f>
        <v>327.62212115491479</v>
      </c>
      <c r="CE85" s="62">
        <f t="shared" si="94"/>
        <v>348.84706693879735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5.812777149479416</v>
      </c>
      <c r="CM85" s="23">
        <f>EXP(-LN(2)/2)*CM84+(1-EXP(-LN(2)/2))/(LN(2)/2)*CG85*CJ85*VLOOKUP('Données projet'!$B$12,Paramètres!$A$1:$I$89,3,0)*0.475*44/12</f>
        <v>1.2679118074917989E-6</v>
      </c>
      <c r="CN85" s="24">
        <f t="shared" si="66"/>
        <v>5.8127784173912236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4.1677594708744434E-14</v>
      </c>
      <c r="CV85" s="14">
        <f t="shared" si="95"/>
        <v>6.9326303456159188E-13</v>
      </c>
      <c r="CW85" s="22">
        <f t="shared" si="67"/>
        <v>1.2800215959791691E-12</v>
      </c>
      <c r="CX85" s="62">
        <f t="shared" si="68"/>
        <v>293.33333333333462</v>
      </c>
      <c r="CY85" s="62">
        <f ca="1">AVERAGE(OFFSET($CX$3,0,0,'Données projet'!$E$13+1,1))-AVERAGE(OFFSET($H$3,0,0,'Données projet'!$E$13+1,1))</f>
        <v>277.97613250285963</v>
      </c>
      <c r="CZ85" s="62">
        <f t="shared" si="96"/>
        <v>274.55710362891892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2.8633458858685934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2.8633458858685934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364.63511534965755</v>
      </c>
      <c r="T86" s="62">
        <f t="shared" si="88"/>
        <v>233.32640143610541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0.62088584429505289</v>
      </c>
      <c r="AB86" s="23">
        <f>EXP(-LN(2)/2)*AB85+(1-EXP(-LN(2)/2))/(LN(2)/2)*V86*Y86*VLOOKUP('Données projet'!$B$9,Paramètres!$A$1:$I$89,3,0)*0.475*44/12</f>
        <v>1.3222979807264763E-7</v>
      </c>
      <c r="AC86" s="24">
        <f t="shared" si="57"/>
        <v>0.620885976524851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261.40920000000011</v>
      </c>
      <c r="AK86" s="14">
        <f t="shared" si="89"/>
        <v>63.022667885185157</v>
      </c>
      <c r="AL86" s="22">
        <f t="shared" si="58"/>
        <v>565.052169900031</v>
      </c>
      <c r="AM86" s="62">
        <f t="shared" si="59"/>
        <v>858.38550323336426</v>
      </c>
      <c r="AN86" s="62">
        <f ca="1">AVERAGE(OFFSET($AM$3,0,0,'Données projet'!$E$10+1,1))-AVERAGE(OFFSET($H$3,0,0,'Données projet'!$E$10+1,1))</f>
        <v>403.82490501309815</v>
      </c>
      <c r="AO86" s="62">
        <f t="shared" si="90"/>
        <v>256.4377087753457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0.69582034274445637</v>
      </c>
      <c r="AW86" s="23">
        <f>EXP(-LN(2)/2)*AW85+(1-EXP(-LN(2)/2))/(LN(2)/2)*AQ86*AT86*VLOOKUP('Données projet'!$B$10,Paramètres!$A$1:$I$89,3,0)*0.475*44/12</f>
        <v>1.4818856680555339E-7</v>
      </c>
      <c r="AX86" s="23">
        <f t="shared" si="60"/>
        <v>0.69582049093302312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249.34416000000013</v>
      </c>
      <c r="BF86" s="14">
        <f t="shared" si="91"/>
        <v>60.445481124150966</v>
      </c>
      <c r="BG86" s="22">
        <f t="shared" si="61"/>
        <v>539.5502916245631</v>
      </c>
      <c r="BH86" s="62">
        <f t="shared" si="62"/>
        <v>832.88362495789647</v>
      </c>
      <c r="BI86" s="62">
        <f ca="1">AVERAGE(OFFSET($BH$3,0,0,'Données projet'!$E$11+1,1))-AVERAGE(OFFSET($H$3,0,0,'Données projet'!$E$11+1,1))</f>
        <v>387.04070351732537</v>
      </c>
      <c r="BJ86" s="62">
        <f t="shared" si="92"/>
        <v>246.54010105494137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0.66370555769471185</v>
      </c>
      <c r="BR86" s="23">
        <f>EXP(-LN(2)/2)*BR85+(1-EXP(-LN(2)/2))/(LN(2)/2)*BL86*BO86*VLOOKUP('Données projet'!$B$11,Paramètres!$A$1:$I$89,3,0)*0.475*44/12</f>
        <v>1.4134909449145098E-7</v>
      </c>
      <c r="BS86" s="24">
        <f t="shared" si="63"/>
        <v>0.66370569904380639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</v>
      </c>
      <c r="BY86" s="13">
        <f>IF('Données projet'!$A$114&gt;35,BY85+BX86-CG85,IF(A86&lt;'Données projet'!$A$114,$BV$205^A86,IF(A86='Données projet'!$A$114,'Données projet'!$B$114,BY85+BX86-CG85)))</f>
        <v>227.99999999999997</v>
      </c>
      <c r="BZ86" s="14">
        <f>BY86*VLOOKUP('Données projet'!$B$12,Paramètres!$A$1:$I$89,3,0)*VLOOKUP('Données projet'!$B$12,Paramètres!$A$1:$I$89,5,0)</f>
        <v>199.1808</v>
      </c>
      <c r="CA86" s="14">
        <f t="shared" si="93"/>
        <v>49.564089376413683</v>
      </c>
      <c r="CB86" s="22">
        <f t="shared" si="64"/>
        <v>433.23068233058711</v>
      </c>
      <c r="CC86" s="62">
        <f t="shared" si="65"/>
        <v>726.56401566392037</v>
      </c>
      <c r="CD86" s="62">
        <f ca="1">AVERAGE(OFFSET($CC$3,0,0,'Données projet'!$E$12+1,1))-AVERAGE(OFFSET($H$3,0,0,'Données projet'!$E$12+1,1))</f>
        <v>327.62212115491479</v>
      </c>
      <c r="CE86" s="62">
        <f t="shared" si="94"/>
        <v>348.84706693879735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5.6538264526462365</v>
      </c>
      <c r="CM86" s="23">
        <f>EXP(-LN(2)/2)*CM85+(1-EXP(-LN(2)/2))/(LN(2)/2)*CG86*CJ86*VLOOKUP('Données projet'!$B$12,Paramètres!$A$1:$I$89,3,0)*0.475*44/12</f>
        <v>8.9654903702394342E-7</v>
      </c>
      <c r="CN86" s="24">
        <f t="shared" si="66"/>
        <v>5.6538273491952733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4.1677594708744434E-14</v>
      </c>
      <c r="CV86" s="14">
        <f t="shared" si="95"/>
        <v>6.9326303456159188E-13</v>
      </c>
      <c r="CW86" s="22">
        <f t="shared" si="67"/>
        <v>1.2800215959791691E-12</v>
      </c>
      <c r="CX86" s="62">
        <f t="shared" si="68"/>
        <v>293.33333333333462</v>
      </c>
      <c r="CY86" s="62">
        <f ca="1">AVERAGE(OFFSET($CX$3,0,0,'Données projet'!$E$13+1,1))-AVERAGE(OFFSET($H$3,0,0,'Données projet'!$E$13+1,1))</f>
        <v>277.97613250285963</v>
      </c>
      <c r="CZ86" s="62">
        <f t="shared" si="96"/>
        <v>274.55710362891892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2.8071974195152514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2.8071974195152514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364.63511534965755</v>
      </c>
      <c r="T87" s="62">
        <f t="shared" si="88"/>
        <v>233.32640143610541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0.60390768823183716</v>
      </c>
      <c r="AB87" s="23">
        <f>EXP(-LN(2)/2)*AB86+(1-EXP(-LN(2)/2))/(LN(2)/2)*V87*Y87*VLOOKUP('Données projet'!$B$9,Paramètres!$A$1:$I$89,3,0)*0.475*44/12</f>
        <v>9.3500586892097011E-8</v>
      </c>
      <c r="AC87" s="24">
        <f t="shared" si="57"/>
        <v>0.6039077817324241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267.08760000000018</v>
      </c>
      <c r="AK87" s="14">
        <f t="shared" si="89"/>
        <v>64.230794913549914</v>
      </c>
      <c r="AL87" s="22">
        <f t="shared" si="58"/>
        <v>577.04620447443301</v>
      </c>
      <c r="AM87" s="62">
        <f t="shared" si="59"/>
        <v>870.37953780776638</v>
      </c>
      <c r="AN87" s="62">
        <f ca="1">AVERAGE(OFFSET($AM$3,0,0,'Données projet'!$E$10+1,1))-AVERAGE(OFFSET($H$3,0,0,'Données projet'!$E$10+1,1))</f>
        <v>403.82490501309815</v>
      </c>
      <c r="AO87" s="62">
        <f t="shared" si="90"/>
        <v>256.4377087753457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0.67679309888050765</v>
      </c>
      <c r="AW87" s="23">
        <f>EXP(-LN(2)/2)*AW86+(1-EXP(-LN(2)/2))/(LN(2)/2)*AQ87*AT87*VLOOKUP('Données projet'!$B$10,Paramètres!$A$1:$I$89,3,0)*0.475*44/12</f>
        <v>1.0478514048252252E-7</v>
      </c>
      <c r="AX87" s="23">
        <f t="shared" si="60"/>
        <v>0.6767932036656481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254.76048000000014</v>
      </c>
      <c r="BF87" s="14">
        <f t="shared" si="91"/>
        <v>61.604204198547528</v>
      </c>
      <c r="BG87" s="22">
        <f t="shared" si="61"/>
        <v>551.00182497913715</v>
      </c>
      <c r="BH87" s="62">
        <f t="shared" si="62"/>
        <v>844.33515831247041</v>
      </c>
      <c r="BI87" s="62">
        <f ca="1">AVERAGE(OFFSET($BH$3,0,0,'Données projet'!$E$11+1,1))-AVERAGE(OFFSET($H$3,0,0,'Données projet'!$E$11+1,1))</f>
        <v>387.04070351732537</v>
      </c>
      <c r="BJ87" s="62">
        <f t="shared" si="92"/>
        <v>246.54010105494137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0.64555649431679163</v>
      </c>
      <c r="BR87" s="23">
        <f>EXP(-LN(2)/2)*BR86+(1-EXP(-LN(2)/2))/(LN(2)/2)*BL87*BO87*VLOOKUP('Données projet'!$B$11,Paramètres!$A$1:$I$89,3,0)*0.475*44/12</f>
        <v>9.9948903229483059E-8</v>
      </c>
      <c r="BS87" s="24">
        <f t="shared" si="63"/>
        <v>0.64555659426569489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</v>
      </c>
      <c r="BY87" s="13">
        <f>IF('Données projet'!$A$114&gt;35,BY86+BX87-CG86,IF(A87&lt;'Données projet'!$A$114,$BV$205^A87,IF(A87='Données projet'!$A$114,'Données projet'!$B$114,BY86+BX87-CG86)))</f>
        <v>230.99999999999997</v>
      </c>
      <c r="BZ87" s="14">
        <f>BY87*VLOOKUP('Données projet'!$B$12,Paramètres!$A$1:$I$89,3,0)*VLOOKUP('Données projet'!$B$12,Paramètres!$A$1:$I$89,5,0)</f>
        <v>201.80159999999998</v>
      </c>
      <c r="CA87" s="14">
        <f t="shared" si="93"/>
        <v>50.139897992681668</v>
      </c>
      <c r="CB87" s="22">
        <f t="shared" si="64"/>
        <v>438.7981090039205</v>
      </c>
      <c r="CC87" s="62">
        <f t="shared" si="65"/>
        <v>732.13144233725382</v>
      </c>
      <c r="CD87" s="62">
        <f ca="1">AVERAGE(OFFSET($CC$3,0,0,'Données projet'!$E$12+1,1))-AVERAGE(OFFSET($H$3,0,0,'Données projet'!$E$12+1,1))</f>
        <v>327.62212115491479</v>
      </c>
      <c r="CE87" s="62">
        <f t="shared" si="94"/>
        <v>348.84706693879735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5.4992222709768139</v>
      </c>
      <c r="CM87" s="23">
        <f>EXP(-LN(2)/2)*CM86+(1-EXP(-LN(2)/2))/(LN(2)/2)*CG87*CJ87*VLOOKUP('Données projet'!$B$12,Paramètres!$A$1:$I$89,3,0)*0.475*44/12</f>
        <v>6.3395590374589944E-7</v>
      </c>
      <c r="CN87" s="24">
        <f t="shared" si="66"/>
        <v>5.4992229049327177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4.1677594708744434E-14</v>
      </c>
      <c r="CV87" s="14">
        <f t="shared" si="95"/>
        <v>6.9326303456159188E-13</v>
      </c>
      <c r="CW87" s="22">
        <f t="shared" si="67"/>
        <v>1.2800215959791691E-12</v>
      </c>
      <c r="CX87" s="62">
        <f t="shared" si="68"/>
        <v>293.33333333333462</v>
      </c>
      <c r="CY87" s="62">
        <f ca="1">AVERAGE(OFFSET($CX$3,0,0,'Données projet'!$E$13+1,1))-AVERAGE(OFFSET($H$3,0,0,'Données projet'!$E$13+1,1))</f>
        <v>277.97613250285963</v>
      </c>
      <c r="CZ87" s="62">
        <f t="shared" si="96"/>
        <v>274.55710362891892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2.7521499903399156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2.7521499903399156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364.63511534965755</v>
      </c>
      <c r="T88" s="62">
        <f t="shared" si="88"/>
        <v>233.32640143610541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0.58739380073901248</v>
      </c>
      <c r="AB88" s="23">
        <f>EXP(-LN(2)/2)*AB87+(1-EXP(-LN(2)/2))/(LN(2)/2)*V88*Y88*VLOOKUP('Données projet'!$B$9,Paramètres!$A$1:$I$89,3,0)*0.475*44/12</f>
        <v>6.6114899036323814E-8</v>
      </c>
      <c r="AC88" s="24">
        <f t="shared" si="57"/>
        <v>0.58739386685391148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272.76600000000019</v>
      </c>
      <c r="AK88" s="14">
        <f t="shared" si="89"/>
        <v>65.435935630087627</v>
      </c>
      <c r="AL88" s="22">
        <f t="shared" si="58"/>
        <v>589.03503788906949</v>
      </c>
      <c r="AM88" s="62">
        <f t="shared" si="59"/>
        <v>882.36837122240286</v>
      </c>
      <c r="AN88" s="62">
        <f ca="1">AVERAGE(OFFSET($AM$3,0,0,'Données projet'!$E$10+1,1))-AVERAGE(OFFSET($H$3,0,0,'Données projet'!$E$10+1,1))</f>
        <v>403.82490501309815</v>
      </c>
      <c r="AO88" s="62">
        <f t="shared" si="90"/>
        <v>256.4377087753457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0.65828615600061791</v>
      </c>
      <c r="AW88" s="23">
        <f>EXP(-LN(2)/2)*AW87+(1-EXP(-LN(2)/2))/(LN(2)/2)*AQ88*AT88*VLOOKUP('Données projet'!$B$10,Paramètres!$A$1:$I$89,3,0)*0.475*44/12</f>
        <v>7.4094283402776696E-8</v>
      </c>
      <c r="AX88" s="23">
        <f t="shared" si="60"/>
        <v>0.65828623009490128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260.17680000000018</v>
      </c>
      <c r="BF88" s="14">
        <f t="shared" si="91"/>
        <v>62.760063080404755</v>
      </c>
      <c r="BG88" s="22">
        <f t="shared" si="61"/>
        <v>562.44836986503856</v>
      </c>
      <c r="BH88" s="62">
        <f t="shared" si="62"/>
        <v>855.78170319837182</v>
      </c>
      <c r="BI88" s="62">
        <f ca="1">AVERAGE(OFFSET($BH$3,0,0,'Données projet'!$E$11+1,1))-AVERAGE(OFFSET($H$3,0,0,'Données projet'!$E$11+1,1))</f>
        <v>387.04070351732537</v>
      </c>
      <c r="BJ88" s="62">
        <f t="shared" si="92"/>
        <v>246.54010105494137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0.62790371803135836</v>
      </c>
      <c r="BR88" s="23">
        <f>EXP(-LN(2)/2)*BR87+(1-EXP(-LN(2)/2))/(LN(2)/2)*BL88*BO88*VLOOKUP('Données projet'!$B$11,Paramètres!$A$1:$I$89,3,0)*0.475*44/12</f>
        <v>7.0674547245725489E-8</v>
      </c>
      <c r="BS88" s="24">
        <f t="shared" si="63"/>
        <v>0.62790378870590557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234</v>
      </c>
      <c r="BW88" s="13">
        <f>VLOOKUP(A88,'Données projet'!$A$113:$I$133,9,0)</f>
        <v>3</v>
      </c>
      <c r="BX88" s="13">
        <f t="array" ref="BX88">INDEX(BW:BW,MIN(IF(ISNUMBER(BW88:BW284),ROW(BW88:BW284),"")))</f>
        <v>3</v>
      </c>
      <c r="BY88" s="13">
        <f>IF('Données projet'!$A$114&gt;35,BY87+BX88-CG87,IF(A88&lt;'Données projet'!$A$114,$BV$205^A88,IF(A88='Données projet'!$A$114,'Données projet'!$B$114,BY87+BX88-CG87)))</f>
        <v>233.99999999999997</v>
      </c>
      <c r="BZ88" s="14">
        <f>BY88*VLOOKUP('Données projet'!$B$12,Paramètres!$A$1:$I$89,3,0)*VLOOKUP('Données projet'!$B$12,Paramètres!$A$1:$I$89,5,0)</f>
        <v>204.42239999999998</v>
      </c>
      <c r="CA88" s="14">
        <f t="shared" si="93"/>
        <v>50.714836797527262</v>
      </c>
      <c r="CB88" s="22">
        <f t="shared" si="64"/>
        <v>444.36402075569328</v>
      </c>
      <c r="CC88" s="62">
        <f t="shared" si="65"/>
        <v>737.69735408902659</v>
      </c>
      <c r="CD88" s="62">
        <f ca="1">AVERAGE(OFFSET($CC$3,0,0,'Données projet'!$E$12+1,1))-AVERAGE(OFFSET($H$3,0,0,'Données projet'!$E$12+1,1))</f>
        <v>327.62212115491479</v>
      </c>
      <c r="CE88" s="62">
        <f t="shared" si="94"/>
        <v>348.84706693879735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12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5.348845748785422</v>
      </c>
      <c r="CM88" s="23">
        <f>EXP(-LN(2)/2)*CM87+(1-EXP(-LN(2)/2))/(LN(2)/2)*CG88*CJ88*VLOOKUP('Données projet'!$B$12,Paramètres!$A$1:$I$89,3,0)*0.475*44/12</f>
        <v>4.4827451851197171E-7</v>
      </c>
      <c r="CN88" s="24">
        <f t="shared" si="66"/>
        <v>5.3488461970599408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4.1677594708744434E-14</v>
      </c>
      <c r="CV88" s="14">
        <f t="shared" si="95"/>
        <v>6.9326303456159188E-13</v>
      </c>
      <c r="CW88" s="22">
        <f t="shared" si="67"/>
        <v>1.2800215959791691E-12</v>
      </c>
      <c r="CX88" s="62">
        <f t="shared" si="68"/>
        <v>293.33333333333462</v>
      </c>
      <c r="CY88" s="62">
        <f ca="1">AVERAGE(OFFSET($CX$3,0,0,'Données projet'!$E$13+1,1))-AVERAGE(OFFSET($H$3,0,0,'Données projet'!$E$13+1,1))</f>
        <v>277.97613250285963</v>
      </c>
      <c r="CZ88" s="62">
        <f t="shared" si="96"/>
        <v>274.55710362891892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2.6981820076750913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2.6981820076750913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364.63511534965755</v>
      </c>
      <c r="T89" s="62">
        <f t="shared" si="88"/>
        <v>233.32640143610541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0.57133148636810671</v>
      </c>
      <c r="AB89" s="23">
        <f>EXP(-LN(2)/2)*AB88+(1-EXP(-LN(2)/2))/(LN(2)/2)*V89*Y89*VLOOKUP('Données projet'!$B$9,Paramètres!$A$1:$I$89,3,0)*0.475*44/12</f>
        <v>4.6750293446048505E-8</v>
      </c>
      <c r="AC89" s="24">
        <f t="shared" si="57"/>
        <v>0.57133153311840013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256.94760000000014</v>
      </c>
      <c r="AK89" s="14">
        <f t="shared" si="89"/>
        <v>62.071283104858303</v>
      </c>
      <c r="AL89" s="22">
        <f t="shared" si="58"/>
        <v>555.6245547409618</v>
      </c>
      <c r="AM89" s="62">
        <f t="shared" si="59"/>
        <v>848.95788807429517</v>
      </c>
      <c r="AN89" s="62">
        <f ca="1">AVERAGE(OFFSET($AM$3,0,0,'Données projet'!$E$10+1,1))-AVERAGE(OFFSET($H$3,0,0,'Données projet'!$E$10+1,1))</f>
        <v>403.82490501309815</v>
      </c>
      <c r="AO89" s="62">
        <f t="shared" si="90"/>
        <v>256.4377087753457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0.64028528644701654</v>
      </c>
      <c r="AW89" s="23">
        <f>EXP(-LN(2)/2)*AW88+(1-EXP(-LN(2)/2))/(LN(2)/2)*AQ89*AT89*VLOOKUP('Données projet'!$B$10,Paramètres!$A$1:$I$89,3,0)*0.475*44/12</f>
        <v>5.2392570241261261E-8</v>
      </c>
      <c r="AX89" s="23">
        <f t="shared" si="60"/>
        <v>0.64028533883958683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245.08848000000015</v>
      </c>
      <c r="BF89" s="14">
        <f t="shared" si="91"/>
        <v>59.533001333771189</v>
      </c>
      <c r="BG89" s="22">
        <f t="shared" si="61"/>
        <v>530.54907998965166</v>
      </c>
      <c r="BH89" s="62">
        <f t="shared" si="62"/>
        <v>823.88241332298503</v>
      </c>
      <c r="BI89" s="62">
        <f ca="1">AVERAGE(OFFSET($BH$3,0,0,'Données projet'!$E$11+1,1))-AVERAGE(OFFSET($H$3,0,0,'Données projet'!$E$11+1,1))</f>
        <v>387.04070351732537</v>
      </c>
      <c r="BJ89" s="62">
        <f t="shared" si="92"/>
        <v>246.54010105494137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0.61073365784176947</v>
      </c>
      <c r="BR89" s="23">
        <f>EXP(-LN(2)/2)*BR88+(1-EXP(-LN(2)/2))/(LN(2)/2)*BL89*BO89*VLOOKUP('Données projet'!$B$11,Paramètres!$A$1:$I$89,3,0)*0.475*44/12</f>
        <v>4.997445161474153E-8</v>
      </c>
      <c r="BS89" s="24">
        <f t="shared" si="63"/>
        <v>0.61073370781622105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2.8</v>
      </c>
      <c r="BY89" s="13">
        <f>IF('Données projet'!$A$114&gt;35,BY88+BX89-CG88,IF(A89&lt;'Données projet'!$A$114,$BV$205^A89,IF(A89='Données projet'!$A$114,'Données projet'!$B$114,BY88+BX89-CG88)))</f>
        <v>224.79999999999998</v>
      </c>
      <c r="BZ89" s="14">
        <f>BY89*VLOOKUP('Données projet'!$B$12,Paramètres!$A$1:$I$89,3,0)*VLOOKUP('Données projet'!$B$12,Paramètres!$A$1:$I$89,5,0)</f>
        <v>196.38528000000002</v>
      </c>
      <c r="CA89" s="14">
        <f t="shared" si="93"/>
        <v>48.948920378863868</v>
      </c>
      <c r="CB89" s="22">
        <f t="shared" si="64"/>
        <v>427.29039899318792</v>
      </c>
      <c r="CC89" s="62">
        <f t="shared" si="65"/>
        <v>720.62373232652124</v>
      </c>
      <c r="CD89" s="62">
        <f ca="1">AVERAGE(OFFSET($CC$3,0,0,'Données projet'!$E$12+1,1))-AVERAGE(OFFSET($H$3,0,0,'Données projet'!$E$12+1,1))</f>
        <v>327.62212115491479</v>
      </c>
      <c r="CE89" s="62">
        <f t="shared" si="94"/>
        <v>348.84706693879735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5.2025812805013114</v>
      </c>
      <c r="CM89" s="23">
        <f>EXP(-LN(2)/2)*CM88+(1-EXP(-LN(2)/2))/(LN(2)/2)*CG89*CJ89*VLOOKUP('Données projet'!$B$12,Paramètres!$A$1:$I$89,3,0)*0.475*44/12</f>
        <v>3.1697795187294972E-7</v>
      </c>
      <c r="CN89" s="24">
        <f t="shared" si="66"/>
        <v>5.2025815974792629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4.1677594708744434E-14</v>
      </c>
      <c r="CV89" s="14">
        <f t="shared" si="95"/>
        <v>6.9326303456159188E-13</v>
      </c>
      <c r="CW89" s="22">
        <f t="shared" si="67"/>
        <v>1.2800215959791691E-12</v>
      </c>
      <c r="CX89" s="62">
        <f t="shared" si="68"/>
        <v>293.33333333333462</v>
      </c>
      <c r="CY89" s="62">
        <f ca="1">AVERAGE(OFFSET($CX$3,0,0,'Données projet'!$E$13+1,1))-AVERAGE(OFFSET($H$3,0,0,'Données projet'!$E$13+1,1))</f>
        <v>277.97613250285963</v>
      </c>
      <c r="CZ89" s="62">
        <f t="shared" si="96"/>
        <v>274.55710362891892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2.6452723042331052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2.6452723042331052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364.63511534965755</v>
      </c>
      <c r="T90" s="62">
        <f t="shared" si="88"/>
        <v>233.32640143610541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0.55570839682835371</v>
      </c>
      <c r="AB90" s="23">
        <f>EXP(-LN(2)/2)*AB89+(1-EXP(-LN(2)/2))/(LN(2)/2)*V90*Y90*VLOOKUP('Données projet'!$B$9,Paramètres!$A$1:$I$89,3,0)*0.475*44/12</f>
        <v>3.3057449518161907E-8</v>
      </c>
      <c r="AC90" s="24">
        <f t="shared" si="57"/>
        <v>0.55570842988580327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262.42320000000012</v>
      </c>
      <c r="AK90" s="14">
        <f t="shared" si="89"/>
        <v>63.23862706204779</v>
      </c>
      <c r="AL90" s="22">
        <f t="shared" si="58"/>
        <v>567.19434879973335</v>
      </c>
      <c r="AM90" s="62">
        <f t="shared" si="59"/>
        <v>860.52768213306672</v>
      </c>
      <c r="AN90" s="62">
        <f ca="1">AVERAGE(OFFSET($AM$3,0,0,'Données projet'!$E$10+1,1))-AVERAGE(OFFSET($H$3,0,0,'Données projet'!$E$10+1,1))</f>
        <v>403.82490501309815</v>
      </c>
      <c r="AO90" s="62">
        <f t="shared" si="90"/>
        <v>256.4377087753457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0.62277665161798301</v>
      </c>
      <c r="AW90" s="23">
        <f>EXP(-LN(2)/2)*AW89+(1-EXP(-LN(2)/2))/(LN(2)/2)*AQ90*AT90*VLOOKUP('Données projet'!$B$10,Paramètres!$A$1:$I$89,3,0)*0.475*44/12</f>
        <v>3.7047141701388348E-8</v>
      </c>
      <c r="AX90" s="23">
        <f t="shared" si="60"/>
        <v>0.6227766886651247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250.31136000000012</v>
      </c>
      <c r="BF90" s="14">
        <f t="shared" si="91"/>
        <v>60.652609079641877</v>
      </c>
      <c r="BG90" s="22">
        <f t="shared" si="61"/>
        <v>541.59557948037639</v>
      </c>
      <c r="BH90" s="62">
        <f t="shared" si="62"/>
        <v>834.92891281370976</v>
      </c>
      <c r="BI90" s="62">
        <f ca="1">AVERAGE(OFFSET($BH$3,0,0,'Données projet'!$E$11+1,1))-AVERAGE(OFFSET($H$3,0,0,'Données projet'!$E$11+1,1))</f>
        <v>387.04070351732537</v>
      </c>
      <c r="BJ90" s="62">
        <f t="shared" si="92"/>
        <v>246.54010105494137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0.59403311385099911</v>
      </c>
      <c r="BR90" s="23">
        <f>EXP(-LN(2)/2)*BR89+(1-EXP(-LN(2)/2))/(LN(2)/2)*BL90*BO90*VLOOKUP('Données projet'!$B$11,Paramètres!$A$1:$I$89,3,0)*0.475*44/12</f>
        <v>3.5337273622862745E-8</v>
      </c>
      <c r="BS90" s="24">
        <f t="shared" si="63"/>
        <v>0.59403314918827277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2.8</v>
      </c>
      <c r="BY90" s="13">
        <f>IF('Données projet'!$A$114&gt;35,BY89+BX90-CG89,IF(A90&lt;'Données projet'!$A$114,$BV$205^A90,IF(A90='Données projet'!$A$114,'Données projet'!$B$114,BY89+BX90-CG89)))</f>
        <v>227.6</v>
      </c>
      <c r="BZ90" s="14">
        <f>BY90*VLOOKUP('Données projet'!$B$12,Paramètres!$A$1:$I$89,3,0)*VLOOKUP('Données projet'!$B$12,Paramètres!$A$1:$I$89,5,0)</f>
        <v>198.83136000000002</v>
      </c>
      <c r="CA90" s="14">
        <f t="shared" si="93"/>
        <v>49.48724849224233</v>
      </c>
      <c r="CB90" s="22">
        <f t="shared" si="64"/>
        <v>432.4882431239887</v>
      </c>
      <c r="CC90" s="62">
        <f t="shared" si="65"/>
        <v>725.82157645732195</v>
      </c>
      <c r="CD90" s="62">
        <f ca="1">AVERAGE(OFFSET($CC$3,0,0,'Données projet'!$E$12+1,1))-AVERAGE(OFFSET($H$3,0,0,'Données projet'!$E$12+1,1))</f>
        <v>327.62212115491479</v>
      </c>
      <c r="CE90" s="62">
        <f t="shared" si="94"/>
        <v>348.84706693879735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5.0603164217941439</v>
      </c>
      <c r="CM90" s="23">
        <f>EXP(-LN(2)/2)*CM89+(1-EXP(-LN(2)/2))/(LN(2)/2)*CG90*CJ90*VLOOKUP('Données projet'!$B$12,Paramètres!$A$1:$I$89,3,0)*0.475*44/12</f>
        <v>2.2413725925598585E-7</v>
      </c>
      <c r="CN90" s="24">
        <f t="shared" si="66"/>
        <v>5.0603166459314028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4.1677594708744434E-14</v>
      </c>
      <c r="CV90" s="14">
        <f t="shared" si="95"/>
        <v>6.9326303456159188E-13</v>
      </c>
      <c r="CW90" s="22">
        <f t="shared" si="67"/>
        <v>1.2800215959791691E-12</v>
      </c>
      <c r="CX90" s="62">
        <f t="shared" si="68"/>
        <v>293.33333333333462</v>
      </c>
      <c r="CY90" s="62">
        <f ca="1">AVERAGE(OFFSET($CX$3,0,0,'Données projet'!$E$13+1,1))-AVERAGE(OFFSET($H$3,0,0,'Données projet'!$E$13+1,1))</f>
        <v>277.97613250285963</v>
      </c>
      <c r="CZ90" s="62">
        <f t="shared" si="96"/>
        <v>274.55710362891892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2.5934001278038838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2.5934001278038838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364.63511534965755</v>
      </c>
      <c r="T91" s="62">
        <f t="shared" si="88"/>
        <v>233.32640143610541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0.54051252149364792</v>
      </c>
      <c r="AB91" s="23">
        <f>EXP(-LN(2)/2)*AB90+(1-EXP(-LN(2)/2))/(LN(2)/2)*V91*Y91*VLOOKUP('Données projet'!$B$9,Paramètres!$A$1:$I$89,3,0)*0.475*44/12</f>
        <v>2.3375146723024253E-8</v>
      </c>
      <c r="AC91" s="24">
        <f t="shared" si="57"/>
        <v>0.54051254486879463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267.89880000000011</v>
      </c>
      <c r="AK91" s="14">
        <f t="shared" si="89"/>
        <v>64.403139057834565</v>
      </c>
      <c r="AL91" s="22">
        <f t="shared" si="58"/>
        <v>578.75921052572869</v>
      </c>
      <c r="AM91" s="62">
        <f t="shared" si="59"/>
        <v>872.09254385906206</v>
      </c>
      <c r="AN91" s="62">
        <f ca="1">AVERAGE(OFFSET($AM$3,0,0,'Données projet'!$E$10+1,1))-AVERAGE(OFFSET($H$3,0,0,'Données projet'!$E$10+1,1))</f>
        <v>403.82490501309815</v>
      </c>
      <c r="AO91" s="62">
        <f t="shared" si="90"/>
        <v>256.4377087753457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0.60574679132908849</v>
      </c>
      <c r="AW91" s="23">
        <f>EXP(-LN(2)/2)*AW90+(1-EXP(-LN(2)/2))/(LN(2)/2)*AQ91*AT91*VLOOKUP('Données projet'!$B$10,Paramètres!$A$1:$I$89,3,0)*0.475*44/12</f>
        <v>2.6196285120630631E-8</v>
      </c>
      <c r="AX91" s="23">
        <f t="shared" si="60"/>
        <v>0.60574681752537363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255.5342400000001</v>
      </c>
      <c r="BF91" s="14">
        <f t="shared" si="91"/>
        <v>61.769500671543469</v>
      </c>
      <c r="BG91" s="22">
        <f t="shared" si="61"/>
        <v>552.63734833627166</v>
      </c>
      <c r="BH91" s="62">
        <f t="shared" si="62"/>
        <v>845.97068166960503</v>
      </c>
      <c r="BI91" s="62">
        <f ca="1">AVERAGE(OFFSET($BH$3,0,0,'Données projet'!$E$11+1,1))-AVERAGE(OFFSET($H$3,0,0,'Données projet'!$E$11+1,1))</f>
        <v>387.04070351732537</v>
      </c>
      <c r="BJ91" s="62">
        <f t="shared" si="92"/>
        <v>246.54010105494137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0.57778924711389978</v>
      </c>
      <c r="BR91" s="23">
        <f>EXP(-LN(2)/2)*BR90+(1-EXP(-LN(2)/2))/(LN(2)/2)*BL91*BO91*VLOOKUP('Données projet'!$B$11,Paramètres!$A$1:$I$89,3,0)*0.475*44/12</f>
        <v>2.4987225807370765E-8</v>
      </c>
      <c r="BS91" s="24">
        <f t="shared" si="63"/>
        <v>0.57778927210112563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2.8</v>
      </c>
      <c r="BY91" s="13">
        <f>IF('Données projet'!$A$114&gt;35,BY90+BX91-CG90,IF(A91&lt;'Données projet'!$A$114,$BV$205^A91,IF(A91='Données projet'!$A$114,'Données projet'!$B$114,BY90+BX91-CG90)))</f>
        <v>230.4</v>
      </c>
      <c r="BZ91" s="14">
        <f>BY91*VLOOKUP('Données projet'!$B$12,Paramètres!$A$1:$I$89,3,0)*VLOOKUP('Données projet'!$B$12,Paramètres!$A$1:$I$89,5,0)</f>
        <v>201.27744000000004</v>
      </c>
      <c r="CA91" s="14">
        <f t="shared" si="93"/>
        <v>50.024806258462775</v>
      </c>
      <c r="CB91" s="22">
        <f t="shared" si="64"/>
        <v>437.68474556682276</v>
      </c>
      <c r="CC91" s="62">
        <f t="shared" si="65"/>
        <v>731.01807890015607</v>
      </c>
      <c r="CD91" s="62">
        <f ca="1">AVERAGE(OFFSET($CC$3,0,0,'Données projet'!$E$12+1,1))-AVERAGE(OFFSET($H$3,0,0,'Données projet'!$E$12+1,1))</f>
        <v>327.62212115491479</v>
      </c>
      <c r="CE91" s="62">
        <f t="shared" si="94"/>
        <v>348.84706693879735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4.921941803129708</v>
      </c>
      <c r="CM91" s="23">
        <f>EXP(-LN(2)/2)*CM90+(1-EXP(-LN(2)/2))/(LN(2)/2)*CG91*CJ91*VLOOKUP('Données projet'!$B$12,Paramètres!$A$1:$I$89,3,0)*0.475*44/12</f>
        <v>1.5848897593647486E-7</v>
      </c>
      <c r="CN91" s="24">
        <f t="shared" si="66"/>
        <v>4.9219419616186837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4.1677594708744434E-14</v>
      </c>
      <c r="CV91" s="14">
        <f t="shared" si="95"/>
        <v>6.9326303456159188E-13</v>
      </c>
      <c r="CW91" s="22">
        <f t="shared" si="67"/>
        <v>1.2800215959791691E-12</v>
      </c>
      <c r="CX91" s="62">
        <f t="shared" si="68"/>
        <v>293.33333333333462</v>
      </c>
      <c r="CY91" s="62">
        <f ca="1">AVERAGE(OFFSET($CX$3,0,0,'Données projet'!$E$13+1,1))-AVERAGE(OFFSET($H$3,0,0,'Données projet'!$E$13+1,1))</f>
        <v>277.97613250285963</v>
      </c>
      <c r="CZ91" s="62">
        <f t="shared" si="96"/>
        <v>274.55710362891892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2.542545133115536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2.542545133115536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364.63511534965755</v>
      </c>
      <c r="T92" s="62">
        <f t="shared" si="88"/>
        <v>233.32640143610541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0.52573217816908602</v>
      </c>
      <c r="AB92" s="23">
        <f>EXP(-LN(2)/2)*AB91+(1-EXP(-LN(2)/2))/(LN(2)/2)*V92*Y92*VLOOKUP('Données projet'!$B$9,Paramètres!$A$1:$I$89,3,0)*0.475*44/12</f>
        <v>1.6528724759080954E-8</v>
      </c>
      <c r="AC92" s="24">
        <f t="shared" si="57"/>
        <v>0.52573219469781074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273.37440000000009</v>
      </c>
      <c r="AK92" s="14">
        <f t="shared" si="89"/>
        <v>65.564883644654444</v>
      </c>
      <c r="AL92" s="22">
        <f t="shared" si="58"/>
        <v>590.31925234777327</v>
      </c>
      <c r="AM92" s="62">
        <f t="shared" si="59"/>
        <v>883.65258568110653</v>
      </c>
      <c r="AN92" s="62">
        <f ca="1">AVERAGE(OFFSET($AM$3,0,0,'Données projet'!$E$10+1,1))-AVERAGE(OFFSET($H$3,0,0,'Données projet'!$E$10+1,1))</f>
        <v>403.82490501309815</v>
      </c>
      <c r="AO92" s="62">
        <f t="shared" si="90"/>
        <v>256.4377087753457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0.58918261346535528</v>
      </c>
      <c r="AW92" s="23">
        <f>EXP(-LN(2)/2)*AW91+(1-EXP(-LN(2)/2))/(LN(2)/2)*AQ92*AT92*VLOOKUP('Données projet'!$B$10,Paramètres!$A$1:$I$89,3,0)*0.475*44/12</f>
        <v>1.8523570850694174E-8</v>
      </c>
      <c r="AX92" s="23">
        <f t="shared" si="60"/>
        <v>0.58918263198892618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260.7571200000001</v>
      </c>
      <c r="BF92" s="14">
        <f t="shared" si="91"/>
        <v>62.883738022168423</v>
      </c>
      <c r="BG92" s="22">
        <f t="shared" si="61"/>
        <v>563.67449438861013</v>
      </c>
      <c r="BH92" s="62">
        <f t="shared" si="62"/>
        <v>857.00782772194339</v>
      </c>
      <c r="BI92" s="62">
        <f ca="1">AVERAGE(OFFSET($BH$3,0,0,'Données projet'!$E$11+1,1))-AVERAGE(OFFSET($H$3,0,0,'Données projet'!$E$11+1,1))</f>
        <v>387.04070351732537</v>
      </c>
      <c r="BJ92" s="62">
        <f t="shared" si="92"/>
        <v>246.54010105494137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0.56198956976695424</v>
      </c>
      <c r="BR92" s="23">
        <f>EXP(-LN(2)/2)*BR91+(1-EXP(-LN(2)/2))/(LN(2)/2)*BL92*BO92*VLOOKUP('Données projet'!$B$11,Paramètres!$A$1:$I$89,3,0)*0.475*44/12</f>
        <v>1.7668636811431372E-8</v>
      </c>
      <c r="BS92" s="24">
        <f t="shared" si="63"/>
        <v>0.56198958743559102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2.8</v>
      </c>
      <c r="BY92" s="13">
        <f>IF('Données projet'!$A$114&gt;35,BY91+BX92-CG91,IF(A92&lt;'Données projet'!$A$114,$BV$205^A92,IF(A92='Données projet'!$A$114,'Données projet'!$B$114,BY91+BX92-CG91)))</f>
        <v>233.20000000000002</v>
      </c>
      <c r="BZ92" s="14">
        <f>BY92*VLOOKUP('Données projet'!$B$12,Paramètres!$A$1:$I$89,3,0)*VLOOKUP('Données projet'!$B$12,Paramètres!$A$1:$I$89,5,0)</f>
        <v>203.72352000000004</v>
      </c>
      <c r="CA92" s="14">
        <f t="shared" si="93"/>
        <v>50.561604122231515</v>
      </c>
      <c r="CB92" s="22">
        <f t="shared" si="64"/>
        <v>442.87992451288659</v>
      </c>
      <c r="CC92" s="62">
        <f t="shared" si="65"/>
        <v>736.2132578462199</v>
      </c>
      <c r="CD92" s="62">
        <f ca="1">AVERAGE(OFFSET($CC$3,0,0,'Données projet'!$E$12+1,1))-AVERAGE(OFFSET($H$3,0,0,'Données projet'!$E$12+1,1))</f>
        <v>327.62212115491479</v>
      </c>
      <c r="CE92" s="62">
        <f t="shared" si="94"/>
        <v>348.84706693879735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4.7873510456894559</v>
      </c>
      <c r="CM92" s="23">
        <f>EXP(-LN(2)/2)*CM91+(1-EXP(-LN(2)/2))/(LN(2)/2)*CG92*CJ92*VLOOKUP('Données projet'!$B$12,Paramètres!$A$1:$I$89,3,0)*0.475*44/12</f>
        <v>1.1206862962799293E-7</v>
      </c>
      <c r="CN92" s="24">
        <f t="shared" si="66"/>
        <v>4.7873511577580858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4.1677594708744434E-14</v>
      </c>
      <c r="CV92" s="14">
        <f t="shared" si="95"/>
        <v>6.9326303456159188E-13</v>
      </c>
      <c r="CW92" s="22">
        <f t="shared" si="67"/>
        <v>1.2800215959791691E-12</v>
      </c>
      <c r="CX92" s="62">
        <f t="shared" si="68"/>
        <v>293.33333333333462</v>
      </c>
      <c r="CY92" s="62">
        <f ca="1">AVERAGE(OFFSET($CX$3,0,0,'Données projet'!$E$13+1,1))-AVERAGE(OFFSET($H$3,0,0,'Données projet'!$E$13+1,1))</f>
        <v>277.97613250285963</v>
      </c>
      <c r="CZ92" s="62">
        <f t="shared" si="96"/>
        <v>274.55710362891892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2.492687373854543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2.492687373854543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364.63511534965755</v>
      </c>
      <c r="T93" s="62">
        <f t="shared" si="88"/>
        <v>233.32640143610541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0.51135600410999871</v>
      </c>
      <c r="AB93" s="23">
        <f>EXP(-LN(2)/2)*AB92+(1-EXP(-LN(2)/2))/(LN(2)/2)*V93*Y93*VLOOKUP('Données projet'!$B$9,Paramètres!$A$1:$I$89,3,0)*0.475*44/12</f>
        <v>1.1687573361512126E-8</v>
      </c>
      <c r="AC93" s="24">
        <f t="shared" si="57"/>
        <v>0.51135601579757206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278.85000000000008</v>
      </c>
      <c r="AK93" s="14">
        <f t="shared" si="89"/>
        <v>66.723922641152967</v>
      </c>
      <c r="AL93" s="22">
        <f t="shared" si="58"/>
        <v>601.87458193334146</v>
      </c>
      <c r="AM93" s="62">
        <f t="shared" si="59"/>
        <v>895.20791526667472</v>
      </c>
      <c r="AN93" s="62">
        <f ca="1">AVERAGE(OFFSET($AM$3,0,0,'Données projet'!$E$10+1,1))-AVERAGE(OFFSET($H$3,0,0,'Données projet'!$E$10+1,1))</f>
        <v>403.82490501309815</v>
      </c>
      <c r="AO93" s="62">
        <f t="shared" si="90"/>
        <v>256.4377087753457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0.57307138391637813</v>
      </c>
      <c r="AW93" s="23">
        <f>EXP(-LN(2)/2)*AW92+(1-EXP(-LN(2)/2))/(LN(2)/2)*AQ93*AT93*VLOOKUP('Données projet'!$B$10,Paramètres!$A$1:$I$89,3,0)*0.475*44/12</f>
        <v>1.3098142560315315E-8</v>
      </c>
      <c r="AX93" s="23">
        <f t="shared" si="60"/>
        <v>0.5730713970145207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265.98000000000008</v>
      </c>
      <c r="BF93" s="14">
        <f t="shared" si="91"/>
        <v>63.995380422211646</v>
      </c>
      <c r="BG93" s="22">
        <f t="shared" si="61"/>
        <v>574.7071209020188</v>
      </c>
      <c r="BH93" s="62">
        <f t="shared" si="62"/>
        <v>868.04045423535217</v>
      </c>
      <c r="BI93" s="62">
        <f ca="1">AVERAGE(OFFSET($BH$3,0,0,'Données projet'!$E$11+1,1))-AVERAGE(OFFSET($H$3,0,0,'Données projet'!$E$11+1,1))</f>
        <v>387.04070351732537</v>
      </c>
      <c r="BJ93" s="62">
        <f t="shared" si="92"/>
        <v>246.54010105494137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0.54662193542792981</v>
      </c>
      <c r="BR93" s="23">
        <f>EXP(-LN(2)/2)*BR92+(1-EXP(-LN(2)/2))/(LN(2)/2)*BL93*BO93*VLOOKUP('Données projet'!$B$11,Paramètres!$A$1:$I$89,3,0)*0.475*44/12</f>
        <v>1.2493612903685382E-8</v>
      </c>
      <c r="BS93" s="24">
        <f t="shared" si="63"/>
        <v>0.54662194792154273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236</v>
      </c>
      <c r="BW93" s="13">
        <f>VLOOKUP(A93,'Données projet'!$A$113:$I$133,9,0)</f>
        <v>2.8</v>
      </c>
      <c r="BX93" s="13">
        <f t="array" ref="BX93">INDEX(BW:BW,MIN(IF(ISNUMBER(BW93:BW289),ROW(BW93:BW289),"")))</f>
        <v>2.8</v>
      </c>
      <c r="BY93" s="13">
        <f>IF('Données projet'!$A$114&gt;35,BY92+BX93-CG92,IF(A93&lt;'Données projet'!$A$114,$BV$205^A93,IF(A93='Données projet'!$A$114,'Données projet'!$B$114,BY92+BX93-CG92)))</f>
        <v>236.00000000000003</v>
      </c>
      <c r="BZ93" s="14">
        <f>BY93*VLOOKUP('Données projet'!$B$12,Paramètres!$A$1:$I$89,3,0)*VLOOKUP('Données projet'!$B$12,Paramètres!$A$1:$I$89,5,0)</f>
        <v>206.16960000000006</v>
      </c>
      <c r="CA93" s="14">
        <f t="shared" si="93"/>
        <v>51.097652263007333</v>
      </c>
      <c r="CB93" s="22">
        <f t="shared" si="64"/>
        <v>448.07379769140448</v>
      </c>
      <c r="CC93" s="62">
        <f t="shared" si="65"/>
        <v>741.40713102473774</v>
      </c>
      <c r="CD93" s="62">
        <f ca="1">AVERAGE(OFFSET($CC$3,0,0,'Données projet'!$E$12+1,1))-AVERAGE(OFFSET($H$3,0,0,'Données projet'!$E$12+1,1))</f>
        <v>327.62212115491479</v>
      </c>
      <c r="CE93" s="62">
        <f t="shared" si="94"/>
        <v>348.84706693879735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236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4.6564406795892275</v>
      </c>
      <c r="CM93" s="23">
        <f>EXP(-LN(2)/2)*CM92+(1-EXP(-LN(2)/2))/(LN(2)/2)*CG93*CJ93*VLOOKUP('Données projet'!$B$12,Paramètres!$A$1:$I$89,3,0)*0.475*44/12</f>
        <v>7.9244487968237431E-8</v>
      </c>
      <c r="CN93" s="24">
        <f t="shared" si="66"/>
        <v>4.6564407588337158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4.1677594708744434E-14</v>
      </c>
      <c r="CV93" s="14">
        <f t="shared" si="95"/>
        <v>6.9326303456159188E-13</v>
      </c>
      <c r="CW93" s="22">
        <f t="shared" si="67"/>
        <v>1.2800215959791691E-12</v>
      </c>
      <c r="CX93" s="62">
        <f t="shared" si="68"/>
        <v>293.33333333333462</v>
      </c>
      <c r="CY93" s="62">
        <f ca="1">AVERAGE(OFFSET($CX$3,0,0,'Données projet'!$E$13+1,1))-AVERAGE(OFFSET($H$3,0,0,'Données projet'!$E$13+1,1))</f>
        <v>277.97613250285963</v>
      </c>
      <c r="CZ93" s="62">
        <f t="shared" si="96"/>
        <v>274.55710362891892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2.4438072948424274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2.4438072948424274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364.63511534965755</v>
      </c>
      <c r="T94" s="62">
        <f t="shared" si="88"/>
        <v>233.32640143610541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0.49737294728656728</v>
      </c>
      <c r="AB94" s="23">
        <f>EXP(-LN(2)/2)*AB93+(1-EXP(-LN(2)/2))/(LN(2)/2)*V94*Y94*VLOOKUP('Données projet'!$B$9,Paramètres!$A$1:$I$89,3,0)*0.475*44/12</f>
        <v>8.2643623795404768E-9</v>
      </c>
      <c r="AC94" s="24">
        <f t="shared" si="57"/>
        <v>0.49737295555092964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262.62600000000009</v>
      </c>
      <c r="AK94" s="14">
        <f t="shared" si="89"/>
        <v>63.281807230823453</v>
      </c>
      <c r="AL94" s="22">
        <f t="shared" si="58"/>
        <v>567.622764260351</v>
      </c>
      <c r="AM94" s="62">
        <f t="shared" si="59"/>
        <v>860.95609759368426</v>
      </c>
      <c r="AN94" s="62">
        <f ca="1">AVERAGE(OFFSET($AM$3,0,0,'Données projet'!$E$10+1,1))-AVERAGE(OFFSET($H$3,0,0,'Données projet'!$E$10+1,1))</f>
        <v>403.82490501309815</v>
      </c>
      <c r="AO94" s="62">
        <f t="shared" si="90"/>
        <v>256.4377087753457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0.55740071678667047</v>
      </c>
      <c r="AW94" s="23">
        <f>EXP(-LN(2)/2)*AW93+(1-EXP(-LN(2)/2))/(LN(2)/2)*AQ94*AT94*VLOOKUP('Données projet'!$B$10,Paramètres!$A$1:$I$89,3,0)*0.475*44/12</f>
        <v>9.261785425347087E-9</v>
      </c>
      <c r="AX94" s="23">
        <f t="shared" si="60"/>
        <v>0.55740072604845592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250.50480000000007</v>
      </c>
      <c r="BF94" s="14">
        <f t="shared" si="91"/>
        <v>60.694023481225415</v>
      </c>
      <c r="BG94" s="22">
        <f t="shared" si="61"/>
        <v>542.00461756313427</v>
      </c>
      <c r="BH94" s="62">
        <f t="shared" si="62"/>
        <v>835.33795089646765</v>
      </c>
      <c r="BI94" s="62">
        <f ca="1">AVERAGE(OFFSET($BH$3,0,0,'Données projet'!$E$11+1,1))-AVERAGE(OFFSET($H$3,0,0,'Données projet'!$E$11+1,1))</f>
        <v>387.04070351732537</v>
      </c>
      <c r="BJ94" s="62">
        <f t="shared" si="92"/>
        <v>246.54010105494137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0.53167452985805486</v>
      </c>
      <c r="BR94" s="23">
        <f>EXP(-LN(2)/2)*BR93+(1-EXP(-LN(2)/2))/(LN(2)/2)*BL94*BO94*VLOOKUP('Données projet'!$B$11,Paramètres!$A$1:$I$89,3,0)*0.475*44/12</f>
        <v>8.8343184057156862E-9</v>
      </c>
      <c r="BS94" s="24">
        <f t="shared" si="63"/>
        <v>0.53167453869237324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2.8421709430404007E-14</v>
      </c>
      <c r="BZ94" s="14">
        <f>BY94*VLOOKUP('Données projet'!$B$12,Paramètres!$A$1:$I$89,3,0)*VLOOKUP('Données projet'!$B$12,Paramètres!$A$1:$I$89,5,0)</f>
        <v>2.4829205358400945E-14</v>
      </c>
      <c r="CA94" s="14">
        <f t="shared" si="93"/>
        <v>4.3867331143352915E-13</v>
      </c>
      <c r="CB94" s="22">
        <f t="shared" si="64"/>
        <v>8.0726688341261168E-13</v>
      </c>
      <c r="CC94" s="62">
        <f t="shared" si="65"/>
        <v>293.33333333333411</v>
      </c>
      <c r="CD94" s="62">
        <f ca="1">AVERAGE(OFFSET($CC$3,0,0,'Données projet'!$E$12+1,1))-AVERAGE(OFFSET($H$3,0,0,'Données projet'!$E$12+1,1))</f>
        <v>327.62212115491479</v>
      </c>
      <c r="CE94" s="62">
        <f t="shared" si="94"/>
        <v>348.84706693879735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4.5291100643342874</v>
      </c>
      <c r="CM94" s="23">
        <f>EXP(-LN(2)/2)*CM93+(1-EXP(-LN(2)/2))/(LN(2)/2)*CG94*CJ94*VLOOKUP('Données projet'!$B$12,Paramètres!$A$1:$I$89,3,0)*0.475*44/12</f>
        <v>5.6034314813996464E-8</v>
      </c>
      <c r="CN94" s="24">
        <f t="shared" si="66"/>
        <v>4.5291101203686024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4.1677594708744434E-14</v>
      </c>
      <c r="CV94" s="14">
        <f t="shared" si="95"/>
        <v>6.9326303456159188E-13</v>
      </c>
      <c r="CW94" s="22">
        <f t="shared" si="67"/>
        <v>1.2800215959791691E-12</v>
      </c>
      <c r="CX94" s="62">
        <f t="shared" si="68"/>
        <v>293.33333333333462</v>
      </c>
      <c r="CY94" s="62">
        <f ca="1">AVERAGE(OFFSET($CX$3,0,0,'Données projet'!$E$13+1,1))-AVERAGE(OFFSET($H$3,0,0,'Données projet'!$E$13+1,1))</f>
        <v>277.97613250285963</v>
      </c>
      <c r="CZ94" s="62">
        <f t="shared" si="96"/>
        <v>274.55710362891892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2.3958857243658351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2.3958857243658351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364.63511534965755</v>
      </c>
      <c r="T95" s="62">
        <f t="shared" si="88"/>
        <v>233.32640143610541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0.48377225788730954</v>
      </c>
      <c r="AB95" s="23">
        <f>EXP(-LN(2)/2)*AB94+(1-EXP(-LN(2)/2))/(LN(2)/2)*V95*Y95*VLOOKUP('Données projet'!$B$9,Paramètres!$A$1:$I$89,3,0)*0.475*44/12</f>
        <v>5.8437866807560632E-9</v>
      </c>
      <c r="AC95" s="24">
        <f t="shared" si="57"/>
        <v>0.48377226373109622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267.69600000000008</v>
      </c>
      <c r="AK95" s="14">
        <f t="shared" si="89"/>
        <v>64.360058723585496</v>
      </c>
      <c r="AL95" s="22">
        <f t="shared" si="58"/>
        <v>578.33096894357823</v>
      </c>
      <c r="AM95" s="62">
        <f t="shared" si="59"/>
        <v>871.66430227691149</v>
      </c>
      <c r="AN95" s="62">
        <f ca="1">AVERAGE(OFFSET($AM$3,0,0,'Données projet'!$E$10+1,1))-AVERAGE(OFFSET($H$3,0,0,'Données projet'!$E$10+1,1))</f>
        <v>403.82490501309815</v>
      </c>
      <c r="AO95" s="62">
        <f t="shared" si="90"/>
        <v>256.4377087753457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0.54215856487370928</v>
      </c>
      <c r="AW95" s="23">
        <f>EXP(-LN(2)/2)*AW94+(1-EXP(-LN(2)/2))/(LN(2)/2)*AQ95*AT95*VLOOKUP('Données projet'!$B$10,Paramètres!$A$1:$I$89,3,0)*0.475*44/12</f>
        <v>6.5490712801576577E-9</v>
      </c>
      <c r="AX95" s="23">
        <f t="shared" si="60"/>
        <v>0.54215857142278057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255.34080000000006</v>
      </c>
      <c r="BF95" s="14">
        <f t="shared" si="91"/>
        <v>61.728182021951895</v>
      </c>
      <c r="BG95" s="22">
        <f t="shared" si="61"/>
        <v>552.22847702156628</v>
      </c>
      <c r="BH95" s="62">
        <f t="shared" si="62"/>
        <v>845.56181035489954</v>
      </c>
      <c r="BI95" s="62">
        <f ca="1">AVERAGE(OFFSET($BH$3,0,0,'Données projet'!$E$11+1,1))-AVERAGE(OFFSET($H$3,0,0,'Données projet'!$E$11+1,1))</f>
        <v>387.04070351732537</v>
      </c>
      <c r="BJ95" s="62">
        <f t="shared" si="92"/>
        <v>246.54010105494137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0.51713586187953797</v>
      </c>
      <c r="BR95" s="23">
        <f>EXP(-LN(2)/2)*BR94+(1-EXP(-LN(2)/2))/(LN(2)/2)*BL95*BO95*VLOOKUP('Données projet'!$B$11,Paramètres!$A$1:$I$89,3,0)*0.475*44/12</f>
        <v>6.2468064518426912E-9</v>
      </c>
      <c r="BS95" s="24">
        <f t="shared" si="63"/>
        <v>0.51713586812634438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2.8421709430404007E-14</v>
      </c>
      <c r="BZ95" s="14">
        <f>BY95*VLOOKUP('Données projet'!$B$12,Paramètres!$A$1:$I$89,3,0)*VLOOKUP('Données projet'!$B$12,Paramètres!$A$1:$I$89,5,0)</f>
        <v>2.4829205358400945E-14</v>
      </c>
      <c r="CA95" s="14">
        <f t="shared" si="93"/>
        <v>4.3867331143352915E-13</v>
      </c>
      <c r="CB95" s="22">
        <f t="shared" si="64"/>
        <v>8.0726688341261168E-13</v>
      </c>
      <c r="CC95" s="62">
        <f t="shared" si="65"/>
        <v>293.33333333333411</v>
      </c>
      <c r="CD95" s="62">
        <f ca="1">AVERAGE(OFFSET($CC$3,0,0,'Données projet'!$E$12+1,1))-AVERAGE(OFFSET($H$3,0,0,'Données projet'!$E$12+1,1))</f>
        <v>327.62212115491479</v>
      </c>
      <c r="CE95" s="62">
        <f t="shared" si="94"/>
        <v>348.84706693879735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4.4052613114495198</v>
      </c>
      <c r="CM95" s="23">
        <f>EXP(-LN(2)/2)*CM94+(1-EXP(-LN(2)/2))/(LN(2)/2)*CG95*CJ95*VLOOKUP('Données projet'!$B$12,Paramètres!$A$1:$I$89,3,0)*0.475*44/12</f>
        <v>3.9622243984118715E-8</v>
      </c>
      <c r="CN95" s="24">
        <f t="shared" si="66"/>
        <v>4.405261351071764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4.1677594708744434E-14</v>
      </c>
      <c r="CV95" s="14">
        <f t="shared" si="95"/>
        <v>6.9326303456159188E-13</v>
      </c>
      <c r="CW95" s="22">
        <f t="shared" si="67"/>
        <v>1.2800215959791691E-12</v>
      </c>
      <c r="CX95" s="62">
        <f t="shared" si="68"/>
        <v>293.33333333333462</v>
      </c>
      <c r="CY95" s="62">
        <f ca="1">AVERAGE(OFFSET($CX$3,0,0,'Données projet'!$E$13+1,1))-AVERAGE(OFFSET($H$3,0,0,'Données projet'!$E$13+1,1))</f>
        <v>277.97613250285963</v>
      </c>
      <c r="CZ95" s="62">
        <f t="shared" si="96"/>
        <v>274.55710362891892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2.3489038666570172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2.3489038666570172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364.63511534965755</v>
      </c>
      <c r="T96" s="62">
        <f t="shared" si="88"/>
        <v>233.32640143610541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0.47054348005490371</v>
      </c>
      <c r="AB96" s="23">
        <f>EXP(-LN(2)/2)*AB95+(1-EXP(-LN(2)/2))/(LN(2)/2)*V96*Y96*VLOOKUP('Données projet'!$B$9,Paramètres!$A$1:$I$89,3,0)*0.475*44/12</f>
        <v>4.1321811897702384E-9</v>
      </c>
      <c r="AC96" s="24">
        <f t="shared" si="57"/>
        <v>0.47054348418708491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272.76600000000008</v>
      </c>
      <c r="AK96" s="14">
        <f t="shared" si="89"/>
        <v>65.435935630087627</v>
      </c>
      <c r="AL96" s="22">
        <f t="shared" si="58"/>
        <v>589.03503788906926</v>
      </c>
      <c r="AM96" s="62">
        <f t="shared" si="59"/>
        <v>882.36837122240263</v>
      </c>
      <c r="AN96" s="62">
        <f ca="1">AVERAGE(OFFSET($AM$3,0,0,'Données projet'!$E$10+1,1))-AVERAGE(OFFSET($H$3,0,0,'Données projet'!$E$10+1,1))</f>
        <v>403.82490501309815</v>
      </c>
      <c r="AO96" s="62">
        <f t="shared" si="90"/>
        <v>256.4377087753457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0.52733321040635794</v>
      </c>
      <c r="AW96" s="23">
        <f>EXP(-LN(2)/2)*AW95+(1-EXP(-LN(2)/2))/(LN(2)/2)*AQ96*AT96*VLOOKUP('Données projet'!$B$10,Paramètres!$A$1:$I$89,3,0)*0.475*44/12</f>
        <v>4.6308927126735435E-9</v>
      </c>
      <c r="AX96" s="23">
        <f t="shared" si="60"/>
        <v>0.52733321503725061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260.17680000000007</v>
      </c>
      <c r="BF96" s="14">
        <f t="shared" si="91"/>
        <v>62.760063080404699</v>
      </c>
      <c r="BG96" s="22">
        <f t="shared" si="61"/>
        <v>562.44836986503822</v>
      </c>
      <c r="BH96" s="62">
        <f t="shared" si="62"/>
        <v>855.78170319837159</v>
      </c>
      <c r="BI96" s="62">
        <f ca="1">AVERAGE(OFFSET($BH$3,0,0,'Données projet'!$E$11+1,1))-AVERAGE(OFFSET($H$3,0,0,'Données projet'!$E$11+1,1))</f>
        <v>387.04070351732537</v>
      </c>
      <c r="BJ96" s="62">
        <f t="shared" si="92"/>
        <v>246.54010105494137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0.50299475454144893</v>
      </c>
      <c r="BR96" s="23">
        <f>EXP(-LN(2)/2)*BR95+(1-EXP(-LN(2)/2))/(LN(2)/2)*BL96*BO96*VLOOKUP('Données projet'!$B$11,Paramètres!$A$1:$I$89,3,0)*0.475*44/12</f>
        <v>4.4171592028578431E-9</v>
      </c>
      <c r="BS96" s="24">
        <f t="shared" si="63"/>
        <v>0.50299475895860812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2.8421709430404007E-14</v>
      </c>
      <c r="BZ96" s="14">
        <f>BY96*VLOOKUP('Données projet'!$B$12,Paramètres!$A$1:$I$89,3,0)*VLOOKUP('Données projet'!$B$12,Paramètres!$A$1:$I$89,5,0)</f>
        <v>2.4829205358400945E-14</v>
      </c>
      <c r="CA96" s="14">
        <f t="shared" si="93"/>
        <v>4.3867331143352915E-13</v>
      </c>
      <c r="CB96" s="22">
        <f t="shared" si="64"/>
        <v>8.0726688341261168E-13</v>
      </c>
      <c r="CC96" s="62">
        <f t="shared" si="65"/>
        <v>293.33333333333411</v>
      </c>
      <c r="CD96" s="62">
        <f ca="1">AVERAGE(OFFSET($CC$3,0,0,'Données projet'!$E$12+1,1))-AVERAGE(OFFSET($H$3,0,0,'Données projet'!$E$12+1,1))</f>
        <v>327.62212115491479</v>
      </c>
      <c r="CE96" s="62">
        <f t="shared" si="94"/>
        <v>348.84706693879735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4.2847992092253087</v>
      </c>
      <c r="CM96" s="23">
        <f>EXP(-LN(2)/2)*CM95+(1-EXP(-LN(2)/2))/(LN(2)/2)*CG96*CJ96*VLOOKUP('Données projet'!$B$12,Paramètres!$A$1:$I$89,3,0)*0.475*44/12</f>
        <v>2.8017157406998232E-8</v>
      </c>
      <c r="CN96" s="24">
        <f t="shared" si="66"/>
        <v>4.2847992372424661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4.1677594708744434E-14</v>
      </c>
      <c r="CV96" s="14">
        <f t="shared" si="95"/>
        <v>6.9326303456159188E-13</v>
      </c>
      <c r="CW96" s="22">
        <f t="shared" si="67"/>
        <v>1.2800215959791691E-12</v>
      </c>
      <c r="CX96" s="62">
        <f t="shared" si="68"/>
        <v>293.33333333333462</v>
      </c>
      <c r="CY96" s="62">
        <f ca="1">AVERAGE(OFFSET($CX$3,0,0,'Données projet'!$E$13+1,1))-AVERAGE(OFFSET($H$3,0,0,'Données projet'!$E$13+1,1))</f>
        <v>277.97613250285963</v>
      </c>
      <c r="CZ96" s="62">
        <f t="shared" si="96"/>
        <v>274.55710362891892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2.3028432945217654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2.3028432945217654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364.63511534965755</v>
      </c>
      <c r="T97" s="62">
        <f t="shared" si="88"/>
        <v>233.32640143610541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0.45767644384799622</v>
      </c>
      <c r="AB97" s="23">
        <f>EXP(-LN(2)/2)*AB96+(1-EXP(-LN(2)/2))/(LN(2)/2)*V97*Y97*VLOOKUP('Données projet'!$B$9,Paramètres!$A$1:$I$89,3,0)*0.475*44/12</f>
        <v>2.9218933403780316E-9</v>
      </c>
      <c r="AC97" s="24">
        <f t="shared" si="57"/>
        <v>0.45767644676988956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277.83600000000007</v>
      </c>
      <c r="AK97" s="14">
        <f t="shared" si="89"/>
        <v>66.509487177652318</v>
      </c>
      <c r="AL97" s="22">
        <f t="shared" si="58"/>
        <v>599.73505683441124</v>
      </c>
      <c r="AM97" s="62">
        <f t="shared" si="59"/>
        <v>893.06839016774461</v>
      </c>
      <c r="AN97" s="62">
        <f ca="1">AVERAGE(OFFSET($AM$3,0,0,'Données projet'!$E$10+1,1))-AVERAGE(OFFSET($H$3,0,0,'Données projet'!$E$10+1,1))</f>
        <v>403.82490501309815</v>
      </c>
      <c r="AO97" s="62">
        <f t="shared" si="90"/>
        <v>256.4377087753457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0.5129132560365478</v>
      </c>
      <c r="AW97" s="23">
        <f>EXP(-LN(2)/2)*AW96+(1-EXP(-LN(2)/2))/(LN(2)/2)*AQ97*AT97*VLOOKUP('Données projet'!$B$10,Paramètres!$A$1:$I$89,3,0)*0.475*44/12</f>
        <v>3.2745356400788288E-9</v>
      </c>
      <c r="AX97" s="23">
        <f t="shared" si="60"/>
        <v>0.51291325931108345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265.01280000000003</v>
      </c>
      <c r="BF97" s="14">
        <f t="shared" si="91"/>
        <v>63.789713870852786</v>
      </c>
      <c r="BG97" s="22">
        <f t="shared" si="61"/>
        <v>572.66437832506858</v>
      </c>
      <c r="BH97" s="62">
        <f t="shared" si="62"/>
        <v>865.99771165840184</v>
      </c>
      <c r="BI97" s="62">
        <f ca="1">AVERAGE(OFFSET($BH$3,0,0,'Données projet'!$E$11+1,1))-AVERAGE(OFFSET($H$3,0,0,'Données projet'!$E$11+1,1))</f>
        <v>387.04070351732537</v>
      </c>
      <c r="BJ97" s="62">
        <f t="shared" si="92"/>
        <v>246.54010105494137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0.48924033652716847</v>
      </c>
      <c r="BR97" s="23">
        <f>EXP(-LN(2)/2)*BR96+(1-EXP(-LN(2)/2))/(LN(2)/2)*BL97*BO97*VLOOKUP('Données projet'!$B$11,Paramètres!$A$1:$I$89,3,0)*0.475*44/12</f>
        <v>3.1234032259213456E-9</v>
      </c>
      <c r="BS97" s="24">
        <f t="shared" si="63"/>
        <v>0.48924033965057168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2.8421709430404007E-14</v>
      </c>
      <c r="BZ97" s="14">
        <f>BY97*VLOOKUP('Données projet'!$B$12,Paramètres!$A$1:$I$89,3,0)*VLOOKUP('Données projet'!$B$12,Paramètres!$A$1:$I$89,5,0)</f>
        <v>2.4829205358400945E-14</v>
      </c>
      <c r="CA97" s="14">
        <f t="shared" si="93"/>
        <v>4.3867331143352915E-13</v>
      </c>
      <c r="CB97" s="22">
        <f t="shared" si="64"/>
        <v>8.0726688341261168E-13</v>
      </c>
      <c r="CC97" s="62">
        <f t="shared" si="65"/>
        <v>293.33333333333411</v>
      </c>
      <c r="CD97" s="62">
        <f ca="1">AVERAGE(OFFSET($CC$3,0,0,'Données projet'!$E$12+1,1))-AVERAGE(OFFSET($H$3,0,0,'Données projet'!$E$12+1,1))</f>
        <v>327.62212115491479</v>
      </c>
      <c r="CE97" s="62">
        <f t="shared" si="94"/>
        <v>348.84706693879735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4.1676311495212452</v>
      </c>
      <c r="CM97" s="23">
        <f>EXP(-LN(2)/2)*CM96+(1-EXP(-LN(2)/2))/(LN(2)/2)*CG97*CJ97*VLOOKUP('Données projet'!$B$12,Paramètres!$A$1:$I$89,3,0)*0.475*44/12</f>
        <v>1.9811121992059358E-8</v>
      </c>
      <c r="CN97" s="24">
        <f t="shared" si="66"/>
        <v>4.1676311693323669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4.1677594708744434E-14</v>
      </c>
      <c r="CV97" s="14">
        <f t="shared" si="95"/>
        <v>6.9326303456159188E-13</v>
      </c>
      <c r="CW97" s="22">
        <f t="shared" si="67"/>
        <v>1.2800215959791691E-12</v>
      </c>
      <c r="CX97" s="62">
        <f t="shared" si="68"/>
        <v>293.33333333333462</v>
      </c>
      <c r="CY97" s="62">
        <f ca="1">AVERAGE(OFFSET($CX$3,0,0,'Données projet'!$E$13+1,1))-AVERAGE(OFFSET($H$3,0,0,'Données projet'!$E$13+1,1))</f>
        <v>277.97613250285963</v>
      </c>
      <c r="CZ97" s="62">
        <f t="shared" si="96"/>
        <v>274.55710362891892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2.2576859421119111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2.2576859421119111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364.63511534965755</v>
      </c>
      <c r="T98" s="62">
        <f t="shared" si="88"/>
        <v>233.32640143610541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0.44516125742281459</v>
      </c>
      <c r="AB98" s="23">
        <f>EXP(-LN(2)/2)*AB97+(1-EXP(-LN(2)/2))/(LN(2)/2)*V98*Y98*VLOOKUP('Données projet'!$B$9,Paramètres!$A$1:$I$89,3,0)*0.475*44/12</f>
        <v>2.0660905948851192E-9</v>
      </c>
      <c r="AC98" s="24">
        <f t="shared" si="57"/>
        <v>0.44516125948890517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282.90600000000006</v>
      </c>
      <c r="AK98" s="14">
        <f t="shared" si="89"/>
        <v>67.580760694123512</v>
      </c>
      <c r="AL98" s="22">
        <f t="shared" si="58"/>
        <v>610.43110820893185</v>
      </c>
      <c r="AM98" s="62">
        <f t="shared" si="59"/>
        <v>903.7644415422651</v>
      </c>
      <c r="AN98" s="62">
        <f ca="1">AVERAGE(OFFSET($AM$3,0,0,'Données projet'!$E$10+1,1))-AVERAGE(OFFSET($H$3,0,0,'Données projet'!$E$10+1,1))</f>
        <v>403.82490501309815</v>
      </c>
      <c r="AO98" s="62">
        <f t="shared" si="90"/>
        <v>256.4377087753457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0.49888761607729254</v>
      </c>
      <c r="AW98" s="23">
        <f>EXP(-LN(2)/2)*AW97+(1-EXP(-LN(2)/2))/(LN(2)/2)*AQ98*AT98*VLOOKUP('Données projet'!$B$10,Paramètres!$A$1:$I$89,3,0)*0.475*44/12</f>
        <v>2.3154463563367717E-9</v>
      </c>
      <c r="AX98" s="23">
        <f t="shared" si="60"/>
        <v>0.49888761839273887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269.8488000000001</v>
      </c>
      <c r="BF98" s="14">
        <f t="shared" si="91"/>
        <v>64.817179785761795</v>
      </c>
      <c r="BG98" s="22">
        <f t="shared" si="61"/>
        <v>582.87658146020192</v>
      </c>
      <c r="BH98" s="62">
        <f t="shared" si="62"/>
        <v>876.20991479353529</v>
      </c>
      <c r="BI98" s="62">
        <f ca="1">AVERAGE(OFFSET($BH$3,0,0,'Données projet'!$E$11+1,1))-AVERAGE(OFFSET($H$3,0,0,'Données projet'!$E$11+1,1))</f>
        <v>387.04070351732537</v>
      </c>
      <c r="BJ98" s="62">
        <f t="shared" si="92"/>
        <v>246.54010105494137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0.47586203379680192</v>
      </c>
      <c r="BR98" s="23">
        <f>EXP(-LN(2)/2)*BR97+(1-EXP(-LN(2)/2))/(LN(2)/2)*BL98*BO98*VLOOKUP('Données projet'!$B$11,Paramètres!$A$1:$I$89,3,0)*0.475*44/12</f>
        <v>2.2085796014289215E-9</v>
      </c>
      <c r="BS98" s="24">
        <f t="shared" si="63"/>
        <v>0.47586203600538152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2.8421709430404007E-14</v>
      </c>
      <c r="BZ98" s="14">
        <f>BY98*VLOOKUP('Données projet'!$B$12,Paramètres!$A$1:$I$89,3,0)*VLOOKUP('Données projet'!$B$12,Paramètres!$A$1:$I$89,5,0)</f>
        <v>2.4829205358400945E-14</v>
      </c>
      <c r="CA98" s="14">
        <f t="shared" si="93"/>
        <v>4.3867331143352915E-13</v>
      </c>
      <c r="CB98" s="22">
        <f t="shared" si="64"/>
        <v>8.0726688341261168E-13</v>
      </c>
      <c r="CC98" s="62">
        <f t="shared" si="65"/>
        <v>293.33333333333411</v>
      </c>
      <c r="CD98" s="62">
        <f ca="1">AVERAGE(OFFSET($CC$3,0,0,'Données projet'!$E$12+1,1))-AVERAGE(OFFSET($H$3,0,0,'Données projet'!$E$12+1,1))</f>
        <v>327.62212115491479</v>
      </c>
      <c r="CE98" s="62">
        <f t="shared" si="94"/>
        <v>348.84706693879735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4.0536670565713901</v>
      </c>
      <c r="CM98" s="23">
        <f>EXP(-LN(2)/2)*CM97+(1-EXP(-LN(2)/2))/(LN(2)/2)*CG98*CJ98*VLOOKUP('Données projet'!$B$12,Paramètres!$A$1:$I$89,3,0)*0.475*44/12</f>
        <v>1.4008578703499116E-8</v>
      </c>
      <c r="CN98" s="24">
        <f t="shared" si="66"/>
        <v>4.0536670705799684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4.1677594708744434E-14</v>
      </c>
      <c r="CV98" s="14">
        <f t="shared" si="95"/>
        <v>6.9326303456159188E-13</v>
      </c>
      <c r="CW98" s="22">
        <f t="shared" si="67"/>
        <v>1.2800215959791691E-12</v>
      </c>
      <c r="CX98" s="62">
        <f t="shared" si="68"/>
        <v>293.33333333333462</v>
      </c>
      <c r="CY98" s="62">
        <f ca="1">AVERAGE(OFFSET($CX$3,0,0,'Données projet'!$E$13+1,1))-AVERAGE(OFFSET($H$3,0,0,'Données projet'!$E$13+1,1))</f>
        <v>277.97613250285963</v>
      </c>
      <c r="CZ98" s="62">
        <f t="shared" si="96"/>
        <v>274.55710362891892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2.2134140978395487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2.2134140978395487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364.63511534965755</v>
      </c>
      <c r="T99" s="62">
        <f t="shared" si="88"/>
        <v>233.32640143610541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0.43298829942857464</v>
      </c>
      <c r="AB99" s="23">
        <f>EXP(-LN(2)/2)*AB98+(1-EXP(-LN(2)/2))/(LN(2)/2)*V99*Y99*VLOOKUP('Données projet'!$B$9,Paramètres!$A$1:$I$89,3,0)*0.475*44/12</f>
        <v>1.4609466701890158E-9</v>
      </c>
      <c r="AC99" s="24">
        <f t="shared" si="57"/>
        <v>0.43298830088952134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266.47920000000011</v>
      </c>
      <c r="AK99" s="14">
        <f t="shared" si="89"/>
        <v>64.101496824889679</v>
      </c>
      <c r="AL99" s="22">
        <f t="shared" si="58"/>
        <v>575.76138030334971</v>
      </c>
      <c r="AM99" s="62">
        <f t="shared" si="59"/>
        <v>869.09471363668308</v>
      </c>
      <c r="AN99" s="62">
        <f ca="1">AVERAGE(OFFSET($AM$3,0,0,'Données projet'!$E$10+1,1))-AVERAGE(OFFSET($H$3,0,0,'Données projet'!$E$10+1,1))</f>
        <v>403.82490501309815</v>
      </c>
      <c r="AO99" s="62">
        <f t="shared" si="90"/>
        <v>256.4377087753457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0.48524550798029947</v>
      </c>
      <c r="AW99" s="23">
        <f>EXP(-LN(2)/2)*AW98+(1-EXP(-LN(2)/2))/(LN(2)/2)*AQ99*AT99*VLOOKUP('Données projet'!$B$10,Paramètres!$A$1:$I$89,3,0)*0.475*44/12</f>
        <v>1.6372678200394144E-9</v>
      </c>
      <c r="AX99" s="23">
        <f t="shared" si="60"/>
        <v>0.48524550961756729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254.18016000000006</v>
      </c>
      <c r="BF99" s="14">
        <f t="shared" si="91"/>
        <v>61.480193498274794</v>
      </c>
      <c r="BG99" s="22">
        <f t="shared" si="61"/>
        <v>549.77511567616205</v>
      </c>
      <c r="BH99" s="62">
        <f t="shared" si="62"/>
        <v>843.10844900949542</v>
      </c>
      <c r="BI99" s="62">
        <f ca="1">AVERAGE(OFFSET($BH$3,0,0,'Données projet'!$E$11+1,1))-AVERAGE(OFFSET($H$3,0,0,'Données projet'!$E$11+1,1))</f>
        <v>387.04070351732537</v>
      </c>
      <c r="BJ99" s="62">
        <f t="shared" si="92"/>
        <v>246.54010105494137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0.46284956145813161</v>
      </c>
      <c r="BR99" s="23">
        <f>EXP(-LN(2)/2)*BR98+(1-EXP(-LN(2)/2))/(LN(2)/2)*BL99*BO99*VLOOKUP('Données projet'!$B$11,Paramètres!$A$1:$I$89,3,0)*0.475*44/12</f>
        <v>1.5617016129606728E-9</v>
      </c>
      <c r="BS99" s="24">
        <f t="shared" si="63"/>
        <v>0.46284956301983321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2.8421709430404007E-14</v>
      </c>
      <c r="BZ99" s="14">
        <f>BY99*VLOOKUP('Données projet'!$B$12,Paramètres!$A$1:$I$89,3,0)*VLOOKUP('Données projet'!$B$12,Paramètres!$A$1:$I$89,5,0)</f>
        <v>2.4829205358400945E-14</v>
      </c>
      <c r="CA99" s="14">
        <f t="shared" si="93"/>
        <v>4.3867331143352915E-13</v>
      </c>
      <c r="CB99" s="22">
        <f t="shared" si="64"/>
        <v>8.0726688341261168E-13</v>
      </c>
      <c r="CC99" s="62">
        <f t="shared" si="65"/>
        <v>293.33333333333411</v>
      </c>
      <c r="CD99" s="62">
        <f ca="1">AVERAGE(OFFSET($CC$3,0,0,'Données projet'!$E$12+1,1))-AVERAGE(OFFSET($H$3,0,0,'Données projet'!$E$12+1,1))</f>
        <v>327.62212115491479</v>
      </c>
      <c r="CE99" s="62">
        <f t="shared" si="94"/>
        <v>348.84706693879735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3.94281931773636</v>
      </c>
      <c r="CM99" s="23">
        <f>EXP(-LN(2)/2)*CM98+(1-EXP(-LN(2)/2))/(LN(2)/2)*CG99*CJ99*VLOOKUP('Données projet'!$B$12,Paramètres!$A$1:$I$89,3,0)*0.475*44/12</f>
        <v>9.9055609960296788E-9</v>
      </c>
      <c r="CN99" s="24">
        <f t="shared" si="66"/>
        <v>3.9428193276419208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4.1677594708744434E-14</v>
      </c>
      <c r="CV99" s="14">
        <f t="shared" si="95"/>
        <v>6.9326303456159188E-13</v>
      </c>
      <c r="CW99" s="22">
        <f t="shared" si="67"/>
        <v>1.2800215959791691E-12</v>
      </c>
      <c r="CX99" s="62">
        <f t="shared" si="68"/>
        <v>293.33333333333462</v>
      </c>
      <c r="CY99" s="62">
        <f ca="1">AVERAGE(OFFSET($CX$3,0,0,'Données projet'!$E$13+1,1))-AVERAGE(OFFSET($H$3,0,0,'Données projet'!$E$13+1,1))</f>
        <v>277.97613250285963</v>
      </c>
      <c r="CZ99" s="62">
        <f t="shared" si="96"/>
        <v>274.55710362891892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2.1700103974302083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2.1700103974302083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364.63511534965755</v>
      </c>
      <c r="T100" s="62">
        <f t="shared" si="88"/>
        <v>233.32640143610541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0.42114821161083521</v>
      </c>
      <c r="AB100" s="23">
        <f>EXP(-LN(2)/2)*AB99+(1-EXP(-LN(2)/2))/(LN(2)/2)*V100*Y100*VLOOKUP('Données projet'!$B$9,Paramètres!$A$1:$I$89,3,0)*0.475*44/12</f>
        <v>1.0330452974425596E-9</v>
      </c>
      <c r="AC100" s="24">
        <f t="shared" si="57"/>
        <v>0.42114821264388053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271.34640000000007</v>
      </c>
      <c r="AK100" s="14">
        <f t="shared" si="89"/>
        <v>65.134926573557365</v>
      </c>
      <c r="AL100" s="22">
        <f t="shared" si="58"/>
        <v>586.03831044894594</v>
      </c>
      <c r="AM100" s="62">
        <f t="shared" si="59"/>
        <v>879.37164378227931</v>
      </c>
      <c r="AN100" s="62">
        <f ca="1">AVERAGE(OFFSET($AM$3,0,0,'Données projet'!$E$10+1,1))-AVERAGE(OFFSET($H$3,0,0,'Données projet'!$E$10+1,1))</f>
        <v>403.82490501309815</v>
      </c>
      <c r="AO100" s="62">
        <f t="shared" si="90"/>
        <v>256.4377087753457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0.47197644404662598</v>
      </c>
      <c r="AW100" s="23">
        <f>EXP(-LN(2)/2)*AW99+(1-EXP(-LN(2)/2))/(LN(2)/2)*AQ100*AT100*VLOOKUP('Données projet'!$B$10,Paramètres!$A$1:$I$89,3,0)*0.475*44/12</f>
        <v>1.1577231781683859E-9</v>
      </c>
      <c r="AX100" s="23">
        <f t="shared" si="60"/>
        <v>0.47197644520434917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258.82272000000006</v>
      </c>
      <c r="BF100" s="14">
        <f t="shared" si="91"/>
        <v>62.471363191059453</v>
      </c>
      <c r="BG100" s="22">
        <f t="shared" si="61"/>
        <v>559.58719489109524</v>
      </c>
      <c r="BH100" s="62">
        <f t="shared" si="62"/>
        <v>852.92052822442861</v>
      </c>
      <c r="BI100" s="62">
        <f ca="1">AVERAGE(OFFSET($BH$3,0,0,'Données projet'!$E$11+1,1))-AVERAGE(OFFSET($H$3,0,0,'Données projet'!$E$11+1,1))</f>
        <v>387.04070351732537</v>
      </c>
      <c r="BJ100" s="62">
        <f t="shared" si="92"/>
        <v>246.54010105494137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0.45019291585985843</v>
      </c>
      <c r="BR100" s="23">
        <f>EXP(-LN(2)/2)*BR99+(1-EXP(-LN(2)/2))/(LN(2)/2)*BL100*BO100*VLOOKUP('Données projet'!$B$11,Paramètres!$A$1:$I$89,3,0)*0.475*44/12</f>
        <v>1.1042898007144608E-9</v>
      </c>
      <c r="BS100" s="24">
        <f t="shared" si="63"/>
        <v>0.45019291696414826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2.8421709430404007E-14</v>
      </c>
      <c r="BZ100" s="14">
        <f>BY100*VLOOKUP('Données projet'!$B$12,Paramètres!$A$1:$I$89,3,0)*VLOOKUP('Données projet'!$B$12,Paramètres!$A$1:$I$89,5,0)</f>
        <v>2.4829205358400945E-14</v>
      </c>
      <c r="CA100" s="14">
        <f t="shared" si="93"/>
        <v>4.3867331143352915E-13</v>
      </c>
      <c r="CB100" s="22">
        <f t="shared" si="64"/>
        <v>8.0726688341261168E-13</v>
      </c>
      <c r="CC100" s="62">
        <f t="shared" si="65"/>
        <v>293.33333333333411</v>
      </c>
      <c r="CD100" s="62">
        <f ca="1">AVERAGE(OFFSET($CC$3,0,0,'Données projet'!$E$12+1,1))-AVERAGE(OFFSET($H$3,0,0,'Données projet'!$E$12+1,1))</f>
        <v>327.62212115491479</v>
      </c>
      <c r="CE100" s="62">
        <f t="shared" si="94"/>
        <v>348.84706693879735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3.8350027161490026</v>
      </c>
      <c r="CM100" s="23">
        <f>EXP(-LN(2)/2)*CM99+(1-EXP(-LN(2)/2))/(LN(2)/2)*CG100*CJ100*VLOOKUP('Données projet'!$B$12,Paramètres!$A$1:$I$89,3,0)*0.475*44/12</f>
        <v>7.0042893517495579E-9</v>
      </c>
      <c r="CN100" s="24">
        <f t="shared" si="66"/>
        <v>3.8350027231532917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4.1677594708744434E-14</v>
      </c>
      <c r="CV100" s="14">
        <f t="shared" si="95"/>
        <v>6.9326303456159188E-13</v>
      </c>
      <c r="CW100" s="22">
        <f t="shared" si="67"/>
        <v>1.2800215959791691E-12</v>
      </c>
      <c r="CX100" s="62">
        <f t="shared" si="68"/>
        <v>293.33333333333462</v>
      </c>
      <c r="CY100" s="62">
        <f ca="1">AVERAGE(OFFSET($CX$3,0,0,'Données projet'!$E$13+1,1))-AVERAGE(OFFSET($H$3,0,0,'Données projet'!$E$13+1,1))</f>
        <v>277.97613250285963</v>
      </c>
      <c r="CZ100" s="62">
        <f t="shared" si="96"/>
        <v>274.55710362891892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2.1274578171122522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2.1274578171122522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364.63511534965755</v>
      </c>
      <c r="T101" s="62">
        <f t="shared" si="88"/>
        <v>233.32640143610541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0.409631891617115</v>
      </c>
      <c r="AB101" s="23">
        <f>EXP(-LN(2)/2)*AB100+(1-EXP(-LN(2)/2))/(LN(2)/2)*V101*Y101*VLOOKUP('Données projet'!$B$9,Paramètres!$A$1:$I$89,3,0)*0.475*44/12</f>
        <v>7.304733350945079E-10</v>
      </c>
      <c r="AC101" s="24">
        <f t="shared" si="57"/>
        <v>0.40963189234758834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276.2136000000001</v>
      </c>
      <c r="AK101" s="14">
        <f t="shared" si="89"/>
        <v>66.166200760877473</v>
      </c>
      <c r="AL101" s="22">
        <f t="shared" si="58"/>
        <v>596.31148632519512</v>
      </c>
      <c r="AM101" s="62">
        <f t="shared" si="59"/>
        <v>889.64481965852838</v>
      </c>
      <c r="AN101" s="62">
        <f ca="1">AVERAGE(OFFSET($AM$3,0,0,'Données projet'!$E$10+1,1))-AVERAGE(OFFSET($H$3,0,0,'Données projet'!$E$10+1,1))</f>
        <v>403.82490501309815</v>
      </c>
      <c r="AO101" s="62">
        <f t="shared" si="90"/>
        <v>256.4377087753457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0.45907022336400849</v>
      </c>
      <c r="AW101" s="23">
        <f>EXP(-LN(2)/2)*AW100+(1-EXP(-LN(2)/2))/(LN(2)/2)*AQ101*AT101*VLOOKUP('Données projet'!$B$10,Paramètres!$A$1:$I$89,3,0)*0.475*44/12</f>
        <v>8.1863391001970721E-10</v>
      </c>
      <c r="AX101" s="23">
        <f t="shared" si="60"/>
        <v>0.45907022418264237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263.46528000000012</v>
      </c>
      <c r="BF101" s="14">
        <f t="shared" si="91"/>
        <v>63.460465469894196</v>
      </c>
      <c r="BG101" s="22">
        <f t="shared" si="61"/>
        <v>569.39567336006587</v>
      </c>
      <c r="BH101" s="62">
        <f t="shared" si="62"/>
        <v>862.72900669339924</v>
      </c>
      <c r="BI101" s="62">
        <f ca="1">AVERAGE(OFFSET($BH$3,0,0,'Données projet'!$E$11+1,1))-AVERAGE(OFFSET($H$3,0,0,'Données projet'!$E$11+1,1))</f>
        <v>387.04070351732537</v>
      </c>
      <c r="BJ101" s="62">
        <f t="shared" si="92"/>
        <v>246.54010105494137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0.43788236690105409</v>
      </c>
      <c r="BR101" s="23">
        <f>EXP(-LN(2)/2)*BR100+(1-EXP(-LN(2)/2))/(LN(2)/2)*BL101*BO101*VLOOKUP('Données projet'!$B$11,Paramètres!$A$1:$I$89,3,0)*0.475*44/12</f>
        <v>7.808508064803364E-10</v>
      </c>
      <c r="BS101" s="24">
        <f t="shared" si="63"/>
        <v>0.43788236768190492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2.8421709430404007E-14</v>
      </c>
      <c r="BZ101" s="14">
        <f>BY101*VLOOKUP('Données projet'!$B$12,Paramètres!$A$1:$I$89,3,0)*VLOOKUP('Données projet'!$B$12,Paramètres!$A$1:$I$89,5,0)</f>
        <v>2.4829205358400945E-14</v>
      </c>
      <c r="CA101" s="14">
        <f t="shared" si="93"/>
        <v>4.3867331143352915E-13</v>
      </c>
      <c r="CB101" s="22">
        <f t="shared" si="64"/>
        <v>8.0726688341261168E-13</v>
      </c>
      <c r="CC101" s="62">
        <f t="shared" si="65"/>
        <v>293.33333333333411</v>
      </c>
      <c r="CD101" s="62">
        <f ca="1">AVERAGE(OFFSET($CC$3,0,0,'Données projet'!$E$12+1,1))-AVERAGE(OFFSET($H$3,0,0,'Données projet'!$E$12+1,1))</f>
        <v>327.62212115491479</v>
      </c>
      <c r="CE101" s="62">
        <f t="shared" si="94"/>
        <v>348.84706693879735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3.7301343652018804</v>
      </c>
      <c r="CM101" s="23">
        <f>EXP(-LN(2)/2)*CM100+(1-EXP(-LN(2)/2))/(LN(2)/2)*CG101*CJ101*VLOOKUP('Données projet'!$B$12,Paramètres!$A$1:$I$89,3,0)*0.475*44/12</f>
        <v>4.9527804980148394E-9</v>
      </c>
      <c r="CN101" s="24">
        <f t="shared" si="66"/>
        <v>3.7301343701546608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4.1677594708744434E-14</v>
      </c>
      <c r="CV101" s="14">
        <f t="shared" si="95"/>
        <v>6.9326303456159188E-13</v>
      </c>
      <c r="CW101" s="22">
        <f t="shared" si="67"/>
        <v>1.2800215959791691E-12</v>
      </c>
      <c r="CX101" s="62">
        <f t="shared" si="68"/>
        <v>293.33333333333462</v>
      </c>
      <c r="CY101" s="62">
        <f ca="1">AVERAGE(OFFSET($CX$3,0,0,'Données projet'!$E$13+1,1))-AVERAGE(OFFSET($H$3,0,0,'Données projet'!$E$13+1,1))</f>
        <v>277.97613250285963</v>
      </c>
      <c r="CZ101" s="62">
        <f t="shared" si="96"/>
        <v>274.55710362891892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2.08573966693982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2.08573966693982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364.63511534965755</v>
      </c>
      <c r="T102" s="62">
        <f t="shared" si="88"/>
        <v>233.32640143610541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0.39843048599924002</v>
      </c>
      <c r="AB102" s="23">
        <f>EXP(-LN(2)/2)*AB101+(1-EXP(-LN(2)/2))/(LN(2)/2)*V102*Y102*VLOOKUP('Données projet'!$B$9,Paramètres!$A$1:$I$89,3,0)*0.475*44/12</f>
        <v>5.165226487212798E-10</v>
      </c>
      <c r="AC102" s="24">
        <f t="shared" si="57"/>
        <v>0.39843048651576268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281.08080000000012</v>
      </c>
      <c r="AK102" s="14">
        <f t="shared" si="89"/>
        <v>67.195361752546177</v>
      </c>
      <c r="AL102" s="22">
        <f t="shared" si="58"/>
        <v>606.58098171901804</v>
      </c>
      <c r="AM102" s="62">
        <f t="shared" si="59"/>
        <v>899.91431505235141</v>
      </c>
      <c r="AN102" s="62">
        <f ca="1">AVERAGE(OFFSET($AM$3,0,0,'Données projet'!$E$10+1,1))-AVERAGE(OFFSET($H$3,0,0,'Données projet'!$E$10+1,1))</f>
        <v>403.82490501309815</v>
      </c>
      <c r="AO102" s="62">
        <f t="shared" si="90"/>
        <v>256.4377087753457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0.44651692396466586</v>
      </c>
      <c r="AW102" s="23">
        <f>EXP(-LN(2)/2)*AW101+(1-EXP(-LN(2)/2))/(LN(2)/2)*AQ102*AT102*VLOOKUP('Données projet'!$B$10,Paramètres!$A$1:$I$89,3,0)*0.475*44/12</f>
        <v>5.7886158908419294E-10</v>
      </c>
      <c r="AX102" s="23">
        <f t="shared" si="60"/>
        <v>0.44651692454352743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268.10784000000012</v>
      </c>
      <c r="BF102" s="14">
        <f t="shared" si="91"/>
        <v>64.447540968014238</v>
      </c>
      <c r="BG102" s="22">
        <f t="shared" si="61"/>
        <v>579.20062185262486</v>
      </c>
      <c r="BH102" s="62">
        <f t="shared" si="62"/>
        <v>872.53395518595812</v>
      </c>
      <c r="BI102" s="62">
        <f ca="1">AVERAGE(OFFSET($BH$3,0,0,'Données projet'!$E$11+1,1))-AVERAGE(OFFSET($H$3,0,0,'Données projet'!$E$11+1,1))</f>
        <v>387.04070351732537</v>
      </c>
      <c r="BJ102" s="62">
        <f t="shared" si="92"/>
        <v>246.54010105494137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0.42590845055091187</v>
      </c>
      <c r="BR102" s="23">
        <f>EXP(-LN(2)/2)*BR101+(1-EXP(-LN(2)/2))/(LN(2)/2)*BL102*BO102*VLOOKUP('Données projet'!$B$11,Paramètres!$A$1:$I$89,3,0)*0.475*44/12</f>
        <v>5.5214490035723038E-10</v>
      </c>
      <c r="BS102" s="24">
        <f t="shared" si="63"/>
        <v>0.42590845110305675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2.8421709430404007E-14</v>
      </c>
      <c r="BZ102" s="14">
        <f>BY102*VLOOKUP('Données projet'!$B$12,Paramètres!$A$1:$I$89,3,0)*VLOOKUP('Données projet'!$B$12,Paramètres!$A$1:$I$89,5,0)</f>
        <v>2.4829205358400945E-14</v>
      </c>
      <c r="CA102" s="14">
        <f t="shared" si="93"/>
        <v>4.3867331143352915E-13</v>
      </c>
      <c r="CB102" s="22">
        <f t="shared" si="64"/>
        <v>8.0726688341261168E-13</v>
      </c>
      <c r="CC102" s="62">
        <f t="shared" si="65"/>
        <v>293.33333333333411</v>
      </c>
      <c r="CD102" s="62">
        <f ca="1">AVERAGE(OFFSET($CC$3,0,0,'Données projet'!$E$12+1,1))-AVERAGE(OFFSET($H$3,0,0,'Données projet'!$E$12+1,1))</f>
        <v>327.62212115491479</v>
      </c>
      <c r="CE102" s="62">
        <f t="shared" si="94"/>
        <v>348.84706693879735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3.6281336448261938</v>
      </c>
      <c r="CM102" s="23">
        <f>EXP(-LN(2)/2)*CM101+(1-EXP(-LN(2)/2))/(LN(2)/2)*CG102*CJ102*VLOOKUP('Données projet'!$B$12,Paramètres!$A$1:$I$89,3,0)*0.475*44/12</f>
        <v>3.502144675874779E-9</v>
      </c>
      <c r="CN102" s="24">
        <f t="shared" si="66"/>
        <v>3.6281336483283386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4.1677594708744434E-14</v>
      </c>
      <c r="CV102" s="14">
        <f t="shared" si="95"/>
        <v>6.9326303456159188E-13</v>
      </c>
      <c r="CW102" s="22">
        <f t="shared" si="67"/>
        <v>1.2800215959791691E-12</v>
      </c>
      <c r="CX102" s="62">
        <f t="shared" si="68"/>
        <v>293.33333333333462</v>
      </c>
      <c r="CY102" s="62">
        <f ca="1">AVERAGE(OFFSET($CX$3,0,0,'Données projet'!$E$13+1,1))-AVERAGE(OFFSET($H$3,0,0,'Données projet'!$E$13+1,1))</f>
        <v>277.97613250285963</v>
      </c>
      <c r="CZ102" s="62">
        <f t="shared" si="96"/>
        <v>274.55710362891892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2.0448395842467102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2.0448395842467102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364.63511534965755</v>
      </c>
      <c r="T103" s="62">
        <f t="shared" si="88"/>
        <v>233.32640143610541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0.38753538340704219</v>
      </c>
      <c r="AB103" s="23">
        <f>EXP(-LN(2)/2)*AB102+(1-EXP(-LN(2)/2))/(LN(2)/2)*V103*Y103*VLOOKUP('Données projet'!$B$9,Paramètres!$A$1:$I$89,3,0)*0.475*44/12</f>
        <v>3.6523666754725395E-10</v>
      </c>
      <c r="AC103" s="24">
        <f t="shared" si="57"/>
        <v>0.38753538377227886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285.94800000000009</v>
      </c>
      <c r="AK103" s="14">
        <f t="shared" si="89"/>
        <v>68.222450362989363</v>
      </c>
      <c r="AL103" s="22">
        <f t="shared" si="58"/>
        <v>616.84686771553993</v>
      </c>
      <c r="AM103" s="62">
        <f t="shared" si="59"/>
        <v>910.18020104887319</v>
      </c>
      <c r="AN103" s="62">
        <f ca="1">AVERAGE(OFFSET($AM$3,0,0,'Données projet'!$E$10+1,1))-AVERAGE(OFFSET($H$3,0,0,'Données projet'!$E$10+1,1))</f>
        <v>403.82490501309815</v>
      </c>
      <c r="AO103" s="62">
        <f t="shared" si="90"/>
        <v>256.4377087753457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0.43430689519754756</v>
      </c>
      <c r="AW103" s="23">
        <f>EXP(-LN(2)/2)*AW102+(1-EXP(-LN(2)/2))/(LN(2)/2)*AQ103*AT103*VLOOKUP('Données projet'!$B$10,Paramètres!$A$1:$I$89,3,0)*0.475*44/12</f>
        <v>4.093169550098536E-10</v>
      </c>
      <c r="AX103" s="23">
        <f t="shared" si="60"/>
        <v>0.43430689560686453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272.75040000000013</v>
      </c>
      <c r="BF103" s="14">
        <f t="shared" si="91"/>
        <v>65.43262883082069</v>
      </c>
      <c r="BG103" s="22">
        <f t="shared" si="61"/>
        <v>589.00210854701288</v>
      </c>
      <c r="BH103" s="62">
        <f t="shared" si="62"/>
        <v>882.33544188034625</v>
      </c>
      <c r="BI103" s="62">
        <f ca="1">AVERAGE(OFFSET($BH$3,0,0,'Données projet'!$E$11+1,1))-AVERAGE(OFFSET($H$3,0,0,'Données projet'!$E$11+1,1))</f>
        <v>387.04070351732537</v>
      </c>
      <c r="BJ103" s="62">
        <f t="shared" si="92"/>
        <v>246.54010105494137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0.41426196157304518</v>
      </c>
      <c r="BR103" s="23">
        <f>EXP(-LN(2)/2)*BR102+(1-EXP(-LN(2)/2))/(LN(2)/2)*BL103*BO103*VLOOKUP('Données projet'!$B$11,Paramètres!$A$1:$I$89,3,0)*0.475*44/12</f>
        <v>3.904254032401682E-10</v>
      </c>
      <c r="BS103" s="24">
        <f t="shared" si="63"/>
        <v>0.41426196196347059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2.8421709430404007E-14</v>
      </c>
      <c r="BZ103" s="14">
        <f>BY103*VLOOKUP('Données projet'!$B$12,Paramètres!$A$1:$I$89,3,0)*VLOOKUP('Données projet'!$B$12,Paramètres!$A$1:$I$89,5,0)</f>
        <v>2.4829205358400945E-14</v>
      </c>
      <c r="CA103" s="14">
        <f t="shared" si="93"/>
        <v>4.3867331143352915E-13</v>
      </c>
      <c r="CB103" s="22">
        <f t="shared" si="64"/>
        <v>8.0726688341261168E-13</v>
      </c>
      <c r="CC103" s="62">
        <f t="shared" si="65"/>
        <v>293.33333333333411</v>
      </c>
      <c r="CD103" s="62">
        <f ca="1">AVERAGE(OFFSET($CC$3,0,0,'Données projet'!$E$12+1,1))-AVERAGE(OFFSET($H$3,0,0,'Données projet'!$E$12+1,1))</f>
        <v>327.62212115491479</v>
      </c>
      <c r="CE103" s="62">
        <f t="shared" si="94"/>
        <v>348.84706693879735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3.5289221395131656</v>
      </c>
      <c r="CM103" s="23">
        <f>EXP(-LN(2)/2)*CM102+(1-EXP(-LN(2)/2))/(LN(2)/2)*CG103*CJ103*VLOOKUP('Données projet'!$B$12,Paramètres!$A$1:$I$89,3,0)*0.475*44/12</f>
        <v>2.4763902490074197E-9</v>
      </c>
      <c r="CN103" s="24">
        <f t="shared" si="66"/>
        <v>3.5289221419895558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4.1677594708744434E-14</v>
      </c>
      <c r="CV103" s="14">
        <f t="shared" si="95"/>
        <v>6.9326303456159188E-13</v>
      </c>
      <c r="CW103" s="22">
        <f t="shared" si="67"/>
        <v>1.2800215959791691E-12</v>
      </c>
      <c r="CX103" s="62">
        <f t="shared" si="68"/>
        <v>293.33333333333462</v>
      </c>
      <c r="CY103" s="62">
        <f ca="1">AVERAGE(OFFSET($CX$3,0,0,'Données projet'!$E$13+1,1))-AVERAGE(OFFSET($H$3,0,0,'Données projet'!$E$13+1,1))</f>
        <v>277.97613250285963</v>
      </c>
      <c r="CZ103" s="62">
        <f t="shared" si="96"/>
        <v>274.55710362891892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2.0047415272286249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2.0047415272286249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364.63511534965755</v>
      </c>
      <c r="T104" s="62">
        <f t="shared" si="88"/>
        <v>233.32640143610541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0.37693820796817651</v>
      </c>
      <c r="AB104" s="23">
        <f>EXP(-LN(2)/2)*AB103+(1-EXP(-LN(2)/2))/(LN(2)/2)*V104*Y104*VLOOKUP('Données projet'!$B$9,Paramètres!$A$1:$I$89,3,0)*0.475*44/12</f>
        <v>2.582613243606399E-10</v>
      </c>
      <c r="AC104" s="24">
        <f t="shared" si="57"/>
        <v>0.37693820822643781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269.11560000000014</v>
      </c>
      <c r="AK104" s="14">
        <f t="shared" si="89"/>
        <v>64.661541462287133</v>
      </c>
      <c r="AL104" s="22">
        <f t="shared" si="58"/>
        <v>581.32852138015028</v>
      </c>
      <c r="AM104" s="62">
        <f t="shared" si="59"/>
        <v>874.66185471348354</v>
      </c>
      <c r="AN104" s="62">
        <f ca="1">AVERAGE(OFFSET($AM$3,0,0,'Données projet'!$E$10+1,1))-AVERAGE(OFFSET($H$3,0,0,'Données projet'!$E$10+1,1))</f>
        <v>403.82490501309815</v>
      </c>
      <c r="AO104" s="62">
        <f t="shared" si="90"/>
        <v>256.4377087753457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0.42243075030916361</v>
      </c>
      <c r="AW104" s="23">
        <f>EXP(-LN(2)/2)*AW103+(1-EXP(-LN(2)/2))/(LN(2)/2)*AQ104*AT104*VLOOKUP('Données projet'!$B$10,Paramètres!$A$1:$I$89,3,0)*0.475*44/12</f>
        <v>2.8943079454209647E-10</v>
      </c>
      <c r="AX104" s="23">
        <f t="shared" si="60"/>
        <v>0.42243075059859442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256.69488000000013</v>
      </c>
      <c r="BF104" s="14">
        <f t="shared" si="91"/>
        <v>62.017336223177551</v>
      </c>
      <c r="BG104" s="22">
        <f t="shared" si="61"/>
        <v>555.09044325536786</v>
      </c>
      <c r="BH104" s="62">
        <f t="shared" si="62"/>
        <v>848.42377658870123</v>
      </c>
      <c r="BI104" s="62">
        <f ca="1">AVERAGE(OFFSET($BH$3,0,0,'Données projet'!$E$11+1,1))-AVERAGE(OFFSET($H$3,0,0,'Données projet'!$E$11+1,1))</f>
        <v>387.04070351732537</v>
      </c>
      <c r="BJ104" s="62">
        <f t="shared" si="92"/>
        <v>246.54010105494137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0.40293394644874053</v>
      </c>
      <c r="BR104" s="23">
        <f>EXP(-LN(2)/2)*BR103+(1-EXP(-LN(2)/2))/(LN(2)/2)*BL104*BO104*VLOOKUP('Données projet'!$B$11,Paramètres!$A$1:$I$89,3,0)*0.475*44/12</f>
        <v>2.7607245017861519E-10</v>
      </c>
      <c r="BS104" s="24">
        <f t="shared" si="63"/>
        <v>0.40293394672481297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2.8421709430404007E-14</v>
      </c>
      <c r="BZ104" s="14">
        <f>BY104*VLOOKUP('Données projet'!$B$12,Paramètres!$A$1:$I$89,3,0)*VLOOKUP('Données projet'!$B$12,Paramètres!$A$1:$I$89,5,0)</f>
        <v>2.4829205358400945E-14</v>
      </c>
      <c r="CA104" s="14">
        <f t="shared" si="93"/>
        <v>4.3867331143352915E-13</v>
      </c>
      <c r="CB104" s="22">
        <f t="shared" si="64"/>
        <v>8.0726688341261168E-13</v>
      </c>
      <c r="CC104" s="62">
        <f t="shared" si="65"/>
        <v>293.33333333333411</v>
      </c>
      <c r="CD104" s="62">
        <f ca="1">AVERAGE(OFFSET($CC$3,0,0,'Données projet'!$E$12+1,1))-AVERAGE(OFFSET($H$3,0,0,'Données projet'!$E$12+1,1))</f>
        <v>327.62212115491479</v>
      </c>
      <c r="CE104" s="62">
        <f t="shared" si="94"/>
        <v>348.84706693879735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3.4324235780302281</v>
      </c>
      <c r="CM104" s="23">
        <f>EXP(-LN(2)/2)*CM103+(1-EXP(-LN(2)/2))/(LN(2)/2)*CG104*CJ104*VLOOKUP('Données projet'!$B$12,Paramètres!$A$1:$I$89,3,0)*0.475*44/12</f>
        <v>1.7510723379373895E-9</v>
      </c>
      <c r="CN104" s="24">
        <f t="shared" si="66"/>
        <v>3.4324235797813003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4.1677594708744434E-14</v>
      </c>
      <c r="CV104" s="14">
        <f t="shared" si="95"/>
        <v>6.9326303456159188E-13</v>
      </c>
      <c r="CW104" s="22">
        <f t="shared" si="67"/>
        <v>1.2800215959791691E-12</v>
      </c>
      <c r="CX104" s="62">
        <f t="shared" si="68"/>
        <v>293.33333333333462</v>
      </c>
      <c r="CY104" s="62">
        <f ca="1">AVERAGE(OFFSET($CX$3,0,0,'Données projet'!$E$13+1,1))-AVERAGE(OFFSET($H$3,0,0,'Données projet'!$E$13+1,1))</f>
        <v>277.97613250285963</v>
      </c>
      <c r="CZ104" s="62">
        <f t="shared" si="96"/>
        <v>274.55710362891892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1.9654297686512645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1.9654297686512645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364.63511534965755</v>
      </c>
      <c r="T105" s="62">
        <f t="shared" si="88"/>
        <v>233.32640143610541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0.36663081284896787</v>
      </c>
      <c r="AB105" s="23">
        <f>EXP(-LN(2)/2)*AB104+(1-EXP(-LN(2)/2))/(LN(2)/2)*V105*Y105*VLOOKUP('Données projet'!$B$9,Paramètres!$A$1:$I$89,3,0)*0.475*44/12</f>
        <v>1.8261833377362697E-10</v>
      </c>
      <c r="AC105" s="24">
        <f t="shared" si="57"/>
        <v>0.36663081303158618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273.57720000000012</v>
      </c>
      <c r="AK105" s="14">
        <f t="shared" si="89"/>
        <v>65.607858889915107</v>
      </c>
      <c r="AL105" s="22">
        <f t="shared" si="58"/>
        <v>590.74731089993566</v>
      </c>
      <c r="AM105" s="62">
        <f t="shared" si="59"/>
        <v>884.08064423326891</v>
      </c>
      <c r="AN105" s="62">
        <f ca="1">AVERAGE(OFFSET($AM$3,0,0,'Données projet'!$E$10+1,1))-AVERAGE(OFFSET($H$3,0,0,'Données projet'!$E$10+1,1))</f>
        <v>403.82490501309815</v>
      </c>
      <c r="AO105" s="62">
        <f t="shared" si="90"/>
        <v>256.4377087753457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0.41087935922729185</v>
      </c>
      <c r="AW105" s="23">
        <f>EXP(-LN(2)/2)*AW104+(1-EXP(-LN(2)/2))/(LN(2)/2)*AQ105*AT105*VLOOKUP('Données projet'!$B$10,Paramètres!$A$1:$I$89,3,0)*0.475*44/12</f>
        <v>2.046584775049268E-10</v>
      </c>
      <c r="AX105" s="23">
        <f t="shared" si="60"/>
        <v>0.41087935943195031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260.95056000000005</v>
      </c>
      <c r="BF105" s="14">
        <f t="shared" si="91"/>
        <v>62.924955880176938</v>
      </c>
      <c r="BG105" s="22">
        <f t="shared" si="61"/>
        <v>564.08319015797485</v>
      </c>
      <c r="BH105" s="62">
        <f t="shared" si="62"/>
        <v>857.41652349130823</v>
      </c>
      <c r="BI105" s="62">
        <f ca="1">AVERAGE(OFFSET($BH$3,0,0,'Données projet'!$E$11+1,1))-AVERAGE(OFFSET($H$3,0,0,'Données projet'!$E$11+1,1))</f>
        <v>387.04070351732537</v>
      </c>
      <c r="BJ105" s="62">
        <f t="shared" si="92"/>
        <v>246.54010105494137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0.39191569649372437</v>
      </c>
      <c r="BR105" s="23">
        <f>EXP(-LN(2)/2)*BR104+(1-EXP(-LN(2)/2))/(LN(2)/2)*BL105*BO105*VLOOKUP('Données projet'!$B$11,Paramètres!$A$1:$I$89,3,0)*0.475*44/12</f>
        <v>1.952127016200841E-10</v>
      </c>
      <c r="BS105" s="24">
        <f t="shared" si="63"/>
        <v>0.39191569668893705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2.8421709430404007E-14</v>
      </c>
      <c r="BZ105" s="14">
        <f>BY105*VLOOKUP('Données projet'!$B$12,Paramètres!$A$1:$I$89,3,0)*VLOOKUP('Données projet'!$B$12,Paramètres!$A$1:$I$89,5,0)</f>
        <v>2.4829205358400945E-14</v>
      </c>
      <c r="CA105" s="14">
        <f t="shared" si="93"/>
        <v>4.3867331143352915E-13</v>
      </c>
      <c r="CB105" s="22">
        <f t="shared" si="64"/>
        <v>8.0726688341261168E-13</v>
      </c>
      <c r="CC105" s="62">
        <f t="shared" si="65"/>
        <v>293.33333333333411</v>
      </c>
      <c r="CD105" s="62">
        <f ca="1">AVERAGE(OFFSET($CC$3,0,0,'Données projet'!$E$12+1,1))-AVERAGE(OFFSET($H$3,0,0,'Données projet'!$E$12+1,1))</f>
        <v>327.62212115491479</v>
      </c>
      <c r="CE105" s="62">
        <f t="shared" si="94"/>
        <v>348.84706693879735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3.3385637747856807</v>
      </c>
      <c r="CM105" s="23">
        <f>EXP(-LN(2)/2)*CM104+(1-EXP(-LN(2)/2))/(LN(2)/2)*CG105*CJ105*VLOOKUP('Données projet'!$B$12,Paramètres!$A$1:$I$89,3,0)*0.475*44/12</f>
        <v>1.2381951245037099E-9</v>
      </c>
      <c r="CN105" s="24">
        <f t="shared" si="66"/>
        <v>3.338563776023876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4.1677594708744434E-14</v>
      </c>
      <c r="CV105" s="14">
        <f t="shared" si="95"/>
        <v>6.9326303456159188E-13</v>
      </c>
      <c r="CW105" s="22">
        <f t="shared" si="67"/>
        <v>1.2800215959791691E-12</v>
      </c>
      <c r="CX105" s="62">
        <f t="shared" si="68"/>
        <v>293.33333333333462</v>
      </c>
      <c r="CY105" s="62">
        <f ca="1">AVERAGE(OFFSET($CX$3,0,0,'Données projet'!$E$13+1,1))-AVERAGE(OFFSET($H$3,0,0,'Données projet'!$E$13+1,1))</f>
        <v>277.97613250285963</v>
      </c>
      <c r="CZ105" s="62">
        <f t="shared" si="96"/>
        <v>274.55710362891892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1.9268888896818011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1.9268888896818011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364.63511534965755</v>
      </c>
      <c r="T106" s="62">
        <f t="shared" si="88"/>
        <v>233.32640143610541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0.35660527399133635</v>
      </c>
      <c r="AB106" s="23">
        <f>EXP(-LN(2)/2)*AB105+(1-EXP(-LN(2)/2))/(LN(2)/2)*V106*Y106*VLOOKUP('Données projet'!$B$9,Paramètres!$A$1:$I$89,3,0)*0.475*44/12</f>
        <v>1.2913066218031995E-10</v>
      </c>
      <c r="AC106" s="24">
        <f t="shared" si="57"/>
        <v>0.356605274120467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278.03880000000009</v>
      </c>
      <c r="AK106" s="14">
        <f t="shared" si="89"/>
        <v>66.5523815477178</v>
      </c>
      <c r="AL106" s="22">
        <f t="shared" si="58"/>
        <v>600.16297452894207</v>
      </c>
      <c r="AM106" s="62">
        <f t="shared" si="59"/>
        <v>893.49630786227544</v>
      </c>
      <c r="AN106" s="62">
        <f ca="1">AVERAGE(OFFSET($AM$3,0,0,'Données projet'!$E$10+1,1))-AVERAGE(OFFSET($H$3,0,0,'Données projet'!$E$10+1,1))</f>
        <v>403.82490501309815</v>
      </c>
      <c r="AO106" s="62">
        <f t="shared" si="90"/>
        <v>256.4377087753457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0.39964384154201515</v>
      </c>
      <c r="AW106" s="23">
        <f>EXP(-LN(2)/2)*AW105+(1-EXP(-LN(2)/2))/(LN(2)/2)*AQ106*AT106*VLOOKUP('Données projet'!$B$10,Paramètres!$A$1:$I$89,3,0)*0.475*44/12</f>
        <v>1.4471539727104823E-10</v>
      </c>
      <c r="AX106" s="23">
        <f t="shared" si="60"/>
        <v>0.39964384168673056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265.20624000000004</v>
      </c>
      <c r="BF106" s="14">
        <f t="shared" si="91"/>
        <v>63.830854160896443</v>
      </c>
      <c r="BG106" s="22">
        <f t="shared" si="61"/>
        <v>573.07293899689466</v>
      </c>
      <c r="BH106" s="62">
        <f t="shared" si="62"/>
        <v>866.40627233022792</v>
      </c>
      <c r="BI106" s="62">
        <f ca="1">AVERAGE(OFFSET($BH$3,0,0,'Données projet'!$E$11+1,1))-AVERAGE(OFFSET($H$3,0,0,'Données projet'!$E$11+1,1))</f>
        <v>387.04070351732537</v>
      </c>
      <c r="BJ106" s="62">
        <f t="shared" si="92"/>
        <v>246.54010105494137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0.38119874116315272</v>
      </c>
      <c r="BR106" s="23">
        <f>EXP(-LN(2)/2)*BR105+(1-EXP(-LN(2)/2))/(LN(2)/2)*BL106*BO106*VLOOKUP('Données projet'!$B$11,Paramètres!$A$1:$I$89,3,0)*0.475*44/12</f>
        <v>1.380362250893076E-10</v>
      </c>
      <c r="BS106" s="24">
        <f t="shared" si="63"/>
        <v>0.38119874130118897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2.8421709430404007E-14</v>
      </c>
      <c r="BZ106" s="14">
        <f>BY106*VLOOKUP('Données projet'!$B$12,Paramètres!$A$1:$I$89,3,0)*VLOOKUP('Données projet'!$B$12,Paramètres!$A$1:$I$89,5,0)</f>
        <v>2.4829205358400945E-14</v>
      </c>
      <c r="CA106" s="14">
        <f t="shared" si="93"/>
        <v>4.3867331143352915E-13</v>
      </c>
      <c r="CB106" s="22">
        <f t="shared" si="64"/>
        <v>8.0726688341261168E-13</v>
      </c>
      <c r="CC106" s="62">
        <f t="shared" si="65"/>
        <v>293.33333333333411</v>
      </c>
      <c r="CD106" s="62">
        <f ca="1">AVERAGE(OFFSET($CC$3,0,0,'Données projet'!$E$12+1,1))-AVERAGE(OFFSET($H$3,0,0,'Données projet'!$E$12+1,1))</f>
        <v>327.62212115491479</v>
      </c>
      <c r="CE106" s="62">
        <f t="shared" si="94"/>
        <v>348.84706693879735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3.2472705727967277</v>
      </c>
      <c r="CM106" s="23">
        <f>EXP(-LN(2)/2)*CM105+(1-EXP(-LN(2)/2))/(LN(2)/2)*CG106*CJ106*VLOOKUP('Données projet'!$B$12,Paramètres!$A$1:$I$89,3,0)*0.475*44/12</f>
        <v>8.7553616896869474E-10</v>
      </c>
      <c r="CN106" s="24">
        <f t="shared" si="66"/>
        <v>3.2472705736722638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4.1677594708744434E-14</v>
      </c>
      <c r="CV106" s="14">
        <f t="shared" si="95"/>
        <v>6.9326303456159188E-13</v>
      </c>
      <c r="CW106" s="22">
        <f t="shared" si="67"/>
        <v>1.2800215959791691E-12</v>
      </c>
      <c r="CX106" s="62">
        <f t="shared" si="68"/>
        <v>293.33333333333462</v>
      </c>
      <c r="CY106" s="62">
        <f ca="1">AVERAGE(OFFSET($CX$3,0,0,'Données projet'!$E$13+1,1))-AVERAGE(OFFSET($H$3,0,0,'Données projet'!$E$13+1,1))</f>
        <v>277.97613250285963</v>
      </c>
      <c r="CZ106" s="62">
        <f t="shared" si="96"/>
        <v>274.55710362891892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1.8891037738413137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1.8891037738413137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364.63511534965755</v>
      </c>
      <c r="T107" s="62">
        <f t="shared" si="88"/>
        <v>233.32640143610541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0.34685388402098694</v>
      </c>
      <c r="AB107" s="23">
        <f>EXP(-LN(2)/2)*AB106+(1-EXP(-LN(2)/2))/(LN(2)/2)*V107*Y107*VLOOKUP('Données projet'!$B$9,Paramètres!$A$1:$I$89,3,0)*0.475*44/12</f>
        <v>9.1309166886813487E-11</v>
      </c>
      <c r="AC107" s="24">
        <f t="shared" si="57"/>
        <v>0.34685388411229612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282.50040000000007</v>
      </c>
      <c r="AK107" s="14">
        <f t="shared" si="89"/>
        <v>67.495141560894439</v>
      </c>
      <c r="AL107" s="22">
        <f t="shared" si="58"/>
        <v>609.57556821855781</v>
      </c>
      <c r="AM107" s="62">
        <f t="shared" si="59"/>
        <v>902.90890155189118</v>
      </c>
      <c r="AN107" s="62">
        <f ca="1">AVERAGE(OFFSET($AM$3,0,0,'Données projet'!$E$10+1,1))-AVERAGE(OFFSET($H$3,0,0,'Données projet'!$E$10+1,1))</f>
        <v>403.82490501309815</v>
      </c>
      <c r="AO107" s="62">
        <f t="shared" si="90"/>
        <v>256.4377087753457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0.38871555967869253</v>
      </c>
      <c r="AW107" s="23">
        <f>EXP(-LN(2)/2)*AW106+(1-EXP(-LN(2)/2))/(LN(2)/2)*AQ107*AT107*VLOOKUP('Données projet'!$B$10,Paramètres!$A$1:$I$89,3,0)*0.475*44/12</f>
        <v>1.023292387524634E-10</v>
      </c>
      <c r="AX107" s="23">
        <f t="shared" si="60"/>
        <v>0.38871555978102179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269.46192000000002</v>
      </c>
      <c r="BF107" s="14">
        <f t="shared" si="91"/>
        <v>64.735061876839112</v>
      </c>
      <c r="BG107" s="22">
        <f t="shared" si="61"/>
        <v>582.05974343549485</v>
      </c>
      <c r="BH107" s="62">
        <f t="shared" si="62"/>
        <v>875.39307676882822</v>
      </c>
      <c r="BI107" s="62">
        <f ca="1">AVERAGE(OFFSET($BH$3,0,0,'Données projet'!$E$11+1,1))-AVERAGE(OFFSET($H$3,0,0,'Données projet'!$E$11+1,1))</f>
        <v>387.04070351732537</v>
      </c>
      <c r="BJ107" s="62">
        <f t="shared" si="92"/>
        <v>246.54010105494137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0.37077484153967577</v>
      </c>
      <c r="BR107" s="23">
        <f>EXP(-LN(2)/2)*BR106+(1-EXP(-LN(2)/2))/(LN(2)/2)*BL107*BO107*VLOOKUP('Données projet'!$B$11,Paramètres!$A$1:$I$89,3,0)*0.475*44/12</f>
        <v>9.760635081004205E-11</v>
      </c>
      <c r="BS107" s="24">
        <f t="shared" si="63"/>
        <v>0.37077484163728214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2.8421709430404007E-14</v>
      </c>
      <c r="BZ107" s="14">
        <f>BY107*VLOOKUP('Données projet'!$B$12,Paramètres!$A$1:$I$89,3,0)*VLOOKUP('Données projet'!$B$12,Paramètres!$A$1:$I$89,5,0)</f>
        <v>2.4829205358400945E-14</v>
      </c>
      <c r="CA107" s="14">
        <f t="shared" si="93"/>
        <v>4.3867331143352915E-13</v>
      </c>
      <c r="CB107" s="22">
        <f t="shared" si="64"/>
        <v>8.0726688341261168E-13</v>
      </c>
      <c r="CC107" s="62">
        <f t="shared" si="65"/>
        <v>293.33333333333411</v>
      </c>
      <c r="CD107" s="62">
        <f ca="1">AVERAGE(OFFSET($CC$3,0,0,'Données projet'!$E$12+1,1))-AVERAGE(OFFSET($H$3,0,0,'Données projet'!$E$12+1,1))</f>
        <v>327.62212115491479</v>
      </c>
      <c r="CE107" s="62">
        <f t="shared" si="94"/>
        <v>348.84706693879735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3.1584737882170635</v>
      </c>
      <c r="CM107" s="23">
        <f>EXP(-LN(2)/2)*CM106+(1-EXP(-LN(2)/2))/(LN(2)/2)*CG107*CJ107*VLOOKUP('Données projet'!$B$12,Paramètres!$A$1:$I$89,3,0)*0.475*44/12</f>
        <v>6.1909756225185493E-10</v>
      </c>
      <c r="CN107" s="24">
        <f t="shared" si="66"/>
        <v>3.1584737888361611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4.1677594708744434E-14</v>
      </c>
      <c r="CV107" s="14">
        <f t="shared" si="95"/>
        <v>6.9326303456159188E-13</v>
      </c>
      <c r="CW107" s="22">
        <f t="shared" si="67"/>
        <v>1.2800215959791691E-12</v>
      </c>
      <c r="CX107" s="62">
        <f t="shared" si="68"/>
        <v>293.33333333333462</v>
      </c>
      <c r="CY107" s="62">
        <f ca="1">AVERAGE(OFFSET($CX$3,0,0,'Données projet'!$E$13+1,1))-AVERAGE(OFFSET($H$3,0,0,'Données projet'!$E$13+1,1))</f>
        <v>277.97613250285963</v>
      </c>
      <c r="CZ107" s="62">
        <f t="shared" si="96"/>
        <v>274.55710362891892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1.8520596010758132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1.8520596010758132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364.63511534965755</v>
      </c>
      <c r="T108" s="62">
        <f t="shared" si="88"/>
        <v>233.32640143610541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0.33736914632218001</v>
      </c>
      <c r="AB108" s="23">
        <f>EXP(-LN(2)/2)*AB107+(1-EXP(-LN(2)/2))/(LN(2)/2)*V108*Y108*VLOOKUP('Données projet'!$B$9,Paramètres!$A$1:$I$89,3,0)*0.475*44/12</f>
        <v>6.4565331090159975E-11</v>
      </c>
      <c r="AC108" s="24">
        <f t="shared" si="57"/>
        <v>0.33736914638674537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286.96200000000005</v>
      </c>
      <c r="AK108" s="14">
        <f t="shared" si="89"/>
        <v>68.436169981717853</v>
      </c>
      <c r="AL108" s="22">
        <f t="shared" si="58"/>
        <v>618.98514605149205</v>
      </c>
      <c r="AM108" s="62">
        <f t="shared" si="59"/>
        <v>912.31847938482542</v>
      </c>
      <c r="AN108" s="62">
        <f ca="1">AVERAGE(OFFSET($AM$3,0,0,'Données projet'!$E$10+1,1))-AVERAGE(OFFSET($H$3,0,0,'Données projet'!$E$10+1,1))</f>
        <v>403.82490501309815</v>
      </c>
      <c r="AO108" s="62">
        <f t="shared" si="90"/>
        <v>256.4377087753457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0.37808611225761585</v>
      </c>
      <c r="AW108" s="23">
        <f>EXP(-LN(2)/2)*AW107+(1-EXP(-LN(2)/2))/(LN(2)/2)*AQ108*AT108*VLOOKUP('Données projet'!$B$10,Paramètres!$A$1:$I$89,3,0)*0.475*44/12</f>
        <v>7.2357698635524117E-11</v>
      </c>
      <c r="AX108" s="23">
        <f t="shared" si="60"/>
        <v>0.37808611232997352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273.7176</v>
      </c>
      <c r="BF108" s="14">
        <f t="shared" si="91"/>
        <v>65.637608810456669</v>
      </c>
      <c r="BG108" s="22">
        <f t="shared" si="61"/>
        <v>591.04365534487874</v>
      </c>
      <c r="BH108" s="62">
        <f t="shared" si="62"/>
        <v>884.376988678212</v>
      </c>
      <c r="BI108" s="62">
        <f ca="1">AVERAGE(OFFSET($BH$3,0,0,'Données projet'!$E$11+1,1))-AVERAGE(OFFSET($H$3,0,0,'Données projet'!$E$11+1,1))</f>
        <v>387.04070351732537</v>
      </c>
      <c r="BJ108" s="62">
        <f t="shared" si="92"/>
        <v>246.54010105494137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0.36063598399957186</v>
      </c>
      <c r="BR108" s="23">
        <f>EXP(-LN(2)/2)*BR107+(1-EXP(-LN(2)/2))/(LN(2)/2)*BL108*BO108*VLOOKUP('Données projet'!$B$11,Paramètres!$A$1:$I$89,3,0)*0.475*44/12</f>
        <v>6.9018112544653798E-11</v>
      </c>
      <c r="BS108" s="24">
        <f t="shared" si="63"/>
        <v>0.36063598406858999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2.8421709430404007E-14</v>
      </c>
      <c r="BZ108" s="14">
        <f>BY108*VLOOKUP('Données projet'!$B$12,Paramètres!$A$1:$I$89,3,0)*VLOOKUP('Données projet'!$B$12,Paramètres!$A$1:$I$89,5,0)</f>
        <v>2.4829205358400945E-14</v>
      </c>
      <c r="CA108" s="14">
        <f t="shared" si="93"/>
        <v>4.3867331143352915E-13</v>
      </c>
      <c r="CB108" s="22">
        <f t="shared" si="64"/>
        <v>8.0726688341261168E-13</v>
      </c>
      <c r="CC108" s="62">
        <f t="shared" si="65"/>
        <v>293.33333333333411</v>
      </c>
      <c r="CD108" s="62">
        <f ca="1">AVERAGE(OFFSET($CC$3,0,0,'Données projet'!$E$12+1,1))-AVERAGE(OFFSET($H$3,0,0,'Données projet'!$E$12+1,1))</f>
        <v>327.62212115491479</v>
      </c>
      <c r="CE108" s="62">
        <f t="shared" si="94"/>
        <v>348.84706693879735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3.0721051563813502</v>
      </c>
      <c r="CM108" s="23">
        <f>EXP(-LN(2)/2)*CM107+(1-EXP(-LN(2)/2))/(LN(2)/2)*CG108*CJ108*VLOOKUP('Données projet'!$B$12,Paramètres!$A$1:$I$89,3,0)*0.475*44/12</f>
        <v>4.3776808448434737E-10</v>
      </c>
      <c r="CN108" s="24">
        <f t="shared" si="66"/>
        <v>3.0721051568191182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4.1677594708744434E-14</v>
      </c>
      <c r="CV108" s="14">
        <f t="shared" si="95"/>
        <v>6.9326303456159188E-13</v>
      </c>
      <c r="CW108" s="22">
        <f t="shared" si="67"/>
        <v>1.2800215959791691E-12</v>
      </c>
      <c r="CX108" s="62">
        <f t="shared" si="68"/>
        <v>293.33333333333462</v>
      </c>
      <c r="CY108" s="62">
        <f ca="1">AVERAGE(OFFSET($CX$3,0,0,'Données projet'!$E$13+1,1))-AVERAGE(OFFSET($H$3,0,0,'Données projet'!$E$13+1,1))</f>
        <v>277.97613250285963</v>
      </c>
      <c r="CZ108" s="62">
        <f t="shared" si="96"/>
        <v>274.55710362891892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1.8157418419435301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1.8157418419435301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2">
        <f t="shared" si="55"/>
        <v>816.84550675816217</v>
      </c>
      <c r="S109" s="62">
        <f ca="1">AVERAGE(OFFSET($R$3,0,0,'Données projet'!$E$9+1,1))-AVERAGE(OFFSET($H$3,0,0,'Données projet'!$E$9+1,1))</f>
        <v>364.63511534965755</v>
      </c>
      <c r="T109" s="62">
        <f t="shared" si="88"/>
        <v>233.32640143610541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0.32814376927452765</v>
      </c>
      <c r="AB109" s="23">
        <f>EXP(-LN(2)/2)*AB108+(1-EXP(-LN(2)/2))/(LN(2)/2)*V109*Y109*VLOOKUP('Données projet'!$B$9,Paramètres!$A$1:$I$89,3,0)*0.475*44/12</f>
        <v>4.5654583443406744E-11</v>
      </c>
      <c r="AC109" s="24">
        <f t="shared" si="57"/>
        <v>0.32814376932018224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270.94080000000002</v>
      </c>
      <c r="AK109" s="14">
        <f t="shared" si="89"/>
        <v>65.048890354155489</v>
      </c>
      <c r="AL109" s="22">
        <f t="shared" si="58"/>
        <v>585.1820440334875</v>
      </c>
      <c r="AM109" s="62">
        <f t="shared" si="59"/>
        <v>878.51537736682076</v>
      </c>
      <c r="AN109" s="62">
        <f ca="1">AVERAGE(OFFSET($AM$3,0,0,'Données projet'!$E$10+1,1))-AVERAGE(OFFSET($H$3,0,0,'Données projet'!$E$10+1,1))</f>
        <v>403.82490501309815</v>
      </c>
      <c r="AO109" s="62">
        <f t="shared" si="90"/>
        <v>256.4377087753457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0.36774732763524681</v>
      </c>
      <c r="AW109" s="23">
        <f>EXP(-LN(2)/2)*AW108+(1-EXP(-LN(2)/2))/(LN(2)/2)*AQ109*AT109*VLOOKUP('Données projet'!$B$10,Paramètres!$A$1:$I$89,3,0)*0.475*44/12</f>
        <v>5.11646193762317E-11</v>
      </c>
      <c r="AX109" s="23">
        <f t="shared" si="60"/>
        <v>0.36774732768641144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258.43583999999998</v>
      </c>
      <c r="BF109" s="14">
        <f t="shared" si="91"/>
        <v>62.388845251874031</v>
      </c>
      <c r="BG109" s="22">
        <f t="shared" si="61"/>
        <v>558.76966014701395</v>
      </c>
      <c r="BH109" s="62">
        <f t="shared" si="62"/>
        <v>852.10299348034732</v>
      </c>
      <c r="BI109" s="62">
        <f ca="1">AVERAGE(OFFSET($BH$3,0,0,'Données projet'!$E$11+1,1))-AVERAGE(OFFSET($H$3,0,0,'Données projet'!$E$11+1,1))</f>
        <v>387.04070351732537</v>
      </c>
      <c r="BJ109" s="62">
        <f t="shared" si="92"/>
        <v>246.54010105494137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0.35077437405208139</v>
      </c>
      <c r="BR109" s="23">
        <f>EXP(-LN(2)/2)*BR108+(1-EXP(-LN(2)/2))/(LN(2)/2)*BL109*BO109*VLOOKUP('Données projet'!$B$11,Paramètres!$A$1:$I$89,3,0)*0.475*44/12</f>
        <v>4.8803175405021025E-11</v>
      </c>
      <c r="BS109" s="24">
        <f t="shared" si="63"/>
        <v>0.35077437410088458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2.8421709430404007E-14</v>
      </c>
      <c r="BZ109" s="14">
        <f>BY109*VLOOKUP('Données projet'!$B$12,Paramètres!$A$1:$I$89,3,0)*VLOOKUP('Données projet'!$B$12,Paramètres!$A$1:$I$89,5,0)</f>
        <v>2.4829205358400945E-14</v>
      </c>
      <c r="CA109" s="14">
        <f t="shared" si="93"/>
        <v>4.3867331143352915E-13</v>
      </c>
      <c r="CB109" s="22">
        <f t="shared" si="64"/>
        <v>8.0726688341261168E-13</v>
      </c>
      <c r="CC109" s="62">
        <f t="shared" si="65"/>
        <v>293.33333333333411</v>
      </c>
      <c r="CD109" s="62">
        <f ca="1">AVERAGE(OFFSET($CC$3,0,0,'Données projet'!$E$12+1,1))-AVERAGE(OFFSET($H$3,0,0,'Données projet'!$E$12+1,1))</f>
        <v>327.62212115491479</v>
      </c>
      <c r="CE109" s="62">
        <f t="shared" si="94"/>
        <v>348.84706693879735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2.9880982793251132</v>
      </c>
      <c r="CM109" s="23">
        <f>EXP(-LN(2)/2)*CM108+(1-EXP(-LN(2)/2))/(LN(2)/2)*CG109*CJ109*VLOOKUP('Données projet'!$B$12,Paramètres!$A$1:$I$89,3,0)*0.475*44/12</f>
        <v>3.0954878112592746E-10</v>
      </c>
      <c r="CN109" s="24">
        <f t="shared" si="66"/>
        <v>2.988098279634662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4.1677594708744434E-14</v>
      </c>
      <c r="CV109" s="14">
        <f t="shared" si="95"/>
        <v>6.9326303456159188E-13</v>
      </c>
      <c r="CW109" s="22">
        <f t="shared" si="67"/>
        <v>1.2800215959791691E-12</v>
      </c>
      <c r="CX109" s="62">
        <f t="shared" si="68"/>
        <v>293.33333333333462</v>
      </c>
      <c r="CY109" s="62">
        <f ca="1">AVERAGE(OFFSET($CX$3,0,0,'Données projet'!$E$13+1,1))-AVERAGE(OFFSET($H$3,0,0,'Données projet'!$E$13+1,1))</f>
        <v>277.97613250285963</v>
      </c>
      <c r="CZ109" s="62">
        <f t="shared" si="96"/>
        <v>274.55710362891892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1.7801362519161852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1.7801362519161852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2">
        <f t="shared" si="55"/>
        <v>824.8856389507489</v>
      </c>
      <c r="S110" s="62">
        <f ca="1">AVERAGE(OFFSET($R$3,0,0,'Données projet'!$E$9+1,1))-AVERAGE(OFFSET($H$3,0,0,'Données projet'!$E$9+1,1))</f>
        <v>364.63511534965755</v>
      </c>
      <c r="T110" s="62">
        <f t="shared" si="88"/>
        <v>233.32640143610541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0.31917066064738486</v>
      </c>
      <c r="AB110" s="23">
        <f>EXP(-LN(2)/2)*AB109+(1-EXP(-LN(2)/2))/(LN(2)/2)*V110*Y110*VLOOKUP('Données projet'!$B$9,Paramètres!$A$1:$I$89,3,0)*0.475*44/12</f>
        <v>3.2282665545079988E-11</v>
      </c>
      <c r="AC110" s="24">
        <f t="shared" si="57"/>
        <v>0.31917066067966754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275.19960000000003</v>
      </c>
      <c r="AK110" s="14">
        <f t="shared" si="89"/>
        <v>65.951527620662617</v>
      </c>
      <c r="AL110" s="22">
        <f t="shared" si="58"/>
        <v>594.17154727265404</v>
      </c>
      <c r="AM110" s="62">
        <f t="shared" si="59"/>
        <v>887.50488060598741</v>
      </c>
      <c r="AN110" s="62">
        <f ca="1">AVERAGE(OFFSET($AM$3,0,0,'Données projet'!$E$10+1,1))-AVERAGE(OFFSET($H$3,0,0,'Données projet'!$E$10+1,1))</f>
        <v>403.82490501309815</v>
      </c>
      <c r="AO110" s="62">
        <f t="shared" si="90"/>
        <v>256.4377087753457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0.35769125762206955</v>
      </c>
      <c r="AW110" s="23">
        <f>EXP(-LN(2)/2)*AW109+(1-EXP(-LN(2)/2))/(LN(2)/2)*AQ110*AT110*VLOOKUP('Données projet'!$B$10,Paramètres!$A$1:$I$89,3,0)*0.475*44/12</f>
        <v>3.6178849317762058E-11</v>
      </c>
      <c r="AX110" s="23">
        <f t="shared" si="60"/>
        <v>0.35769125765824838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262.49807999999996</v>
      </c>
      <c r="BF110" s="14">
        <f t="shared" si="91"/>
        <v>63.254570961138086</v>
      </c>
      <c r="BG110" s="22">
        <f t="shared" si="61"/>
        <v>567.35253375731543</v>
      </c>
      <c r="BH110" s="62">
        <f t="shared" si="62"/>
        <v>860.6858670906488</v>
      </c>
      <c r="BI110" s="62">
        <f ca="1">AVERAGE(OFFSET($BH$3,0,0,'Données projet'!$E$11+1,1))-AVERAGE(OFFSET($H$3,0,0,'Données projet'!$E$11+1,1))</f>
        <v>387.04070351732537</v>
      </c>
      <c r="BJ110" s="62">
        <f t="shared" si="92"/>
        <v>246.54010105494137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0.34118243034720458</v>
      </c>
      <c r="BR110" s="23">
        <f>EXP(-LN(2)/2)*BR109+(1-EXP(-LN(2)/2))/(LN(2)/2)*BL110*BO110*VLOOKUP('Données projet'!$B$11,Paramètres!$A$1:$I$89,3,0)*0.475*44/12</f>
        <v>3.4509056272326899E-11</v>
      </c>
      <c r="BS110" s="24">
        <f t="shared" si="63"/>
        <v>0.34118243038171364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2.8421709430404007E-14</v>
      </c>
      <c r="BZ110" s="14">
        <f>BY110*VLOOKUP('Données projet'!$B$12,Paramètres!$A$1:$I$89,3,0)*VLOOKUP('Données projet'!$B$12,Paramètres!$A$1:$I$89,5,0)</f>
        <v>2.4829205358400945E-14</v>
      </c>
      <c r="CA110" s="14">
        <f t="shared" si="93"/>
        <v>4.3867331143352915E-13</v>
      </c>
      <c r="CB110" s="22">
        <f t="shared" si="64"/>
        <v>8.0726688341261168E-13</v>
      </c>
      <c r="CC110" s="62">
        <f t="shared" si="65"/>
        <v>293.33333333333411</v>
      </c>
      <c r="CD110" s="62">
        <f ca="1">AVERAGE(OFFSET($CC$3,0,0,'Données projet'!$E$12+1,1))-AVERAGE(OFFSET($H$3,0,0,'Données projet'!$E$12+1,1))</f>
        <v>327.62212115491479</v>
      </c>
      <c r="CE110" s="62">
        <f t="shared" si="94"/>
        <v>348.84706693879735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2.9063885747397089</v>
      </c>
      <c r="CM110" s="23">
        <f>EXP(-LN(2)/2)*CM109+(1-EXP(-LN(2)/2))/(LN(2)/2)*CG110*CJ110*VLOOKUP('Données projet'!$B$12,Paramètres!$A$1:$I$89,3,0)*0.475*44/12</f>
        <v>2.1888404224217369E-10</v>
      </c>
      <c r="CN110" s="24">
        <f t="shared" si="66"/>
        <v>2.9063885749585929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4.1677594708744434E-14</v>
      </c>
      <c r="CV110" s="14">
        <f t="shared" si="95"/>
        <v>6.9326303456159188E-13</v>
      </c>
      <c r="CW110" s="22">
        <f t="shared" si="67"/>
        <v>1.2800215959791691E-12</v>
      </c>
      <c r="CX110" s="62">
        <f t="shared" si="68"/>
        <v>293.33333333333462</v>
      </c>
      <c r="CY110" s="62">
        <f ca="1">AVERAGE(OFFSET($CX$3,0,0,'Données projet'!$E$13+1,1))-AVERAGE(OFFSET($H$3,0,0,'Données projet'!$E$13+1,1))</f>
        <v>277.97613250285963</v>
      </c>
      <c r="CZ110" s="62">
        <f t="shared" si="96"/>
        <v>274.55710362891892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1.745228865792011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1.745228865792011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2">
        <f t="shared" si="55"/>
        <v>832.92321271830974</v>
      </c>
      <c r="S111" s="62">
        <f ca="1">AVERAGE(OFFSET($R$3,0,0,'Données projet'!$E$9+1,1))-AVERAGE(OFFSET($H$3,0,0,'Données projet'!$E$9+1,1))</f>
        <v>364.63511534965755</v>
      </c>
      <c r="T111" s="62">
        <f t="shared" si="88"/>
        <v>233.32640143610541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0.31044292214752656</v>
      </c>
      <c r="AB111" s="23">
        <f>EXP(-LN(2)/2)*AB110+(1-EXP(-LN(2)/2))/(LN(2)/2)*V111*Y111*VLOOKUP('Données projet'!$B$9,Paramètres!$A$1:$I$89,3,0)*0.475*44/12</f>
        <v>2.2827291721703372E-11</v>
      </c>
      <c r="AC111" s="24">
        <f t="shared" si="57"/>
        <v>0.31044292217035385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279.45839999999998</v>
      </c>
      <c r="AK111" s="14">
        <f t="shared" si="89"/>
        <v>66.852540337772723</v>
      </c>
      <c r="AL111" s="22">
        <f t="shared" si="58"/>
        <v>603.15822108828741</v>
      </c>
      <c r="AM111" s="62">
        <f t="shared" si="59"/>
        <v>896.49155442162078</v>
      </c>
      <c r="AN111" s="62">
        <f ca="1">AVERAGE(OFFSET($AM$3,0,0,'Données projet'!$E$10+1,1))-AVERAGE(OFFSET($H$3,0,0,'Données projet'!$E$10+1,1))</f>
        <v>403.82490501309815</v>
      </c>
      <c r="AO111" s="62">
        <f t="shared" si="90"/>
        <v>256.4377087753457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0.34791017137222835</v>
      </c>
      <c r="AW111" s="23">
        <f>EXP(-LN(2)/2)*AW110+(1-EXP(-LN(2)/2))/(LN(2)/2)*AQ111*AT111*VLOOKUP('Données projet'!$B$10,Paramètres!$A$1:$I$89,3,0)*0.475*44/12</f>
        <v>2.558230968811585E-11</v>
      </c>
      <c r="AX111" s="23">
        <f t="shared" si="60"/>
        <v>0.34791017139781066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266.56031999999999</v>
      </c>
      <c r="BF111" s="14">
        <f t="shared" si="91"/>
        <v>64.11873855372427</v>
      </c>
      <c r="BG111" s="22">
        <f t="shared" si="61"/>
        <v>575.9326936477363</v>
      </c>
      <c r="BH111" s="62">
        <f t="shared" si="62"/>
        <v>869.26602698106967</v>
      </c>
      <c r="BI111" s="62">
        <f ca="1">AVERAGE(OFFSET($BH$3,0,0,'Données projet'!$E$11+1,1))-AVERAGE(OFFSET($H$3,0,0,'Données projet'!$E$11+1,1))</f>
        <v>387.04070351732537</v>
      </c>
      <c r="BJ111" s="62">
        <f t="shared" si="92"/>
        <v>246.54010105494137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0.33185277884735603</v>
      </c>
      <c r="BR111" s="23">
        <f>EXP(-LN(2)/2)*BR110+(1-EXP(-LN(2)/2))/(LN(2)/2)*BL111*BO111*VLOOKUP('Données projet'!$B$11,Paramètres!$A$1:$I$89,3,0)*0.475*44/12</f>
        <v>2.4401587702510512E-11</v>
      </c>
      <c r="BS111" s="24">
        <f t="shared" si="63"/>
        <v>0.33185277887175763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2.8421709430404007E-14</v>
      </c>
      <c r="BZ111" s="14">
        <f>BY111*VLOOKUP('Données projet'!$B$12,Paramètres!$A$1:$I$89,3,0)*VLOOKUP('Données projet'!$B$12,Paramètres!$A$1:$I$89,5,0)</f>
        <v>2.4829205358400945E-14</v>
      </c>
      <c r="CA111" s="14">
        <f t="shared" si="93"/>
        <v>4.3867331143352915E-13</v>
      </c>
      <c r="CB111" s="22">
        <f t="shared" si="64"/>
        <v>8.0726688341261168E-13</v>
      </c>
      <c r="CC111" s="62">
        <f t="shared" si="65"/>
        <v>293.33333333333411</v>
      </c>
      <c r="CD111" s="62">
        <f ca="1">AVERAGE(OFFSET($CC$3,0,0,'Données projet'!$E$12+1,1))-AVERAGE(OFFSET($H$3,0,0,'Données projet'!$E$12+1,1))</f>
        <v>327.62212115491479</v>
      </c>
      <c r="CE111" s="62">
        <f t="shared" si="94"/>
        <v>348.84706693879735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2.8269132263231191</v>
      </c>
      <c r="CM111" s="23">
        <f>EXP(-LN(2)/2)*CM110+(1-EXP(-LN(2)/2))/(LN(2)/2)*CG111*CJ111*VLOOKUP('Données projet'!$B$12,Paramètres!$A$1:$I$89,3,0)*0.475*44/12</f>
        <v>1.5477439056296373E-10</v>
      </c>
      <c r="CN111" s="24">
        <f t="shared" si="66"/>
        <v>2.8269132264778936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4.1677594708744434E-14</v>
      </c>
      <c r="CV111" s="14">
        <f t="shared" si="95"/>
        <v>6.9326303456159188E-13</v>
      </c>
      <c r="CW111" s="22">
        <f t="shared" si="67"/>
        <v>1.2800215959791691E-12</v>
      </c>
      <c r="CX111" s="62">
        <f t="shared" si="68"/>
        <v>293.33333333333462</v>
      </c>
      <c r="CY111" s="62">
        <f ca="1">AVERAGE(OFFSET($CX$3,0,0,'Données projet'!$E$13+1,1))-AVERAGE(OFFSET($H$3,0,0,'Données projet'!$E$13+1,1))</f>
        <v>277.97613250285963</v>
      </c>
      <c r="CZ111" s="62">
        <f t="shared" si="96"/>
        <v>274.55710362891892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1.7110059922183287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1.7110059922183287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2">
        <f t="shared" si="55"/>
        <v>840.95827155303914</v>
      </c>
      <c r="S112" s="62">
        <f ca="1">AVERAGE(OFFSET($R$3,0,0,'Données projet'!$E$9+1,1))-AVERAGE(OFFSET($H$3,0,0,'Données projet'!$E$9+1,1))</f>
        <v>364.63511534965755</v>
      </c>
      <c r="T112" s="62">
        <f t="shared" si="88"/>
        <v>233.32640143610541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0.30195384411591869</v>
      </c>
      <c r="AB112" s="23">
        <f>EXP(-LN(2)/2)*AB111+(1-EXP(-LN(2)/2))/(LN(2)/2)*V112*Y112*VLOOKUP('Données projet'!$B$9,Paramètres!$A$1:$I$89,3,0)*0.475*44/12</f>
        <v>1.6141332772539994E-11</v>
      </c>
      <c r="AC112" s="24">
        <f t="shared" si="57"/>
        <v>0.30195384413206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283.71719999999999</v>
      </c>
      <c r="AK112" s="14">
        <f t="shared" si="89"/>
        <v>67.751956122170697</v>
      </c>
      <c r="AL112" s="22">
        <f t="shared" si="58"/>
        <v>612.14211357944725</v>
      </c>
      <c r="AM112" s="62">
        <f t="shared" si="59"/>
        <v>905.47544691278063</v>
      </c>
      <c r="AN112" s="62">
        <f ca="1">AVERAGE(OFFSET($AM$3,0,0,'Données projet'!$E$10+1,1))-AVERAGE(OFFSET($H$3,0,0,'Données projet'!$E$10+1,1))</f>
        <v>403.82490501309815</v>
      </c>
      <c r="AO112" s="62">
        <f t="shared" si="90"/>
        <v>256.4377087753457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0.33839654944025399</v>
      </c>
      <c r="AW112" s="23">
        <f>EXP(-LN(2)/2)*AW111+(1-EXP(-LN(2)/2))/(LN(2)/2)*AQ112*AT112*VLOOKUP('Données projet'!$B$10,Paramètres!$A$1:$I$89,3,0)*0.475*44/12</f>
        <v>1.8089424658881029E-11</v>
      </c>
      <c r="AX112" s="23">
        <f t="shared" si="60"/>
        <v>0.33839654945834341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270.62255999999996</v>
      </c>
      <c r="BF112" s="14">
        <f t="shared" si="91"/>
        <v>64.981374516988026</v>
      </c>
      <c r="BG112" s="22">
        <f t="shared" si="61"/>
        <v>584.51018595042069</v>
      </c>
      <c r="BH112" s="62">
        <f t="shared" si="62"/>
        <v>877.84351928375395</v>
      </c>
      <c r="BI112" s="62">
        <f ca="1">AVERAGE(OFFSET($BH$3,0,0,'Données projet'!$E$11+1,1))-AVERAGE(OFFSET($H$3,0,0,'Données projet'!$E$11+1,1))</f>
        <v>387.04070351732537</v>
      </c>
      <c r="BJ112" s="62">
        <f t="shared" si="92"/>
        <v>246.54010105494137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0.32277824715839593</v>
      </c>
      <c r="BR112" s="23">
        <f>EXP(-LN(2)/2)*BR111+(1-EXP(-LN(2)/2))/(LN(2)/2)*BL112*BO112*VLOOKUP('Données projet'!$B$11,Paramètres!$A$1:$I$89,3,0)*0.475*44/12</f>
        <v>1.725452813616345E-11</v>
      </c>
      <c r="BS112" s="24">
        <f t="shared" si="63"/>
        <v>0.32277824717565046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2.8421709430404007E-14</v>
      </c>
      <c r="BZ112" s="14">
        <f>BY112*VLOOKUP('Données projet'!$B$12,Paramètres!$A$1:$I$89,3,0)*VLOOKUP('Données projet'!$B$12,Paramètres!$A$1:$I$89,5,0)</f>
        <v>2.4829205358400945E-14</v>
      </c>
      <c r="CA112" s="14">
        <f t="shared" si="93"/>
        <v>4.3867331143352915E-13</v>
      </c>
      <c r="CB112" s="22">
        <f t="shared" si="64"/>
        <v>8.0726688341261168E-13</v>
      </c>
      <c r="CC112" s="62">
        <f t="shared" si="65"/>
        <v>293.33333333333411</v>
      </c>
      <c r="CD112" s="62">
        <f ca="1">AVERAGE(OFFSET($CC$3,0,0,'Données projet'!$E$12+1,1))-AVERAGE(OFFSET($H$3,0,0,'Données projet'!$E$12+1,1))</f>
        <v>327.62212115491479</v>
      </c>
      <c r="CE112" s="62">
        <f t="shared" si="94"/>
        <v>348.84706693879735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2.7496111354884079</v>
      </c>
      <c r="CM112" s="23">
        <f>EXP(-LN(2)/2)*CM111+(1-EXP(-LN(2)/2))/(LN(2)/2)*CG112*CJ112*VLOOKUP('Données projet'!$B$12,Paramètres!$A$1:$I$89,3,0)*0.475*44/12</f>
        <v>1.0944202112108684E-10</v>
      </c>
      <c r="CN112" s="24">
        <f t="shared" si="66"/>
        <v>2.7496111355978501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4.1677594708744434E-14</v>
      </c>
      <c r="CV112" s="14">
        <f t="shared" si="95"/>
        <v>6.9326303456159188E-13</v>
      </c>
      <c r="CW112" s="22">
        <f t="shared" si="67"/>
        <v>1.2800215959791691E-12</v>
      </c>
      <c r="CX112" s="62">
        <f t="shared" si="68"/>
        <v>293.33333333333462</v>
      </c>
      <c r="CY112" s="62">
        <f ca="1">AVERAGE(OFFSET($CX$3,0,0,'Données projet'!$E$13+1,1))-AVERAGE(OFFSET($H$3,0,0,'Données projet'!$E$13+1,1))</f>
        <v>277.97613250285963</v>
      </c>
      <c r="CZ112" s="62">
        <f t="shared" si="96"/>
        <v>274.55710362891892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1.6774542083215345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1.6774542083215345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2">
        <f t="shared" si="55"/>
        <v>848.99085756649265</v>
      </c>
      <c r="S113" s="62">
        <f ca="1">AVERAGE(OFFSET($R$3,0,0,'Données projet'!$E$9+1,1))-AVERAGE(OFFSET($H$3,0,0,'Données projet'!$E$9+1,1))</f>
        <v>364.63511534965755</v>
      </c>
      <c r="T113" s="62">
        <f t="shared" si="88"/>
        <v>233.32640143610541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0.29369690036950635</v>
      </c>
      <c r="AB113" s="23">
        <f>EXP(-LN(2)/2)*AB112+(1-EXP(-LN(2)/2))/(LN(2)/2)*V113*Y113*VLOOKUP('Données projet'!$B$9,Paramètres!$A$1:$I$89,3,0)*0.475*44/12</f>
        <v>1.1413645860851686E-11</v>
      </c>
      <c r="AC113" s="24">
        <f t="shared" si="57"/>
        <v>0.29369690038092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287.97599999999994</v>
      </c>
      <c r="AK113" s="14">
        <f t="shared" si="89"/>
        <v>68.649801713863141</v>
      </c>
      <c r="AL113" s="22">
        <f t="shared" si="58"/>
        <v>621.12327131831148</v>
      </c>
      <c r="AM113" s="62">
        <f t="shared" si="59"/>
        <v>914.45660465164474</v>
      </c>
      <c r="AN113" s="62">
        <f ca="1">AVERAGE(OFFSET($AM$3,0,0,'Données projet'!$E$10+1,1))-AVERAGE(OFFSET($H$3,0,0,'Données projet'!$E$10+1,1))</f>
        <v>403.82490501309815</v>
      </c>
      <c r="AO113" s="62">
        <f t="shared" si="90"/>
        <v>256.4377087753457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0.32914307800030912</v>
      </c>
      <c r="AW113" s="23">
        <f>EXP(-LN(2)/2)*AW112+(1-EXP(-LN(2)/2))/(LN(2)/2)*AQ113*AT113*VLOOKUP('Données projet'!$B$10,Paramètres!$A$1:$I$89,3,0)*0.475*44/12</f>
        <v>1.2791154844057925E-11</v>
      </c>
      <c r="AX113" s="23">
        <f t="shared" si="60"/>
        <v>0.32914307801310028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274.68479999999994</v>
      </c>
      <c r="BF113" s="14">
        <f t="shared" si="91"/>
        <v>65.842504497456659</v>
      </c>
      <c r="BG113" s="22">
        <f t="shared" si="61"/>
        <v>593.08505533307027</v>
      </c>
      <c r="BH113" s="62">
        <f t="shared" si="62"/>
        <v>886.41838866640364</v>
      </c>
      <c r="BI113" s="62">
        <f ca="1">AVERAGE(OFFSET($BH$3,0,0,'Données projet'!$E$11+1,1))-AVERAGE(OFFSET($H$3,0,0,'Données projet'!$E$11+1,1))</f>
        <v>387.04070351732537</v>
      </c>
      <c r="BJ113" s="62">
        <f t="shared" si="92"/>
        <v>246.54010105494137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0.31395185901567929</v>
      </c>
      <c r="BR113" s="23">
        <f>EXP(-LN(2)/2)*BR112+(1-EXP(-LN(2)/2))/(LN(2)/2)*BL113*BO113*VLOOKUP('Données projet'!$B$11,Paramètres!$A$1:$I$89,3,0)*0.475*44/12</f>
        <v>1.2200793851255256E-11</v>
      </c>
      <c r="BS113" s="24">
        <f t="shared" si="63"/>
        <v>0.31395185902788009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2.8421709430404007E-14</v>
      </c>
      <c r="BZ113" s="14">
        <f>BY113*VLOOKUP('Données projet'!$B$12,Paramètres!$A$1:$I$89,3,0)*VLOOKUP('Données projet'!$B$12,Paramètres!$A$1:$I$89,5,0)</f>
        <v>2.4829205358400945E-14</v>
      </c>
      <c r="CA113" s="14">
        <f t="shared" si="93"/>
        <v>4.3867331143352915E-13</v>
      </c>
      <c r="CB113" s="22">
        <f t="shared" si="64"/>
        <v>8.0726688341261168E-13</v>
      </c>
      <c r="CC113" s="62">
        <f t="shared" si="65"/>
        <v>293.33333333333411</v>
      </c>
      <c r="CD113" s="62">
        <f ca="1">AVERAGE(OFFSET($CC$3,0,0,'Données projet'!$E$12+1,1))-AVERAGE(OFFSET($H$3,0,0,'Données projet'!$E$12+1,1))</f>
        <v>327.62212115491479</v>
      </c>
      <c r="CE113" s="62">
        <f t="shared" si="94"/>
        <v>348.84706693879735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2.6744228743927119</v>
      </c>
      <c r="CM113" s="23">
        <f>EXP(-LN(2)/2)*CM112+(1-EXP(-LN(2)/2))/(LN(2)/2)*CG113*CJ113*VLOOKUP('Données projet'!$B$12,Paramètres!$A$1:$I$89,3,0)*0.475*44/12</f>
        <v>7.7387195281481866E-11</v>
      </c>
      <c r="CN113" s="24">
        <f t="shared" si="66"/>
        <v>2.6744228744700989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4.1677594708744434E-14</v>
      </c>
      <c r="CV113" s="14">
        <f t="shared" si="95"/>
        <v>6.9326303456159188E-13</v>
      </c>
      <c r="CW113" s="22">
        <f t="shared" si="67"/>
        <v>1.2800215959791691E-12</v>
      </c>
      <c r="CX113" s="62">
        <f t="shared" si="68"/>
        <v>293.33333333333462</v>
      </c>
      <c r="CY113" s="62">
        <f ca="1">AVERAGE(OFFSET($CX$3,0,0,'Données projet'!$E$13+1,1))-AVERAGE(OFFSET($H$3,0,0,'Données projet'!$E$13+1,1))</f>
        <v>277.97613250285963</v>
      </c>
      <c r="CZ113" s="62">
        <f t="shared" si="96"/>
        <v>274.55710362891892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1.644560354442389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1.644560354442389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2">
        <f t="shared" si="55"/>
        <v>819.908718761008</v>
      </c>
      <c r="S114" s="62">
        <f ca="1">AVERAGE(OFFSET($R$3,0,0,'Données projet'!$E$9+1,1))-AVERAGE(OFFSET($H$3,0,0,'Données projet'!$E$9+1,1))</f>
        <v>364.63511534965755</v>
      </c>
      <c r="T114" s="62">
        <f t="shared" si="88"/>
        <v>233.32640143610541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0.28566574318405347</v>
      </c>
      <c r="AB114" s="23">
        <f>EXP(-LN(2)/2)*AB113+(1-EXP(-LN(2)/2))/(LN(2)/2)*V114*Y114*VLOOKUP('Données projet'!$B$9,Paramètres!$A$1:$I$89,3,0)*0.475*44/12</f>
        <v>8.0706663862699969E-12</v>
      </c>
      <c r="AC114" s="24">
        <f t="shared" si="57"/>
        <v>0.28566574319212412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272.56319999999994</v>
      </c>
      <c r="AK114" s="14">
        <f t="shared" si="89"/>
        <v>65.392945522034609</v>
      </c>
      <c r="AL114" s="22">
        <f t="shared" si="58"/>
        <v>588.60695345087686</v>
      </c>
      <c r="AM114" s="62">
        <f t="shared" si="59"/>
        <v>881.94028678421023</v>
      </c>
      <c r="AN114" s="62">
        <f ca="1">AVERAGE(OFFSET($AM$3,0,0,'Données projet'!$E$10+1,1))-AVERAGE(OFFSET($H$3,0,0,'Données projet'!$E$10+1,1))</f>
        <v>403.82490501309815</v>
      </c>
      <c r="AO114" s="62">
        <f t="shared" si="90"/>
        <v>256.4377087753457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0.32014264322350844</v>
      </c>
      <c r="AW114" s="23">
        <f>EXP(-LN(2)/2)*AW113+(1-EXP(-LN(2)/2))/(LN(2)/2)*AQ114*AT114*VLOOKUP('Données projet'!$B$10,Paramètres!$A$1:$I$89,3,0)*0.475*44/12</f>
        <v>9.0447123294405146E-12</v>
      </c>
      <c r="AX114" s="23">
        <f t="shared" si="60"/>
        <v>0.32014264323255315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259.98335999999995</v>
      </c>
      <c r="BF114" s="14">
        <f t="shared" si="91"/>
        <v>62.718830967388243</v>
      </c>
      <c r="BG114" s="22">
        <f t="shared" si="61"/>
        <v>562.03964926820106</v>
      </c>
      <c r="BH114" s="62">
        <f t="shared" si="62"/>
        <v>855.37298260153443</v>
      </c>
      <c r="BI114" s="62">
        <f ca="1">AVERAGE(OFFSET($BH$3,0,0,'Données projet'!$E$11+1,1))-AVERAGE(OFFSET($H$3,0,0,'Données projet'!$E$11+1,1))</f>
        <v>387.04070351732537</v>
      </c>
      <c r="BJ114" s="62">
        <f t="shared" si="92"/>
        <v>246.54010105494137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0.30536682892088485</v>
      </c>
      <c r="BR114" s="23">
        <f>EXP(-LN(2)/2)*BR113+(1-EXP(-LN(2)/2))/(LN(2)/2)*BL114*BO114*VLOOKUP('Données projet'!$B$11,Paramètres!$A$1:$I$89,3,0)*0.475*44/12</f>
        <v>8.6272640680817248E-12</v>
      </c>
      <c r="BS114" s="24">
        <f t="shared" si="63"/>
        <v>0.30536682892951211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2.8421709430404007E-14</v>
      </c>
      <c r="BZ114" s="14">
        <f>BY114*VLOOKUP('Données projet'!$B$12,Paramètres!$A$1:$I$89,3,0)*VLOOKUP('Données projet'!$B$12,Paramètres!$A$1:$I$89,5,0)</f>
        <v>2.4829205358400945E-14</v>
      </c>
      <c r="CA114" s="14">
        <f t="shared" si="93"/>
        <v>4.3867331143352915E-13</v>
      </c>
      <c r="CB114" s="22">
        <f t="shared" si="64"/>
        <v>8.0726688341261168E-13</v>
      </c>
      <c r="CC114" s="62">
        <f t="shared" si="65"/>
        <v>293.33333333333411</v>
      </c>
      <c r="CD114" s="62">
        <f ca="1">AVERAGE(OFFSET($CC$3,0,0,'Données projet'!$E$12+1,1))-AVERAGE(OFFSET($H$3,0,0,'Données projet'!$E$12+1,1))</f>
        <v>327.62212115491479</v>
      </c>
      <c r="CE114" s="62">
        <f t="shared" si="94"/>
        <v>348.84706693879735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2.6012906402506566</v>
      </c>
      <c r="CM114" s="23">
        <f>EXP(-LN(2)/2)*CM113+(1-EXP(-LN(2)/2))/(LN(2)/2)*CG114*CJ114*VLOOKUP('Données projet'!$B$12,Paramètres!$A$1:$I$89,3,0)*0.475*44/12</f>
        <v>5.4721010560543421E-11</v>
      </c>
      <c r="CN114" s="24">
        <f t="shared" si="66"/>
        <v>2.6012906403053777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4.1677594708744434E-14</v>
      </c>
      <c r="CV114" s="14">
        <f t="shared" si="95"/>
        <v>6.9326303456159188E-13</v>
      </c>
      <c r="CW114" s="22">
        <f t="shared" si="67"/>
        <v>1.2800215959791691E-12</v>
      </c>
      <c r="CX114" s="62">
        <f t="shared" si="68"/>
        <v>293.33333333333462</v>
      </c>
      <c r="CY114" s="62">
        <f ca="1">AVERAGE(OFFSET($CX$3,0,0,'Données projet'!$E$13+1,1))-AVERAGE(OFFSET($H$3,0,0,'Données projet'!$E$13+1,1))</f>
        <v>277.97613250285963</v>
      </c>
      <c r="CZ114" s="62">
        <f t="shared" si="96"/>
        <v>274.55710362891892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1.6123115289745438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1.6123115289745438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2">
        <f t="shared" si="55"/>
        <v>827.18234773386234</v>
      </c>
      <c r="S115" s="62">
        <f ca="1">AVERAGE(OFFSET($R$3,0,0,'Données projet'!$E$9+1,1))-AVERAGE(OFFSET($H$3,0,0,'Données projet'!$E$9+1,1))</f>
        <v>364.63511534965755</v>
      </c>
      <c r="T115" s="62">
        <f t="shared" si="88"/>
        <v>233.32640143610541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0.27785419841417697</v>
      </c>
      <c r="AB115" s="23">
        <f>EXP(-LN(2)/2)*AB114+(1-EXP(-LN(2)/2))/(LN(2)/2)*V115*Y115*VLOOKUP('Données projet'!$B$9,Paramètres!$A$1:$I$89,3,0)*0.475*44/12</f>
        <v>5.7068229304258429E-12</v>
      </c>
      <c r="AC115" s="24">
        <f t="shared" si="57"/>
        <v>0.27785419841988379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276.41640000000001</v>
      </c>
      <c r="AK115" s="14">
        <f t="shared" si="89"/>
        <v>66.209124371313408</v>
      </c>
      <c r="AL115" s="22">
        <f t="shared" si="58"/>
        <v>596.7394549467042</v>
      </c>
      <c r="AM115" s="62">
        <f t="shared" si="59"/>
        <v>890.07278828003746</v>
      </c>
      <c r="AN115" s="62">
        <f ca="1">AVERAGE(OFFSET($AM$3,0,0,'Données projet'!$E$10+1,1))-AVERAGE(OFFSET($H$3,0,0,'Données projet'!$E$10+1,1))</f>
        <v>403.82490501309815</v>
      </c>
      <c r="AO115" s="62">
        <f t="shared" si="90"/>
        <v>256.4377087753457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0.31138832580899167</v>
      </c>
      <c r="AW115" s="23">
        <f>EXP(-LN(2)/2)*AW114+(1-EXP(-LN(2)/2))/(LN(2)/2)*AQ115*AT115*VLOOKUP('Données projet'!$B$10,Paramètres!$A$1:$I$89,3,0)*0.475*44/12</f>
        <v>6.3955774220289625E-12</v>
      </c>
      <c r="AX115" s="23">
        <f t="shared" si="60"/>
        <v>0.31138832581538722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263.65871999999996</v>
      </c>
      <c r="BF115" s="14">
        <f t="shared" si="91"/>
        <v>63.501633804581523</v>
      </c>
      <c r="BG115" s="22">
        <f t="shared" si="61"/>
        <v>569.80428287631264</v>
      </c>
      <c r="BH115" s="62">
        <f t="shared" si="62"/>
        <v>863.13761620964601</v>
      </c>
      <c r="BI115" s="62">
        <f ca="1">AVERAGE(OFFSET($BH$3,0,0,'Données projet'!$E$11+1,1))-AVERAGE(OFFSET($H$3,0,0,'Données projet'!$E$11+1,1))</f>
        <v>387.04070351732537</v>
      </c>
      <c r="BJ115" s="62">
        <f t="shared" si="92"/>
        <v>246.54010105494137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0.29701655692549966</v>
      </c>
      <c r="BR115" s="23">
        <f>EXP(-LN(2)/2)*BR114+(1-EXP(-LN(2)/2))/(LN(2)/2)*BL115*BO115*VLOOKUP('Données projet'!$B$11,Paramètres!$A$1:$I$89,3,0)*0.475*44/12</f>
        <v>6.1003969256276281E-12</v>
      </c>
      <c r="BS115" s="24">
        <f t="shared" si="63"/>
        <v>0.29701655693160006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2.8421709430404007E-14</v>
      </c>
      <c r="BZ115" s="14">
        <f>BY115*VLOOKUP('Données projet'!$B$12,Paramètres!$A$1:$I$89,3,0)*VLOOKUP('Données projet'!$B$12,Paramètres!$A$1:$I$89,5,0)</f>
        <v>2.4829205358400945E-14</v>
      </c>
      <c r="CA115" s="14">
        <f t="shared" si="93"/>
        <v>4.3867331143352915E-13</v>
      </c>
      <c r="CB115" s="22">
        <f t="shared" si="64"/>
        <v>8.0726688341261168E-13</v>
      </c>
      <c r="CC115" s="62">
        <f t="shared" si="65"/>
        <v>293.33333333333411</v>
      </c>
      <c r="CD115" s="62">
        <f ca="1">AVERAGE(OFFSET($CC$3,0,0,'Données projet'!$E$12+1,1))-AVERAGE(OFFSET($H$3,0,0,'Données projet'!$E$12+1,1))</f>
        <v>327.62212115491479</v>
      </c>
      <c r="CE115" s="62">
        <f t="shared" si="94"/>
        <v>348.84706693879735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2.5301582108970728</v>
      </c>
      <c r="CM115" s="23">
        <f>EXP(-LN(2)/2)*CM114+(1-EXP(-LN(2)/2))/(LN(2)/2)*CG115*CJ115*VLOOKUP('Données projet'!$B$12,Paramètres!$A$1:$I$89,3,0)*0.475*44/12</f>
        <v>3.8693597640740933E-11</v>
      </c>
      <c r="CN115" s="24">
        <f t="shared" si="66"/>
        <v>2.5301582109357663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4.1677594708744434E-14</v>
      </c>
      <c r="CV115" s="14">
        <f t="shared" si="95"/>
        <v>6.9326303456159188E-13</v>
      </c>
      <c r="CW115" s="22">
        <f t="shared" si="67"/>
        <v>1.2800215959791691E-12</v>
      </c>
      <c r="CX115" s="62">
        <f t="shared" si="68"/>
        <v>293.33333333333462</v>
      </c>
      <c r="CY115" s="62">
        <f ca="1">AVERAGE(OFFSET($CX$3,0,0,'Données projet'!$E$13+1,1))-AVERAGE(OFFSET($H$3,0,0,'Données projet'!$E$13+1,1))</f>
        <v>277.97613250285963</v>
      </c>
      <c r="CZ115" s="62">
        <f t="shared" si="96"/>
        <v>274.55710362891892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1.5806950833042817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1.5806950833042817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2">
        <f t="shared" si="55"/>
        <v>834.45389270336659</v>
      </c>
      <c r="S116" s="62">
        <f ca="1">AVERAGE(OFFSET($R$3,0,0,'Données projet'!$E$9+1,1))-AVERAGE(OFFSET($H$3,0,0,'Données projet'!$E$9+1,1))</f>
        <v>364.63511534965755</v>
      </c>
      <c r="T116" s="62">
        <f t="shared" si="88"/>
        <v>233.32640143610541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0.27025626074682407</v>
      </c>
      <c r="AB116" s="23">
        <f>EXP(-LN(2)/2)*AB115+(1-EXP(-LN(2)/2))/(LN(2)/2)*V116*Y116*VLOOKUP('Données projet'!$B$9,Paramètres!$A$1:$I$89,3,0)*0.475*44/12</f>
        <v>4.0353331931349984E-12</v>
      </c>
      <c r="AC116" s="24">
        <f t="shared" si="57"/>
        <v>0.2702562607508594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280.26960000000003</v>
      </c>
      <c r="AK116" s="14">
        <f t="shared" si="89"/>
        <v>67.023979919595945</v>
      </c>
      <c r="AL116" s="22">
        <f t="shared" si="58"/>
        <v>604.8696516932963</v>
      </c>
      <c r="AM116" s="62">
        <f t="shared" si="59"/>
        <v>898.20298502662968</v>
      </c>
      <c r="AN116" s="62">
        <f ca="1">AVERAGE(OFFSET($AM$3,0,0,'Données projet'!$E$10+1,1))-AVERAGE(OFFSET($H$3,0,0,'Données projet'!$E$10+1,1))</f>
        <v>403.82490501309815</v>
      </c>
      <c r="AO116" s="62">
        <f t="shared" si="90"/>
        <v>256.4377087753457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0.30287339566454441</v>
      </c>
      <c r="AW116" s="23">
        <f>EXP(-LN(2)/2)*AW115+(1-EXP(-LN(2)/2))/(LN(2)/2)*AQ116*AT116*VLOOKUP('Données projet'!$B$10,Paramètres!$A$1:$I$89,3,0)*0.475*44/12</f>
        <v>4.5223561647202573E-12</v>
      </c>
      <c r="AX116" s="23">
        <f t="shared" si="60"/>
        <v>0.30287339566906679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267.33408000000003</v>
      </c>
      <c r="BF116" s="14">
        <f t="shared" si="91"/>
        <v>64.283167454543104</v>
      </c>
      <c r="BG116" s="22">
        <f t="shared" si="61"/>
        <v>577.56670598332937</v>
      </c>
      <c r="BH116" s="62">
        <f t="shared" si="62"/>
        <v>870.90003931666274</v>
      </c>
      <c r="BI116" s="62">
        <f ca="1">AVERAGE(OFFSET($BH$3,0,0,'Données projet'!$E$11+1,1))-AVERAGE(OFFSET($H$3,0,0,'Données projet'!$E$11+1,1))</f>
        <v>387.04070351732537</v>
      </c>
      <c r="BJ116" s="62">
        <f t="shared" si="92"/>
        <v>246.54010105494137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0.28889462355695</v>
      </c>
      <c r="BR116" s="23">
        <f>EXP(-LN(2)/2)*BR115+(1-EXP(-LN(2)/2))/(LN(2)/2)*BL116*BO116*VLOOKUP('Données projet'!$B$11,Paramètres!$A$1:$I$89,3,0)*0.475*44/12</f>
        <v>4.3136320340408624E-12</v>
      </c>
      <c r="BS116" s="24">
        <f t="shared" si="63"/>
        <v>0.28889462356126361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2.8421709430404007E-14</v>
      </c>
      <c r="BZ116" s="14">
        <f>BY116*VLOOKUP('Données projet'!$B$12,Paramètres!$A$1:$I$89,3,0)*VLOOKUP('Données projet'!$B$12,Paramètres!$A$1:$I$89,5,0)</f>
        <v>2.4829205358400945E-14</v>
      </c>
      <c r="CA116" s="14">
        <f t="shared" si="93"/>
        <v>4.3867331143352915E-13</v>
      </c>
      <c r="CB116" s="22">
        <f t="shared" si="64"/>
        <v>8.0726688341261168E-13</v>
      </c>
      <c r="CC116" s="62">
        <f t="shared" si="65"/>
        <v>293.33333333333411</v>
      </c>
      <c r="CD116" s="62">
        <f ca="1">AVERAGE(OFFSET($CC$3,0,0,'Données projet'!$E$12+1,1))-AVERAGE(OFFSET($H$3,0,0,'Données projet'!$E$12+1,1))</f>
        <v>327.62212115491479</v>
      </c>
      <c r="CE116" s="62">
        <f t="shared" si="94"/>
        <v>348.84706693879735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2.4609709015648549</v>
      </c>
      <c r="CM116" s="23">
        <f>EXP(-LN(2)/2)*CM115+(1-EXP(-LN(2)/2))/(LN(2)/2)*CG116*CJ116*VLOOKUP('Données projet'!$B$12,Paramètres!$A$1:$I$89,3,0)*0.475*44/12</f>
        <v>2.7360505280271711E-11</v>
      </c>
      <c r="CN116" s="24">
        <f t="shared" si="66"/>
        <v>2.4609709015922152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4.1677594708744434E-14</v>
      </c>
      <c r="CV116" s="14">
        <f t="shared" si="95"/>
        <v>6.9326303456159188E-13</v>
      </c>
      <c r="CW116" s="22">
        <f t="shared" si="67"/>
        <v>1.2800215959791691E-12</v>
      </c>
      <c r="CX116" s="62">
        <f t="shared" si="68"/>
        <v>293.33333333333462</v>
      </c>
      <c r="CY116" s="62">
        <f ca="1">AVERAGE(OFFSET($CX$3,0,0,'Données projet'!$E$13+1,1))-AVERAGE(OFFSET($H$3,0,0,'Données projet'!$E$13+1,1))</f>
        <v>277.97613250285963</v>
      </c>
      <c r="CZ116" s="62">
        <f t="shared" si="96"/>
        <v>274.55710362891892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1.5496986168494857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1.5496986168494857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2">
        <f t="shared" si="55"/>
        <v>841.72338563225185</v>
      </c>
      <c r="S117" s="62">
        <f ca="1">AVERAGE(OFFSET($R$3,0,0,'Données projet'!$E$9+1,1))-AVERAGE(OFFSET($H$3,0,0,'Données projet'!$E$9+1,1))</f>
        <v>364.63511534965755</v>
      </c>
      <c r="T117" s="62">
        <f t="shared" si="88"/>
        <v>233.32640143610541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0.26286608908454312</v>
      </c>
      <c r="AB117" s="23">
        <f>EXP(-LN(2)/2)*AB116+(1-EXP(-LN(2)/2))/(LN(2)/2)*V117*Y117*VLOOKUP('Données projet'!$B$9,Paramètres!$A$1:$I$89,3,0)*0.475*44/12</f>
        <v>2.8534114652129215E-12</v>
      </c>
      <c r="AC117" s="24">
        <f t="shared" si="57"/>
        <v>0.2628660890873965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284.12279999999998</v>
      </c>
      <c r="AK117" s="14">
        <f t="shared" si="89"/>
        <v>67.837532462585557</v>
      </c>
      <c r="AL117" s="22">
        <f t="shared" si="58"/>
        <v>612.99757903900309</v>
      </c>
      <c r="AM117" s="62">
        <f t="shared" si="59"/>
        <v>906.33091237233634</v>
      </c>
      <c r="AN117" s="62">
        <f ca="1">AVERAGE(OFFSET($AM$3,0,0,'Données projet'!$E$10+1,1))-AVERAGE(OFFSET($H$3,0,0,'Données projet'!$E$10+1,1))</f>
        <v>403.82490501309815</v>
      </c>
      <c r="AO117" s="62">
        <f t="shared" si="90"/>
        <v>256.4377087753457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0.2945913067326778</v>
      </c>
      <c r="AW117" s="23">
        <f>EXP(-LN(2)/2)*AW116+(1-EXP(-LN(2)/2))/(LN(2)/2)*AQ117*AT117*VLOOKUP('Données projet'!$B$10,Paramètres!$A$1:$I$89,3,0)*0.475*44/12</f>
        <v>3.1977887110144813E-12</v>
      </c>
      <c r="AX117" s="23">
        <f t="shared" si="60"/>
        <v>0.29459130673587558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271.00943999999998</v>
      </c>
      <c r="BF117" s="14">
        <f t="shared" si="91"/>
        <v>65.063451383023647</v>
      </c>
      <c r="BG117" s="22">
        <f t="shared" si="61"/>
        <v>585.32695249209939</v>
      </c>
      <c r="BH117" s="62">
        <f t="shared" si="62"/>
        <v>878.66028582543277</v>
      </c>
      <c r="BI117" s="62">
        <f ca="1">AVERAGE(OFFSET($BH$3,0,0,'Données projet'!$E$11+1,1))-AVERAGE(OFFSET($H$3,0,0,'Données projet'!$E$11+1,1))</f>
        <v>387.04070351732537</v>
      </c>
      <c r="BJ117" s="62">
        <f t="shared" si="92"/>
        <v>246.54010105494137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0.28099478488347723</v>
      </c>
      <c r="BR117" s="23">
        <f>EXP(-LN(2)/2)*BR116+(1-EXP(-LN(2)/2))/(LN(2)/2)*BL117*BO117*VLOOKUP('Données projet'!$B$11,Paramètres!$A$1:$I$89,3,0)*0.475*44/12</f>
        <v>3.0501984628138141E-12</v>
      </c>
      <c r="BS117" s="24">
        <f t="shared" si="63"/>
        <v>0.2809947848865274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2.8421709430404007E-14</v>
      </c>
      <c r="BZ117" s="14">
        <f>BY117*VLOOKUP('Données projet'!$B$12,Paramètres!$A$1:$I$89,3,0)*VLOOKUP('Données projet'!$B$12,Paramètres!$A$1:$I$89,5,0)</f>
        <v>2.4829205358400945E-14</v>
      </c>
      <c r="CA117" s="14">
        <f t="shared" si="93"/>
        <v>4.3867331143352915E-13</v>
      </c>
      <c r="CB117" s="22">
        <f t="shared" si="64"/>
        <v>8.0726688341261168E-13</v>
      </c>
      <c r="CC117" s="62">
        <f t="shared" si="65"/>
        <v>293.33333333333411</v>
      </c>
      <c r="CD117" s="62">
        <f ca="1">AVERAGE(OFFSET($CC$3,0,0,'Données projet'!$E$12+1,1))-AVERAGE(OFFSET($H$3,0,0,'Données projet'!$E$12+1,1))</f>
        <v>327.62212115491479</v>
      </c>
      <c r="CE117" s="62">
        <f t="shared" si="94"/>
        <v>348.84706693879735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2.3936755228447288</v>
      </c>
      <c r="CM117" s="23">
        <f>EXP(-LN(2)/2)*CM116+(1-EXP(-LN(2)/2))/(LN(2)/2)*CG117*CJ117*VLOOKUP('Données projet'!$B$12,Paramètres!$A$1:$I$89,3,0)*0.475*44/12</f>
        <v>1.9346798820370466E-11</v>
      </c>
      <c r="CN117" s="24">
        <f t="shared" si="66"/>
        <v>2.3936755228640756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4.1677594708744434E-14</v>
      </c>
      <c r="CV117" s="14">
        <f t="shared" si="95"/>
        <v>6.9326303456159188E-13</v>
      </c>
      <c r="CW117" s="22">
        <f t="shared" si="67"/>
        <v>1.2800215959791691E-12</v>
      </c>
      <c r="CX117" s="62">
        <f t="shared" si="68"/>
        <v>293.33333333333462</v>
      </c>
      <c r="CY117" s="62">
        <f ca="1">AVERAGE(OFFSET($CX$3,0,0,'Données projet'!$E$13+1,1))-AVERAGE(OFFSET($H$3,0,0,'Données projet'!$E$13+1,1))</f>
        <v>277.97613250285963</v>
      </c>
      <c r="CZ117" s="62">
        <f t="shared" si="96"/>
        <v>274.55710362891892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1.5193099721958907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1.5193099721958907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2">
        <f t="shared" si="55"/>
        <v>848.99085756649288</v>
      </c>
      <c r="S118" s="62">
        <f ca="1">AVERAGE(OFFSET($R$3,0,0,'Données projet'!$E$9+1,1))-AVERAGE(OFFSET($H$3,0,0,'Données projet'!$E$9+1,1))</f>
        <v>364.63511534965755</v>
      </c>
      <c r="T118" s="62">
        <f t="shared" si="88"/>
        <v>233.32640143610541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0.25567800205499946</v>
      </c>
      <c r="AB118" s="23">
        <f>EXP(-LN(2)/2)*AB117+(1-EXP(-LN(2)/2))/(LN(2)/2)*V118*Y118*VLOOKUP('Données projet'!$B$9,Paramètres!$A$1:$I$89,3,0)*0.475*44/12</f>
        <v>2.0176665965674992E-12</v>
      </c>
      <c r="AC118" s="24">
        <f t="shared" si="57"/>
        <v>0.25567800205701713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287.976</v>
      </c>
      <c r="AK118" s="14">
        <f t="shared" si="89"/>
        <v>68.649801713863141</v>
      </c>
      <c r="AL118" s="22">
        <f t="shared" si="58"/>
        <v>621.12327131831159</v>
      </c>
      <c r="AM118" s="62">
        <f t="shared" si="59"/>
        <v>914.45660465164497</v>
      </c>
      <c r="AN118" s="62">
        <f ca="1">AVERAGE(OFFSET($AM$3,0,0,'Données projet'!$E$10+1,1))-AVERAGE(OFFSET($H$3,0,0,'Données projet'!$E$10+1,1))</f>
        <v>403.82490501309815</v>
      </c>
      <c r="AO118" s="62">
        <f t="shared" si="90"/>
        <v>256.4377087753457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0.28653569195818923</v>
      </c>
      <c r="AW118" s="23">
        <f>EXP(-LN(2)/2)*AW117+(1-EXP(-LN(2)/2))/(LN(2)/2)*AQ118*AT118*VLOOKUP('Données projet'!$B$10,Paramètres!$A$1:$I$89,3,0)*0.475*44/12</f>
        <v>2.2611780823601287E-12</v>
      </c>
      <c r="AX118" s="23">
        <f t="shared" si="60"/>
        <v>0.28653569196045042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274.68480000000005</v>
      </c>
      <c r="BF118" s="14">
        <f t="shared" si="91"/>
        <v>65.842504497456659</v>
      </c>
      <c r="BG118" s="22">
        <f t="shared" si="61"/>
        <v>593.0850553330705</v>
      </c>
      <c r="BH118" s="62">
        <f t="shared" si="62"/>
        <v>886.41838866640387</v>
      </c>
      <c r="BI118" s="62">
        <f ca="1">AVERAGE(OFFSET($BH$3,0,0,'Données projet'!$E$11+1,1))-AVERAGE(OFFSET($H$3,0,0,'Données projet'!$E$11+1,1))</f>
        <v>387.04070351732537</v>
      </c>
      <c r="BJ118" s="62">
        <f t="shared" si="92"/>
        <v>246.54010105494137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0.27331096771396501</v>
      </c>
      <c r="BR118" s="23">
        <f>EXP(-LN(2)/2)*BR117+(1-EXP(-LN(2)/2))/(LN(2)/2)*BL118*BO118*VLOOKUP('Données projet'!$B$11,Paramètres!$A$1:$I$89,3,0)*0.475*44/12</f>
        <v>2.1568160170204312E-12</v>
      </c>
      <c r="BS118" s="24">
        <f t="shared" si="63"/>
        <v>0.27331096771612184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2.8421709430404007E-14</v>
      </c>
      <c r="BZ118" s="14">
        <f>BY118*VLOOKUP('Données projet'!$B$12,Paramètres!$A$1:$I$89,3,0)*VLOOKUP('Données projet'!$B$12,Paramètres!$A$1:$I$89,5,0)</f>
        <v>2.4829205358400945E-14</v>
      </c>
      <c r="CA118" s="14">
        <f t="shared" si="93"/>
        <v>4.3867331143352915E-13</v>
      </c>
      <c r="CB118" s="22">
        <f t="shared" si="64"/>
        <v>8.0726688341261168E-13</v>
      </c>
      <c r="CC118" s="62">
        <f t="shared" si="65"/>
        <v>293.33333333333411</v>
      </c>
      <c r="CD118" s="62">
        <f ca="1">AVERAGE(OFFSET($CC$3,0,0,'Données projet'!$E$12+1,1))-AVERAGE(OFFSET($H$3,0,0,'Données projet'!$E$12+1,1))</f>
        <v>327.62212115491479</v>
      </c>
      <c r="CE118" s="62">
        <f t="shared" si="94"/>
        <v>348.84706693879735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2.3282203397946146</v>
      </c>
      <c r="CM118" s="23">
        <f>EXP(-LN(2)/2)*CM117+(1-EXP(-LN(2)/2))/(LN(2)/2)*CG118*CJ118*VLOOKUP('Données projet'!$B$12,Paramètres!$A$1:$I$89,3,0)*0.475*44/12</f>
        <v>1.3680252640135855E-11</v>
      </c>
      <c r="CN118" s="24">
        <f t="shared" si="66"/>
        <v>2.3282203398082948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4.1677594708744434E-14</v>
      </c>
      <c r="CV118" s="14">
        <f t="shared" si="95"/>
        <v>6.9326303456159188E-13</v>
      </c>
      <c r="CW118" s="22">
        <f t="shared" si="67"/>
        <v>1.2800215959791691E-12</v>
      </c>
      <c r="CX118" s="62">
        <f t="shared" si="68"/>
        <v>293.33333333333462</v>
      </c>
      <c r="CY118" s="62">
        <f ca="1">AVERAGE(OFFSET($CX$3,0,0,'Données projet'!$E$13+1,1))-AVERAGE(OFFSET($H$3,0,0,'Données projet'!$E$13+1,1))</f>
        <v>277.97613250285963</v>
      </c>
      <c r="CZ118" s="62">
        <f t="shared" si="96"/>
        <v>274.55710362891892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1.4895172303287094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1.4895172303287094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266</v>
      </c>
      <c r="O119" s="14">
        <f>N119*VLOOKUP('Données projet'!$B$9,Paramètres!$A$1:$I$89,3,0)*VLOOKUP('Données projet'!$B$9,Paramètres!$A$1:$I$89,5,0)</f>
        <v>240.67680000000001</v>
      </c>
      <c r="P119" s="14">
        <f t="shared" si="87"/>
        <v>58.585123425001029</v>
      </c>
      <c r="Q119" s="22">
        <f t="shared" si="107"/>
        <v>521.21451663187679</v>
      </c>
      <c r="R119" s="62">
        <f t="shared" si="55"/>
        <v>814.54784996521016</v>
      </c>
      <c r="S119" s="62">
        <f ca="1">AVERAGE(OFFSET($R$3,0,0,'Données projet'!$E$9+1,1))-AVERAGE(OFFSET($H$3,0,0,'Données projet'!$E$9+1,1))</f>
        <v>364.63511534965755</v>
      </c>
      <c r="T119" s="62">
        <f t="shared" si="88"/>
        <v>233.32640143610541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0.24868647364328372</v>
      </c>
      <c r="AB119" s="23">
        <f>EXP(-LN(2)/2)*AB118+(1-EXP(-LN(2)/2))/(LN(2)/2)*V119*Y119*VLOOKUP('Données projet'!$B$9,Paramètres!$A$1:$I$89,3,0)*0.475*44/12</f>
        <v>1.4267057326064607E-12</v>
      </c>
      <c r="AC119" s="24">
        <f t="shared" si="57"/>
        <v>0.24868647364471042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266</v>
      </c>
      <c r="AJ119" s="14">
        <f>AI119*VLOOKUP('Données projet'!$B$10,Paramètres!$A$1:$I$89,3,0)*VLOOKUP('Données projet'!$B$10,Paramètres!$A$1:$I$89,5,0)</f>
        <v>269.72400000000005</v>
      </c>
      <c r="AK119" s="14">
        <f t="shared" si="89"/>
        <v>64.790691635967406</v>
      </c>
      <c r="AL119" s="22">
        <f t="shared" si="58"/>
        <v>582.61308793264323</v>
      </c>
      <c r="AM119" s="62">
        <f t="shared" si="59"/>
        <v>875.9464212659766</v>
      </c>
      <c r="AN119" s="62">
        <f ca="1">AVERAGE(OFFSET($AM$3,0,0,'Données projet'!$E$10+1,1))-AVERAGE(OFFSET($H$3,0,0,'Données projet'!$E$10+1,1))</f>
        <v>403.82490501309815</v>
      </c>
      <c r="AO119" s="62">
        <f t="shared" si="90"/>
        <v>256.4377087753457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0.2787003583933354</v>
      </c>
      <c r="AW119" s="23">
        <f>EXP(-LN(2)/2)*AW118+(1-EXP(-LN(2)/2))/(LN(2)/2)*AQ119*AT119*VLOOKUP('Données projet'!$B$10,Paramètres!$A$1:$I$89,3,0)*0.475*44/12</f>
        <v>1.5988943555072406E-12</v>
      </c>
      <c r="AX119" s="23">
        <f t="shared" si="60"/>
        <v>0.27870035839493429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266</v>
      </c>
      <c r="BE119" s="14">
        <f>BD119*VLOOKUP('Données projet'!$B$11,Paramètres!$A$1:$I$89,3,0)*VLOOKUP('Données projet'!$B$11,Paramètres!$A$1:$I$89,5,0)</f>
        <v>257.27519999999998</v>
      </c>
      <c r="BF119" s="14">
        <f t="shared" si="91"/>
        <v>62.141205057159596</v>
      </c>
      <c r="BG119" s="22">
        <f t="shared" si="61"/>
        <v>556.31690547455287</v>
      </c>
      <c r="BH119" s="62">
        <f t="shared" si="62"/>
        <v>849.65023880788613</v>
      </c>
      <c r="BI119" s="62">
        <f ca="1">AVERAGE(OFFSET($BH$3,0,0,'Données projet'!$E$11+1,1))-AVERAGE(OFFSET($H$3,0,0,'Données projet'!$E$11+1,1))</f>
        <v>387.04070351732537</v>
      </c>
      <c r="BJ119" s="62">
        <f t="shared" si="92"/>
        <v>246.54010105494137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0.26583726492902748</v>
      </c>
      <c r="BR119" s="23">
        <f>EXP(-LN(2)/2)*BR118+(1-EXP(-LN(2)/2))/(LN(2)/2)*BL119*BO119*VLOOKUP('Données projet'!$B$11,Paramètres!$A$1:$I$89,3,0)*0.475*44/12</f>
        <v>1.525099231406907E-12</v>
      </c>
      <c r="BS119" s="24">
        <f t="shared" si="63"/>
        <v>0.2658372649305526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2.8421709430404007E-14</v>
      </c>
      <c r="BZ119" s="14">
        <f>BY119*VLOOKUP('Données projet'!$B$12,Paramètres!$A$1:$I$89,3,0)*VLOOKUP('Données projet'!$B$12,Paramètres!$A$1:$I$89,5,0)</f>
        <v>2.4829205358400945E-14</v>
      </c>
      <c r="CA119" s="14">
        <f t="shared" si="93"/>
        <v>4.3867331143352915E-13</v>
      </c>
      <c r="CB119" s="22">
        <f t="shared" si="64"/>
        <v>8.0726688341261168E-13</v>
      </c>
      <c r="CC119" s="62">
        <f t="shared" si="65"/>
        <v>293.33333333333411</v>
      </c>
      <c r="CD119" s="62">
        <f ca="1">AVERAGE(OFFSET($CC$3,0,0,'Données projet'!$E$12+1,1))-AVERAGE(OFFSET($H$3,0,0,'Données projet'!$E$12+1,1))</f>
        <v>327.62212115491479</v>
      </c>
      <c r="CE119" s="62">
        <f t="shared" si="94"/>
        <v>348.84706693879735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2.2645550321671446</v>
      </c>
      <c r="CM119" s="23">
        <f>EXP(-LN(2)/2)*CM118+(1-EXP(-LN(2)/2))/(LN(2)/2)*CG119*CJ119*VLOOKUP('Données projet'!$B$12,Paramètres!$A$1:$I$89,3,0)*0.475*44/12</f>
        <v>9.6733994101852332E-12</v>
      </c>
      <c r="CN119" s="24">
        <f t="shared" si="66"/>
        <v>2.2645550321768182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4.1677594708744434E-14</v>
      </c>
      <c r="CV119" s="14">
        <f t="shared" si="95"/>
        <v>6.9326303456159188E-13</v>
      </c>
      <c r="CW119" s="22">
        <f t="shared" si="67"/>
        <v>1.2800215959791691E-12</v>
      </c>
      <c r="CX119" s="62">
        <f t="shared" si="68"/>
        <v>293.33333333333462</v>
      </c>
      <c r="CY119" s="62">
        <f ca="1">AVERAGE(OFFSET($CX$3,0,0,'Données projet'!$E$13+1,1))-AVERAGE(OFFSET($H$3,0,0,'Données projet'!$E$13+1,1))</f>
        <v>277.97613250285963</v>
      </c>
      <c r="CZ119" s="62">
        <f t="shared" si="96"/>
        <v>274.55710362891892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1.4603087059577655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1.4603087059577655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266</v>
      </c>
      <c r="O120" s="14">
        <f>N120*VLOOKUP('Données projet'!$B$9,Paramètres!$A$1:$I$89,3,0)*VLOOKUP('Données projet'!$B$9,Paramètres!$A$1:$I$89,5,0)</f>
        <v>240.67680000000001</v>
      </c>
      <c r="P120" s="14">
        <f t="shared" si="87"/>
        <v>58.585123425001029</v>
      </c>
      <c r="Q120" s="22">
        <f t="shared" si="107"/>
        <v>521.21451663187679</v>
      </c>
      <c r="R120" s="62">
        <f t="shared" si="55"/>
        <v>814.54784996521016</v>
      </c>
      <c r="S120" s="62">
        <f ca="1">AVERAGE(OFFSET($R$3,0,0,'Données projet'!$E$9+1,1))-AVERAGE(OFFSET($H$3,0,0,'Données projet'!$E$9+1,1))</f>
        <v>364.63511534965755</v>
      </c>
      <c r="T120" s="62">
        <f t="shared" si="88"/>
        <v>233.32640143610541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0.24188612894365485</v>
      </c>
      <c r="AB120" s="23">
        <f>EXP(-LN(2)/2)*AB119+(1-EXP(-LN(2)/2))/(LN(2)/2)*V120*Y120*VLOOKUP('Données projet'!$B$9,Paramètres!$A$1:$I$89,3,0)*0.475*44/12</f>
        <v>1.0088332982837496E-12</v>
      </c>
      <c r="AC120" s="24">
        <f t="shared" si="57"/>
        <v>0.24188612894466369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266</v>
      </c>
      <c r="AJ120" s="14">
        <f>AI120*VLOOKUP('Données projet'!$B$10,Paramètres!$A$1:$I$89,3,0)*VLOOKUP('Données projet'!$B$10,Paramètres!$A$1:$I$89,5,0)</f>
        <v>269.72400000000005</v>
      </c>
      <c r="AK120" s="14">
        <f t="shared" si="89"/>
        <v>64.790691635967406</v>
      </c>
      <c r="AL120" s="22">
        <f t="shared" si="58"/>
        <v>582.61308793264323</v>
      </c>
      <c r="AM120" s="62">
        <f t="shared" si="59"/>
        <v>875.9464212659766</v>
      </c>
      <c r="AN120" s="62">
        <f ca="1">AVERAGE(OFFSET($AM$3,0,0,'Données projet'!$E$10+1,1))-AVERAGE(OFFSET($H$3,0,0,'Données projet'!$E$10+1,1))</f>
        <v>403.82490501309815</v>
      </c>
      <c r="AO120" s="62">
        <f t="shared" si="90"/>
        <v>256.4377087753457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0.27107928243685475</v>
      </c>
      <c r="AW120" s="23">
        <f>EXP(-LN(2)/2)*AW119+(1-EXP(-LN(2)/2))/(LN(2)/2)*AQ120*AT120*VLOOKUP('Données projet'!$B$10,Paramètres!$A$1:$I$89,3,0)*0.475*44/12</f>
        <v>1.1305890411800643E-12</v>
      </c>
      <c r="AX120" s="23">
        <f t="shared" si="60"/>
        <v>0.27107928243798535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266</v>
      </c>
      <c r="BE120" s="14">
        <f>BD120*VLOOKUP('Données projet'!$B$11,Paramètres!$A$1:$I$89,3,0)*VLOOKUP('Données projet'!$B$11,Paramètres!$A$1:$I$89,5,0)</f>
        <v>257.27519999999998</v>
      </c>
      <c r="BF120" s="14">
        <f t="shared" si="91"/>
        <v>62.141205057159596</v>
      </c>
      <c r="BG120" s="22">
        <f t="shared" si="61"/>
        <v>556.31690547455287</v>
      </c>
      <c r="BH120" s="62">
        <f t="shared" si="62"/>
        <v>849.65023880788613</v>
      </c>
      <c r="BI120" s="62">
        <f ca="1">AVERAGE(OFFSET($BH$3,0,0,'Données projet'!$E$11+1,1))-AVERAGE(OFFSET($H$3,0,0,'Données projet'!$E$11+1,1))</f>
        <v>387.04070351732537</v>
      </c>
      <c r="BJ120" s="62">
        <f t="shared" si="92"/>
        <v>246.54010105494137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0.25856793093976904</v>
      </c>
      <c r="BR120" s="23">
        <f>EXP(-LN(2)/2)*BR119+(1-EXP(-LN(2)/2))/(LN(2)/2)*BL120*BO120*VLOOKUP('Données projet'!$B$11,Paramètres!$A$1:$I$89,3,0)*0.475*44/12</f>
        <v>1.0784080085102156E-12</v>
      </c>
      <c r="BS120" s="24">
        <f t="shared" si="63"/>
        <v>0.25856793094084746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2.8421709430404007E-14</v>
      </c>
      <c r="BZ120" s="14">
        <f>BY120*VLOOKUP('Données projet'!$B$12,Paramètres!$A$1:$I$89,3,0)*VLOOKUP('Données projet'!$B$12,Paramètres!$A$1:$I$89,5,0)</f>
        <v>2.4829205358400945E-14</v>
      </c>
      <c r="CA120" s="14">
        <f t="shared" si="93"/>
        <v>4.3867331143352915E-13</v>
      </c>
      <c r="CB120" s="22">
        <f t="shared" si="64"/>
        <v>8.0726688341261168E-13</v>
      </c>
      <c r="CC120" s="62">
        <f t="shared" si="65"/>
        <v>293.33333333333411</v>
      </c>
      <c r="CD120" s="62">
        <f ca="1">AVERAGE(OFFSET($CC$3,0,0,'Données projet'!$E$12+1,1))-AVERAGE(OFFSET($H$3,0,0,'Données projet'!$E$12+1,1))</f>
        <v>327.62212115491479</v>
      </c>
      <c r="CE120" s="62">
        <f t="shared" si="94"/>
        <v>348.84706693879735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2.2026306557247608</v>
      </c>
      <c r="CM120" s="23">
        <f>EXP(-LN(2)/2)*CM119+(1-EXP(-LN(2)/2))/(LN(2)/2)*CG120*CJ120*VLOOKUP('Données projet'!$B$12,Paramètres!$A$1:$I$89,3,0)*0.475*44/12</f>
        <v>6.8401263200679277E-12</v>
      </c>
      <c r="CN120" s="24">
        <f t="shared" si="66"/>
        <v>2.2026306557316011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4.1677594708744434E-14</v>
      </c>
      <c r="CV120" s="14">
        <f t="shared" si="95"/>
        <v>6.9326303456159188E-13</v>
      </c>
      <c r="CW120" s="22">
        <f t="shared" si="67"/>
        <v>1.2800215959791691E-12</v>
      </c>
      <c r="CX120" s="62">
        <f t="shared" si="68"/>
        <v>293.33333333333462</v>
      </c>
      <c r="CY120" s="62">
        <f ca="1">AVERAGE(OFFSET($CX$3,0,0,'Données projet'!$E$13+1,1))-AVERAGE(OFFSET($H$3,0,0,'Données projet'!$E$13+1,1))</f>
        <v>277.97613250285963</v>
      </c>
      <c r="CZ120" s="62">
        <f t="shared" si="96"/>
        <v>274.55710362891892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1.4316729429342949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1.4316729429342949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266</v>
      </c>
      <c r="O121" s="14">
        <f>N121*VLOOKUP('Données projet'!$B$9,Paramètres!$A$1:$I$89,3,0)*VLOOKUP('Données projet'!$B$9,Paramètres!$A$1:$I$89,5,0)</f>
        <v>240.67680000000001</v>
      </c>
      <c r="P121" s="14">
        <f t="shared" si="87"/>
        <v>58.585123425001029</v>
      </c>
      <c r="Q121" s="22">
        <f t="shared" si="107"/>
        <v>521.21451663187679</v>
      </c>
      <c r="R121" s="62">
        <f t="shared" si="55"/>
        <v>814.54784996521016</v>
      </c>
      <c r="S121" s="62">
        <f ca="1">AVERAGE(OFFSET($R$3,0,0,'Données projet'!$E$9+1,1))-AVERAGE(OFFSET($H$3,0,0,'Données projet'!$E$9+1,1))</f>
        <v>364.63511534965755</v>
      </c>
      <c r="T121" s="62">
        <f t="shared" si="88"/>
        <v>233.32640143610541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0.23527174002745194</v>
      </c>
      <c r="AB121" s="23">
        <f>EXP(-LN(2)/2)*AB120+(1-EXP(-LN(2)/2))/(LN(2)/2)*V121*Y121*VLOOKUP('Données projet'!$B$9,Paramètres!$A$1:$I$89,3,0)*0.475*44/12</f>
        <v>7.1335286630323037E-13</v>
      </c>
      <c r="AC121" s="24">
        <f t="shared" si="57"/>
        <v>0.23527174002816528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266</v>
      </c>
      <c r="AJ121" s="14">
        <f>AI121*VLOOKUP('Données projet'!$B$10,Paramètres!$A$1:$I$89,3,0)*VLOOKUP('Données projet'!$B$10,Paramètres!$A$1:$I$89,5,0)</f>
        <v>269.72400000000005</v>
      </c>
      <c r="AK121" s="14">
        <f t="shared" si="89"/>
        <v>64.790691635967406</v>
      </c>
      <c r="AL121" s="22">
        <f t="shared" si="58"/>
        <v>582.61308793264323</v>
      </c>
      <c r="AM121" s="62">
        <f t="shared" si="59"/>
        <v>875.9464212659766</v>
      </c>
      <c r="AN121" s="62">
        <f ca="1">AVERAGE(OFFSET($AM$3,0,0,'Données projet'!$E$10+1,1))-AVERAGE(OFFSET($H$3,0,0,'Données projet'!$E$10+1,1))</f>
        <v>403.82490501309815</v>
      </c>
      <c r="AO121" s="62">
        <f t="shared" si="90"/>
        <v>256.4377087753457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0.26366660520317903</v>
      </c>
      <c r="AW121" s="23">
        <f>EXP(-LN(2)/2)*AW120+(1-EXP(-LN(2)/2))/(LN(2)/2)*AQ121*AT121*VLOOKUP('Données projet'!$B$10,Paramètres!$A$1:$I$89,3,0)*0.475*44/12</f>
        <v>7.9944717775362032E-13</v>
      </c>
      <c r="AX121" s="23">
        <f t="shared" si="60"/>
        <v>0.2636666052039785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266</v>
      </c>
      <c r="BE121" s="14">
        <f>BD121*VLOOKUP('Données projet'!$B$11,Paramètres!$A$1:$I$89,3,0)*VLOOKUP('Données projet'!$B$11,Paramètres!$A$1:$I$89,5,0)</f>
        <v>257.27519999999998</v>
      </c>
      <c r="BF121" s="14">
        <f t="shared" si="91"/>
        <v>62.141205057159596</v>
      </c>
      <c r="BG121" s="22">
        <f t="shared" si="61"/>
        <v>556.31690547455287</v>
      </c>
      <c r="BH121" s="62">
        <f t="shared" si="62"/>
        <v>849.65023880788613</v>
      </c>
      <c r="BI121" s="62">
        <f ca="1">AVERAGE(OFFSET($BH$3,0,0,'Données projet'!$E$11+1,1))-AVERAGE(OFFSET($H$3,0,0,'Données projet'!$E$11+1,1))</f>
        <v>387.04070351732537</v>
      </c>
      <c r="BJ121" s="62">
        <f t="shared" si="92"/>
        <v>246.54010105494137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0.25149737727072452</v>
      </c>
      <c r="BR121" s="23">
        <f>EXP(-LN(2)/2)*BR120+(1-EXP(-LN(2)/2))/(LN(2)/2)*BL121*BO121*VLOOKUP('Données projet'!$B$11,Paramètres!$A$1:$I$89,3,0)*0.475*44/12</f>
        <v>7.6254961570345351E-13</v>
      </c>
      <c r="BS121" s="24">
        <f t="shared" si="63"/>
        <v>0.25149737727148708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2.8421709430404007E-14</v>
      </c>
      <c r="BZ121" s="14">
        <f>BY121*VLOOKUP('Données projet'!$B$12,Paramètres!$A$1:$I$89,3,0)*VLOOKUP('Données projet'!$B$12,Paramètres!$A$1:$I$89,5,0)</f>
        <v>2.4829205358400945E-14</v>
      </c>
      <c r="CA121" s="14">
        <f t="shared" si="93"/>
        <v>4.3867331143352915E-13</v>
      </c>
      <c r="CB121" s="22">
        <f t="shared" si="64"/>
        <v>8.0726688341261168E-13</v>
      </c>
      <c r="CC121" s="62">
        <f t="shared" si="65"/>
        <v>293.33333333333411</v>
      </c>
      <c r="CD121" s="62">
        <f ca="1">AVERAGE(OFFSET($CC$3,0,0,'Données projet'!$E$12+1,1))-AVERAGE(OFFSET($H$3,0,0,'Données projet'!$E$12+1,1))</f>
        <v>327.62212115491479</v>
      </c>
      <c r="CE121" s="62">
        <f t="shared" si="94"/>
        <v>348.84706693879735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2.1423996046126552</v>
      </c>
      <c r="CM121" s="23">
        <f>EXP(-LN(2)/2)*CM120+(1-EXP(-LN(2)/2))/(LN(2)/2)*CG121*CJ121*VLOOKUP('Données projet'!$B$12,Paramètres!$A$1:$I$89,3,0)*0.475*44/12</f>
        <v>4.8366997050926166E-12</v>
      </c>
      <c r="CN121" s="24">
        <f t="shared" si="66"/>
        <v>2.1423996046174918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4.1677594708744434E-14</v>
      </c>
      <c r="CV121" s="14">
        <f t="shared" si="95"/>
        <v>6.9326303456159188E-13</v>
      </c>
      <c r="CW121" s="22">
        <f t="shared" si="67"/>
        <v>1.2800215959791691E-12</v>
      </c>
      <c r="CX121" s="62">
        <f t="shared" si="68"/>
        <v>293.33333333333462</v>
      </c>
      <c r="CY121" s="62">
        <f ca="1">AVERAGE(OFFSET($CX$3,0,0,'Données projet'!$E$13+1,1))-AVERAGE(OFFSET($H$3,0,0,'Données projet'!$E$13+1,1))</f>
        <v>277.97613250285963</v>
      </c>
      <c r="CZ121" s="62">
        <f t="shared" si="96"/>
        <v>274.55710362891892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1.4035987097576239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1.4035987097576239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266</v>
      </c>
      <c r="O122" s="14">
        <f>N122*VLOOKUP('Données projet'!$B$9,Paramètres!$A$1:$I$89,3,0)*VLOOKUP('Données projet'!$B$9,Paramètres!$A$1:$I$89,5,0)</f>
        <v>240.67680000000001</v>
      </c>
      <c r="P122" s="14">
        <f t="shared" si="87"/>
        <v>58.585123425001029</v>
      </c>
      <c r="Q122" s="22">
        <f t="shared" si="107"/>
        <v>521.21451663187679</v>
      </c>
      <c r="R122" s="62">
        <f t="shared" si="55"/>
        <v>814.54784996521016</v>
      </c>
      <c r="S122" s="62">
        <f ca="1">AVERAGE(OFFSET($R$3,0,0,'Données projet'!$E$9+1,1))-AVERAGE(OFFSET($H$3,0,0,'Données projet'!$E$9+1,1))</f>
        <v>364.63511534965755</v>
      </c>
      <c r="T122" s="62">
        <f t="shared" si="88"/>
        <v>233.32640143610541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0.22883822192399816</v>
      </c>
      <c r="AB122" s="23">
        <f>EXP(-LN(2)/2)*AB121+(1-EXP(-LN(2)/2))/(LN(2)/2)*V122*Y122*VLOOKUP('Données projet'!$B$9,Paramètres!$A$1:$I$89,3,0)*0.475*44/12</f>
        <v>5.0441664914187481E-13</v>
      </c>
      <c r="AC122" s="24">
        <f t="shared" si="57"/>
        <v>0.22883822192450259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266</v>
      </c>
      <c r="AJ122" s="14">
        <f>AI122*VLOOKUP('Données projet'!$B$10,Paramètres!$A$1:$I$89,3,0)*VLOOKUP('Données projet'!$B$10,Paramètres!$A$1:$I$89,5,0)</f>
        <v>269.72400000000005</v>
      </c>
      <c r="AK122" s="14">
        <f t="shared" si="89"/>
        <v>64.790691635967406</v>
      </c>
      <c r="AL122" s="22">
        <f t="shared" si="58"/>
        <v>582.61308793264323</v>
      </c>
      <c r="AM122" s="62">
        <f t="shared" si="59"/>
        <v>875.9464212659766</v>
      </c>
      <c r="AN122" s="62">
        <f ca="1">AVERAGE(OFFSET($AM$3,0,0,'Données projet'!$E$10+1,1))-AVERAGE(OFFSET($H$3,0,0,'Données projet'!$E$10+1,1))</f>
        <v>403.82490501309815</v>
      </c>
      <c r="AO122" s="62">
        <f t="shared" si="90"/>
        <v>256.4377087753457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0.25645662801827396</v>
      </c>
      <c r="AW122" s="23">
        <f>EXP(-LN(2)/2)*AW121+(1-EXP(-LN(2)/2))/(LN(2)/2)*AQ122*AT122*VLOOKUP('Données projet'!$B$10,Paramètres!$A$1:$I$89,3,0)*0.475*44/12</f>
        <v>5.6529452059003216E-13</v>
      </c>
      <c r="AX122" s="23">
        <f t="shared" si="60"/>
        <v>0.25645662801883923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266</v>
      </c>
      <c r="BE122" s="14">
        <f>BD122*VLOOKUP('Données projet'!$B$11,Paramètres!$A$1:$I$89,3,0)*VLOOKUP('Données projet'!$B$11,Paramètres!$A$1:$I$89,5,0)</f>
        <v>257.27519999999998</v>
      </c>
      <c r="BF122" s="14">
        <f t="shared" si="91"/>
        <v>62.141205057159596</v>
      </c>
      <c r="BG122" s="22">
        <f t="shared" si="61"/>
        <v>556.31690547455287</v>
      </c>
      <c r="BH122" s="62">
        <f t="shared" si="62"/>
        <v>849.65023880788613</v>
      </c>
      <c r="BI122" s="62">
        <f ca="1">AVERAGE(OFFSET($BH$3,0,0,'Données projet'!$E$11+1,1))-AVERAGE(OFFSET($H$3,0,0,'Données projet'!$E$11+1,1))</f>
        <v>387.04070351732537</v>
      </c>
      <c r="BJ122" s="62">
        <f t="shared" si="92"/>
        <v>246.54010105494137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0.24462016826358429</v>
      </c>
      <c r="BR122" s="23">
        <f>EXP(-LN(2)/2)*BR121+(1-EXP(-LN(2)/2))/(LN(2)/2)*BL122*BO122*VLOOKUP('Données projet'!$B$11,Paramètres!$A$1:$I$89,3,0)*0.475*44/12</f>
        <v>5.392040042551078E-13</v>
      </c>
      <c r="BS122" s="24">
        <f t="shared" si="63"/>
        <v>0.2446201682641235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2.8421709430404007E-14</v>
      </c>
      <c r="BZ122" s="14">
        <f>BY122*VLOOKUP('Données projet'!$B$12,Paramètres!$A$1:$I$89,3,0)*VLOOKUP('Données projet'!$B$12,Paramètres!$A$1:$I$89,5,0)</f>
        <v>2.4829205358400945E-14</v>
      </c>
      <c r="CA122" s="14">
        <f t="shared" si="93"/>
        <v>4.3867331143352915E-13</v>
      </c>
      <c r="CB122" s="22">
        <f t="shared" si="64"/>
        <v>8.0726688341261168E-13</v>
      </c>
      <c r="CC122" s="62">
        <f t="shared" si="65"/>
        <v>293.33333333333411</v>
      </c>
      <c r="CD122" s="62">
        <f ca="1">AVERAGE(OFFSET($CC$3,0,0,'Données projet'!$E$12+1,1))-AVERAGE(OFFSET($H$3,0,0,'Données projet'!$E$12+1,1))</f>
        <v>327.62212115491479</v>
      </c>
      <c r="CE122" s="62">
        <f t="shared" si="94"/>
        <v>348.84706693879735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2.0838155747606235</v>
      </c>
      <c r="CM122" s="23">
        <f>EXP(-LN(2)/2)*CM121+(1-EXP(-LN(2)/2))/(LN(2)/2)*CG122*CJ122*VLOOKUP('Données projet'!$B$12,Paramètres!$A$1:$I$89,3,0)*0.475*44/12</f>
        <v>3.4200631600339638E-12</v>
      </c>
      <c r="CN122" s="24">
        <f t="shared" si="66"/>
        <v>2.0838155747640434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4.1677594708744434E-14</v>
      </c>
      <c r="CV122" s="14">
        <f t="shared" si="95"/>
        <v>6.9326303456159188E-13</v>
      </c>
      <c r="CW122" s="22">
        <f t="shared" si="67"/>
        <v>1.2800215959791691E-12</v>
      </c>
      <c r="CX122" s="62">
        <f t="shared" si="68"/>
        <v>293.33333333333462</v>
      </c>
      <c r="CY122" s="62">
        <f ca="1">AVERAGE(OFFSET($CX$3,0,0,'Données projet'!$E$13+1,1))-AVERAGE(OFFSET($H$3,0,0,'Données projet'!$E$13+1,1))</f>
        <v>277.97613250285963</v>
      </c>
      <c r="CZ122" s="62">
        <f t="shared" si="96"/>
        <v>274.55710362891892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1.376074995169956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1.376074995169956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266</v>
      </c>
      <c r="O123" s="14">
        <f>N123*VLOOKUP('Données projet'!$B$9,Paramètres!$A$1:$I$89,3,0)*VLOOKUP('Données projet'!$B$9,Paramètres!$A$1:$I$89,5,0)</f>
        <v>240.67680000000001</v>
      </c>
      <c r="P123" s="14">
        <f t="shared" si="87"/>
        <v>58.585123425001029</v>
      </c>
      <c r="Q123" s="22">
        <f t="shared" si="107"/>
        <v>521.21451663187679</v>
      </c>
      <c r="R123" s="62">
        <f t="shared" si="55"/>
        <v>814.54784996521016</v>
      </c>
      <c r="S123" s="62">
        <f ca="1">AVERAGE(OFFSET($R$3,0,0,'Données projet'!$E$9+1,1))-AVERAGE(OFFSET($H$3,0,0,'Données projet'!$E$9+1,1))</f>
        <v>364.63511534965755</v>
      </c>
      <c r="T123" s="62">
        <f t="shared" si="88"/>
        <v>233.32640143610541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0.22258062871140735</v>
      </c>
      <c r="AB123" s="23">
        <f>EXP(-LN(2)/2)*AB122+(1-EXP(-LN(2)/2))/(LN(2)/2)*V123*Y123*VLOOKUP('Données projet'!$B$9,Paramètres!$A$1:$I$89,3,0)*0.475*44/12</f>
        <v>3.5667643315161518E-13</v>
      </c>
      <c r="AC123" s="24">
        <f t="shared" si="57"/>
        <v>0.22258062871176404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266</v>
      </c>
      <c r="AJ123" s="14">
        <f>AI123*VLOOKUP('Données projet'!$B$10,Paramètres!$A$1:$I$89,3,0)*VLOOKUP('Données projet'!$B$10,Paramètres!$A$1:$I$89,5,0)</f>
        <v>269.72400000000005</v>
      </c>
      <c r="AK123" s="14">
        <f t="shared" si="89"/>
        <v>64.790691635967406</v>
      </c>
      <c r="AL123" s="22">
        <f t="shared" si="58"/>
        <v>582.61308793264323</v>
      </c>
      <c r="AM123" s="62">
        <f t="shared" si="59"/>
        <v>875.9464212659766</v>
      </c>
      <c r="AN123" s="62">
        <f ca="1">AVERAGE(OFFSET($AM$3,0,0,'Données projet'!$E$10+1,1))-AVERAGE(OFFSET($H$3,0,0,'Données projet'!$E$10+1,1))</f>
        <v>403.82490501309815</v>
      </c>
      <c r="AO123" s="62">
        <f t="shared" si="90"/>
        <v>256.4377087753457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0.24944380803864633</v>
      </c>
      <c r="AW123" s="23">
        <f>EXP(-LN(2)/2)*AW122+(1-EXP(-LN(2)/2))/(LN(2)/2)*AQ123*AT123*VLOOKUP('Données projet'!$B$10,Paramètres!$A$1:$I$89,3,0)*0.475*44/12</f>
        <v>3.9972358887681016E-13</v>
      </c>
      <c r="AX123" s="23">
        <f t="shared" si="60"/>
        <v>0.24944380803904606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266</v>
      </c>
      <c r="BE123" s="14">
        <f>BD123*VLOOKUP('Données projet'!$B$11,Paramètres!$A$1:$I$89,3,0)*VLOOKUP('Données projet'!$B$11,Paramètres!$A$1:$I$89,5,0)</f>
        <v>257.27519999999998</v>
      </c>
      <c r="BF123" s="14">
        <f t="shared" si="91"/>
        <v>62.141205057159596</v>
      </c>
      <c r="BG123" s="22">
        <f t="shared" si="61"/>
        <v>556.31690547455287</v>
      </c>
      <c r="BH123" s="62">
        <f t="shared" si="62"/>
        <v>849.65023880788613</v>
      </c>
      <c r="BI123" s="62">
        <f ca="1">AVERAGE(OFFSET($BH$3,0,0,'Données projet'!$E$11+1,1))-AVERAGE(OFFSET($H$3,0,0,'Données projet'!$E$11+1,1))</f>
        <v>387.04070351732537</v>
      </c>
      <c r="BJ123" s="62">
        <f t="shared" si="92"/>
        <v>246.54010105494137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0.23793101689840102</v>
      </c>
      <c r="BR123" s="23">
        <f>EXP(-LN(2)/2)*BR122+(1-EXP(-LN(2)/2))/(LN(2)/2)*BL123*BO123*VLOOKUP('Données projet'!$B$11,Paramètres!$A$1:$I$89,3,0)*0.475*44/12</f>
        <v>3.8127480785172676E-13</v>
      </c>
      <c r="BS123" s="24">
        <f t="shared" si="63"/>
        <v>0.23793101689878229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2.8421709430404007E-14</v>
      </c>
      <c r="BZ123" s="14">
        <f>BY123*VLOOKUP('Données projet'!$B$12,Paramètres!$A$1:$I$89,3,0)*VLOOKUP('Données projet'!$B$12,Paramètres!$A$1:$I$89,5,0)</f>
        <v>2.4829205358400945E-14</v>
      </c>
      <c r="CA123" s="14">
        <f t="shared" si="93"/>
        <v>4.3867331143352915E-13</v>
      </c>
      <c r="CB123" s="22">
        <f t="shared" si="64"/>
        <v>8.0726688341261168E-13</v>
      </c>
      <c r="CC123" s="62">
        <f t="shared" si="65"/>
        <v>293.33333333333411</v>
      </c>
      <c r="CD123" s="62">
        <f ca="1">AVERAGE(OFFSET($CC$3,0,0,'Données projet'!$E$12+1,1))-AVERAGE(OFFSET($H$3,0,0,'Données projet'!$E$12+1,1))</f>
        <v>327.62212115491479</v>
      </c>
      <c r="CE123" s="62">
        <f t="shared" si="94"/>
        <v>348.84706693879735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2.026833528285696</v>
      </c>
      <c r="CM123" s="23">
        <f>EXP(-LN(2)/2)*CM122+(1-EXP(-LN(2)/2))/(LN(2)/2)*CG123*CJ123*VLOOKUP('Données projet'!$B$12,Paramètres!$A$1:$I$89,3,0)*0.475*44/12</f>
        <v>2.4183498525463083E-12</v>
      </c>
      <c r="CN123" s="24">
        <f t="shared" si="66"/>
        <v>2.0268335282881145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4.1677594708744434E-14</v>
      </c>
      <c r="CV123" s="14">
        <f t="shared" si="95"/>
        <v>6.9326303456159188E-13</v>
      </c>
      <c r="CW123" s="22">
        <f t="shared" si="67"/>
        <v>1.2800215959791691E-12</v>
      </c>
      <c r="CX123" s="62">
        <f t="shared" si="68"/>
        <v>293.33333333333462</v>
      </c>
      <c r="CY123" s="62">
        <f ca="1">AVERAGE(OFFSET($CX$3,0,0,'Données projet'!$E$13+1,1))-AVERAGE(OFFSET($H$3,0,0,'Données projet'!$E$13+1,1))</f>
        <v>277.97613250285963</v>
      </c>
      <c r="CZ123" s="62">
        <f t="shared" si="96"/>
        <v>274.55710362891892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1.3490910038375439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1.3490910038375439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266</v>
      </c>
      <c r="O124" s="14">
        <f>N124*VLOOKUP('Données projet'!$B$9,Paramètres!$A$1:$I$89,3,0)*VLOOKUP('Données projet'!$B$9,Paramètres!$A$1:$I$89,5,0)</f>
        <v>240.67680000000001</v>
      </c>
      <c r="P124" s="14">
        <f t="shared" si="87"/>
        <v>58.585123425001029</v>
      </c>
      <c r="Q124" s="22">
        <f t="shared" si="107"/>
        <v>521.21451663187679</v>
      </c>
      <c r="R124" s="62">
        <f t="shared" si="55"/>
        <v>814.54784996521016</v>
      </c>
      <c r="S124" s="62">
        <f ca="1">AVERAGE(OFFSET($R$3,0,0,'Données projet'!$E$9+1,1))-AVERAGE(OFFSET($H$3,0,0,'Données projet'!$E$9+1,1))</f>
        <v>364.63511534965755</v>
      </c>
      <c r="T124" s="62">
        <f t="shared" si="88"/>
        <v>233.32640143610541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0.21649414971428738</v>
      </c>
      <c r="AB124" s="23">
        <f>EXP(-LN(2)/2)*AB123+(1-EXP(-LN(2)/2))/(LN(2)/2)*V124*Y124*VLOOKUP('Données projet'!$B$9,Paramètres!$A$1:$I$89,3,0)*0.475*44/12</f>
        <v>2.522083245709374E-13</v>
      </c>
      <c r="AC124" s="24">
        <f t="shared" si="57"/>
        <v>0.21649414971453959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266</v>
      </c>
      <c r="AJ124" s="14">
        <f>AI124*VLOOKUP('Données projet'!$B$10,Paramètres!$A$1:$I$89,3,0)*VLOOKUP('Données projet'!$B$10,Paramètres!$A$1:$I$89,5,0)</f>
        <v>269.72400000000005</v>
      </c>
      <c r="AK124" s="14">
        <f t="shared" si="89"/>
        <v>64.790691635967406</v>
      </c>
      <c r="AL124" s="22">
        <f t="shared" si="58"/>
        <v>582.61308793264323</v>
      </c>
      <c r="AM124" s="62">
        <f t="shared" si="59"/>
        <v>875.9464212659766</v>
      </c>
      <c r="AN124" s="62">
        <f ca="1">AVERAGE(OFFSET($AM$3,0,0,'Données projet'!$E$10+1,1))-AVERAGE(OFFSET($H$3,0,0,'Données projet'!$E$10+1,1))</f>
        <v>403.82490501309815</v>
      </c>
      <c r="AO124" s="62">
        <f t="shared" si="90"/>
        <v>256.4377087753457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0.24262275399014979</v>
      </c>
      <c r="AW124" s="23">
        <f>EXP(-LN(2)/2)*AW123+(1-EXP(-LN(2)/2))/(LN(2)/2)*AQ124*AT124*VLOOKUP('Données projet'!$B$10,Paramètres!$A$1:$I$89,3,0)*0.475*44/12</f>
        <v>2.8264726029501608E-13</v>
      </c>
      <c r="AX124" s="23">
        <f t="shared" si="60"/>
        <v>0.24262275399043243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266</v>
      </c>
      <c r="BE124" s="14">
        <f>BD124*VLOOKUP('Données projet'!$B$11,Paramètres!$A$1:$I$89,3,0)*VLOOKUP('Données projet'!$B$11,Paramètres!$A$1:$I$89,5,0)</f>
        <v>257.27519999999998</v>
      </c>
      <c r="BF124" s="14">
        <f t="shared" si="91"/>
        <v>62.141205057159596</v>
      </c>
      <c r="BG124" s="22">
        <f t="shared" si="61"/>
        <v>556.31690547455287</v>
      </c>
      <c r="BH124" s="62">
        <f t="shared" si="62"/>
        <v>849.65023880788613</v>
      </c>
      <c r="BI124" s="62">
        <f ca="1">AVERAGE(OFFSET($BH$3,0,0,'Données projet'!$E$11+1,1))-AVERAGE(OFFSET($H$3,0,0,'Données projet'!$E$11+1,1))</f>
        <v>387.04070351732537</v>
      </c>
      <c r="BJ124" s="62">
        <f t="shared" si="92"/>
        <v>246.54010105494137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0.23142478072906586</v>
      </c>
      <c r="BR124" s="23">
        <f>EXP(-LN(2)/2)*BR123+(1-EXP(-LN(2)/2))/(LN(2)/2)*BL124*BO124*VLOOKUP('Données projet'!$B$11,Paramètres!$A$1:$I$89,3,0)*0.475*44/12</f>
        <v>2.696020021275539E-13</v>
      </c>
      <c r="BS124" s="24">
        <f t="shared" si="63"/>
        <v>0.23142478072933545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2.8421709430404007E-14</v>
      </c>
      <c r="BZ124" s="14">
        <f>BY124*VLOOKUP('Données projet'!$B$12,Paramètres!$A$1:$I$89,3,0)*VLOOKUP('Données projet'!$B$12,Paramètres!$A$1:$I$89,5,0)</f>
        <v>2.4829205358400945E-14</v>
      </c>
      <c r="CA124" s="14">
        <f t="shared" si="93"/>
        <v>4.3867331143352915E-13</v>
      </c>
      <c r="CB124" s="22">
        <f t="shared" si="64"/>
        <v>8.0726688341261168E-13</v>
      </c>
      <c r="CC124" s="62">
        <f t="shared" si="65"/>
        <v>293.33333333333411</v>
      </c>
      <c r="CD124" s="62">
        <f ca="1">AVERAGE(OFFSET($CC$3,0,0,'Données projet'!$E$12+1,1))-AVERAGE(OFFSET($H$3,0,0,'Données projet'!$E$12+1,1))</f>
        <v>327.62212115491479</v>
      </c>
      <c r="CE124" s="62">
        <f t="shared" si="94"/>
        <v>348.84706693879735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1.9714096588681806</v>
      </c>
      <c r="CM124" s="23">
        <f>EXP(-LN(2)/2)*CM123+(1-EXP(-LN(2)/2))/(LN(2)/2)*CG124*CJ124*VLOOKUP('Données projet'!$B$12,Paramètres!$A$1:$I$89,3,0)*0.475*44/12</f>
        <v>1.7100315800169819E-12</v>
      </c>
      <c r="CN124" s="24">
        <f t="shared" si="66"/>
        <v>1.9714096588698906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4.1677594708744434E-14</v>
      </c>
      <c r="CV124" s="14">
        <f t="shared" si="95"/>
        <v>6.9326303456159188E-13</v>
      </c>
      <c r="CW124" s="22">
        <f t="shared" si="67"/>
        <v>1.2800215959791691E-12</v>
      </c>
      <c r="CX124" s="62">
        <f t="shared" si="68"/>
        <v>293.33333333333462</v>
      </c>
      <c r="CY124" s="62">
        <f ca="1">AVERAGE(OFFSET($CX$3,0,0,'Données projet'!$E$13+1,1))-AVERAGE(OFFSET($H$3,0,0,'Données projet'!$E$13+1,1))</f>
        <v>277.97613250285963</v>
      </c>
      <c r="CZ124" s="62">
        <f t="shared" si="96"/>
        <v>274.55710362891892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1.3226361521165508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1.3226361521165508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266</v>
      </c>
      <c r="O125" s="14">
        <f>N125*VLOOKUP('Données projet'!$B$9,Paramètres!$A$1:$I$89,3,0)*VLOOKUP('Données projet'!$B$9,Paramètres!$A$1:$I$89,5,0)</f>
        <v>240.67680000000001</v>
      </c>
      <c r="P125" s="14">
        <f t="shared" si="87"/>
        <v>58.585123425001029</v>
      </c>
      <c r="Q125" s="22">
        <f t="shared" si="107"/>
        <v>521.21451663187679</v>
      </c>
      <c r="R125" s="62">
        <f t="shared" si="55"/>
        <v>814.54784996521016</v>
      </c>
      <c r="S125" s="62">
        <f ca="1">AVERAGE(OFFSET($R$3,0,0,'Données projet'!$E$9+1,1))-AVERAGE(OFFSET($H$3,0,0,'Données projet'!$E$9+1,1))</f>
        <v>364.63511534965755</v>
      </c>
      <c r="T125" s="62">
        <f t="shared" si="88"/>
        <v>233.32640143610541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0.21057410580541766</v>
      </c>
      <c r="AB125" s="23">
        <f>EXP(-LN(2)/2)*AB124+(1-EXP(-LN(2)/2))/(LN(2)/2)*V125*Y125*VLOOKUP('Données projet'!$B$9,Paramètres!$A$1:$I$89,3,0)*0.475*44/12</f>
        <v>1.7833821657580759E-13</v>
      </c>
      <c r="AC125" s="24">
        <f t="shared" si="57"/>
        <v>0.21057410580559599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266</v>
      </c>
      <c r="AJ125" s="14">
        <f>AI125*VLOOKUP('Données projet'!$B$10,Paramètres!$A$1:$I$89,3,0)*VLOOKUP('Données projet'!$B$10,Paramètres!$A$1:$I$89,5,0)</f>
        <v>269.72400000000005</v>
      </c>
      <c r="AK125" s="14">
        <f t="shared" si="89"/>
        <v>64.790691635967406</v>
      </c>
      <c r="AL125" s="22">
        <f t="shared" si="58"/>
        <v>582.61308793264323</v>
      </c>
      <c r="AM125" s="62">
        <f t="shared" si="59"/>
        <v>875.9464212659766</v>
      </c>
      <c r="AN125" s="62">
        <f ca="1">AVERAGE(OFFSET($AM$3,0,0,'Données projet'!$E$10+1,1))-AVERAGE(OFFSET($H$3,0,0,'Données projet'!$E$10+1,1))</f>
        <v>403.82490501309815</v>
      </c>
      <c r="AO125" s="62">
        <f t="shared" si="90"/>
        <v>256.4377087753457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0.23598822202331304</v>
      </c>
      <c r="AW125" s="23">
        <f>EXP(-LN(2)/2)*AW124+(1-EXP(-LN(2)/2))/(LN(2)/2)*AQ125*AT125*VLOOKUP('Données projet'!$B$10,Paramètres!$A$1:$I$89,3,0)*0.475*44/12</f>
        <v>1.9986179443840508E-13</v>
      </c>
      <c r="AX125" s="23">
        <f t="shared" si="60"/>
        <v>0.23598822202351291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266</v>
      </c>
      <c r="BE125" s="14">
        <f>BD125*VLOOKUP('Données projet'!$B$11,Paramètres!$A$1:$I$89,3,0)*VLOOKUP('Données projet'!$B$11,Paramètres!$A$1:$I$89,5,0)</f>
        <v>257.27519999999998</v>
      </c>
      <c r="BF125" s="14">
        <f t="shared" si="91"/>
        <v>62.141205057159596</v>
      </c>
      <c r="BG125" s="22">
        <f t="shared" si="61"/>
        <v>556.31690547455287</v>
      </c>
      <c r="BH125" s="62">
        <f t="shared" si="62"/>
        <v>849.65023880788613</v>
      </c>
      <c r="BI125" s="62">
        <f ca="1">AVERAGE(OFFSET($BH$3,0,0,'Données projet'!$E$11+1,1))-AVERAGE(OFFSET($H$3,0,0,'Données projet'!$E$11+1,1))</f>
        <v>387.04070351732537</v>
      </c>
      <c r="BJ125" s="62">
        <f t="shared" si="92"/>
        <v>246.54010105494137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0.22509645792992927</v>
      </c>
      <c r="BR125" s="23">
        <f>EXP(-LN(2)/2)*BR124+(1-EXP(-LN(2)/2))/(LN(2)/2)*BL125*BO125*VLOOKUP('Données projet'!$B$11,Paramètres!$A$1:$I$89,3,0)*0.475*44/12</f>
        <v>1.9063740392586338E-13</v>
      </c>
      <c r="BS125" s="24">
        <f t="shared" si="63"/>
        <v>0.2250964579301199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2.8421709430404007E-14</v>
      </c>
      <c r="BZ125" s="14">
        <f>BY125*VLOOKUP('Données projet'!$B$12,Paramètres!$A$1:$I$89,3,0)*VLOOKUP('Données projet'!$B$12,Paramètres!$A$1:$I$89,5,0)</f>
        <v>2.4829205358400945E-14</v>
      </c>
      <c r="CA125" s="14">
        <f t="shared" si="93"/>
        <v>4.3867331143352915E-13</v>
      </c>
      <c r="CB125" s="22">
        <f t="shared" si="64"/>
        <v>8.0726688341261168E-13</v>
      </c>
      <c r="CC125" s="62">
        <f t="shared" si="65"/>
        <v>293.33333333333411</v>
      </c>
      <c r="CD125" s="62">
        <f ca="1">AVERAGE(OFFSET($CC$3,0,0,'Données projet'!$E$12+1,1))-AVERAGE(OFFSET($H$3,0,0,'Données projet'!$E$12+1,1))</f>
        <v>327.62212115491479</v>
      </c>
      <c r="CE125" s="62">
        <f t="shared" si="94"/>
        <v>348.84706693879735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1.9175013580745019</v>
      </c>
      <c r="CM125" s="23">
        <f>EXP(-LN(2)/2)*CM124+(1-EXP(-LN(2)/2))/(LN(2)/2)*CG125*CJ125*VLOOKUP('Données projet'!$B$12,Paramètres!$A$1:$I$89,3,0)*0.475*44/12</f>
        <v>1.2091749262731542E-12</v>
      </c>
      <c r="CN125" s="24">
        <f t="shared" si="66"/>
        <v>1.9175013580757112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4.1677594708744434E-14</v>
      </c>
      <c r="CV125" s="14">
        <f t="shared" si="95"/>
        <v>6.9326303456159188E-13</v>
      </c>
      <c r="CW125" s="22">
        <f t="shared" si="67"/>
        <v>1.2800215959791691E-12</v>
      </c>
      <c r="CX125" s="62">
        <f t="shared" si="68"/>
        <v>293.33333333333462</v>
      </c>
      <c r="CY125" s="62">
        <f ca="1">AVERAGE(OFFSET($CX$3,0,0,'Données projet'!$E$13+1,1))-AVERAGE(OFFSET($H$3,0,0,'Données projet'!$E$13+1,1))</f>
        <v>277.97613250285963</v>
      </c>
      <c r="CZ125" s="62">
        <f t="shared" si="96"/>
        <v>274.55710362891892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1.2967000639019401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1.2967000639019401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266</v>
      </c>
      <c r="O126" s="14">
        <f>N126*VLOOKUP('Données projet'!$B$9,Paramètres!$A$1:$I$89,3,0)*VLOOKUP('Données projet'!$B$9,Paramètres!$A$1:$I$89,5,0)</f>
        <v>240.67680000000001</v>
      </c>
      <c r="P126" s="14">
        <f t="shared" si="87"/>
        <v>58.585123425001029</v>
      </c>
      <c r="Q126" s="22">
        <f t="shared" si="107"/>
        <v>521.21451663187679</v>
      </c>
      <c r="R126" s="62">
        <f t="shared" si="55"/>
        <v>814.54784996521016</v>
      </c>
      <c r="S126" s="62">
        <f ca="1">AVERAGE(OFFSET($R$3,0,0,'Données projet'!$E$9+1,1))-AVERAGE(OFFSET($H$3,0,0,'Données projet'!$E$9+1,1))</f>
        <v>364.63511534965755</v>
      </c>
      <c r="T126" s="62">
        <f t="shared" si="88"/>
        <v>233.32640143610541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0.20481594580855755</v>
      </c>
      <c r="AB126" s="23">
        <f>EXP(-LN(2)/2)*AB125+(1-EXP(-LN(2)/2))/(LN(2)/2)*V126*Y126*VLOOKUP('Données projet'!$B$9,Paramètres!$A$1:$I$89,3,0)*0.475*44/12</f>
        <v>1.261041622854687E-13</v>
      </c>
      <c r="AC126" s="24">
        <f t="shared" si="57"/>
        <v>0.20481594580868365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266</v>
      </c>
      <c r="AJ126" s="14">
        <f>AI126*VLOOKUP('Données projet'!$B$10,Paramètres!$A$1:$I$89,3,0)*VLOOKUP('Données projet'!$B$10,Paramètres!$A$1:$I$89,5,0)</f>
        <v>269.72400000000005</v>
      </c>
      <c r="AK126" s="14">
        <f t="shared" si="89"/>
        <v>64.790691635967406</v>
      </c>
      <c r="AL126" s="22">
        <f t="shared" si="58"/>
        <v>582.61308793264323</v>
      </c>
      <c r="AM126" s="62">
        <f t="shared" si="59"/>
        <v>875.9464212659766</v>
      </c>
      <c r="AN126" s="62">
        <f ca="1">AVERAGE(OFFSET($AM$3,0,0,'Données projet'!$E$10+1,1))-AVERAGE(OFFSET($H$3,0,0,'Données projet'!$E$10+1,1))</f>
        <v>403.82490501309815</v>
      </c>
      <c r="AO126" s="62">
        <f t="shared" si="90"/>
        <v>256.4377087753457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0.2295351116820043</v>
      </c>
      <c r="AW126" s="23">
        <f>EXP(-LN(2)/2)*AW125+(1-EXP(-LN(2)/2))/(LN(2)/2)*AQ126*AT126*VLOOKUP('Données projet'!$B$10,Paramètres!$A$1:$I$89,3,0)*0.475*44/12</f>
        <v>1.4132363014750804E-13</v>
      </c>
      <c r="AX126" s="23">
        <f t="shared" si="60"/>
        <v>0.22953511168214563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266</v>
      </c>
      <c r="BE126" s="14">
        <f>BD126*VLOOKUP('Données projet'!$B$11,Paramètres!$A$1:$I$89,3,0)*VLOOKUP('Données projet'!$B$11,Paramètres!$A$1:$I$89,5,0)</f>
        <v>257.27519999999998</v>
      </c>
      <c r="BF126" s="14">
        <f t="shared" si="91"/>
        <v>62.141205057159596</v>
      </c>
      <c r="BG126" s="22">
        <f t="shared" si="61"/>
        <v>556.31690547455287</v>
      </c>
      <c r="BH126" s="62">
        <f t="shared" si="62"/>
        <v>849.65023880788613</v>
      </c>
      <c r="BI126" s="62">
        <f ca="1">AVERAGE(OFFSET($BH$3,0,0,'Données projet'!$E$11+1,1))-AVERAGE(OFFSET($H$3,0,0,'Données projet'!$E$11+1,1))</f>
        <v>387.04070351732537</v>
      </c>
      <c r="BJ126" s="62">
        <f t="shared" si="92"/>
        <v>246.54010105494137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0.2189411834505271</v>
      </c>
      <c r="BR126" s="23">
        <f>EXP(-LN(2)/2)*BR125+(1-EXP(-LN(2)/2))/(LN(2)/2)*BL126*BO126*VLOOKUP('Données projet'!$B$11,Paramètres!$A$1:$I$89,3,0)*0.475*44/12</f>
        <v>1.3480100106377695E-13</v>
      </c>
      <c r="BS126" s="24">
        <f t="shared" si="63"/>
        <v>0.21894118345066191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2.8421709430404007E-14</v>
      </c>
      <c r="BZ126" s="14">
        <f>BY126*VLOOKUP('Données projet'!$B$12,Paramètres!$A$1:$I$89,3,0)*VLOOKUP('Données projet'!$B$12,Paramètres!$A$1:$I$89,5,0)</f>
        <v>2.4829205358400945E-14</v>
      </c>
      <c r="CA126" s="14">
        <f t="shared" si="93"/>
        <v>4.3867331143352915E-13</v>
      </c>
      <c r="CB126" s="22">
        <f t="shared" si="64"/>
        <v>8.0726688341261168E-13</v>
      </c>
      <c r="CC126" s="62">
        <f t="shared" si="65"/>
        <v>293.33333333333411</v>
      </c>
      <c r="CD126" s="62">
        <f ca="1">AVERAGE(OFFSET($CC$3,0,0,'Données projet'!$E$12+1,1))-AVERAGE(OFFSET($H$3,0,0,'Données projet'!$E$12+1,1))</f>
        <v>327.62212115491479</v>
      </c>
      <c r="CE126" s="62">
        <f t="shared" si="94"/>
        <v>348.84706693879735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1.8650671826009408</v>
      </c>
      <c r="CM126" s="23">
        <f>EXP(-LN(2)/2)*CM125+(1-EXP(-LN(2)/2))/(LN(2)/2)*CG126*CJ126*VLOOKUP('Données projet'!$B$12,Paramètres!$A$1:$I$89,3,0)*0.475*44/12</f>
        <v>8.5501579000849096E-13</v>
      </c>
      <c r="CN126" s="24">
        <f t="shared" si="66"/>
        <v>1.8650671826017959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4.1677594708744434E-14</v>
      </c>
      <c r="CV126" s="14">
        <f t="shared" si="95"/>
        <v>6.9326303456159188E-13</v>
      </c>
      <c r="CW126" s="22">
        <f t="shared" si="67"/>
        <v>1.2800215959791691E-12</v>
      </c>
      <c r="CX126" s="62">
        <f t="shared" si="68"/>
        <v>293.33333333333462</v>
      </c>
      <c r="CY126" s="62">
        <f ca="1">AVERAGE(OFFSET($CX$3,0,0,'Données projet'!$E$13+1,1))-AVERAGE(OFFSET($H$3,0,0,'Données projet'!$E$13+1,1))</f>
        <v>277.97613250285963</v>
      </c>
      <c r="CZ126" s="62">
        <f t="shared" si="96"/>
        <v>274.55710362891892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1.2712725665577662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1.2712725665577662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266</v>
      </c>
      <c r="O127" s="14">
        <f>N127*VLOOKUP('Données projet'!$B$9,Paramètres!$A$1:$I$89,3,0)*VLOOKUP('Données projet'!$B$9,Paramètres!$A$1:$I$89,5,0)</f>
        <v>240.67680000000001</v>
      </c>
      <c r="P127" s="14">
        <f t="shared" si="87"/>
        <v>58.585123425001029</v>
      </c>
      <c r="Q127" s="22">
        <f t="shared" si="107"/>
        <v>521.21451663187679</v>
      </c>
      <c r="R127" s="62">
        <f t="shared" si="55"/>
        <v>814.54784996521016</v>
      </c>
      <c r="S127" s="62">
        <f ca="1">AVERAGE(OFFSET($R$3,0,0,'Données projet'!$E$9+1,1))-AVERAGE(OFFSET($H$3,0,0,'Données projet'!$E$9+1,1))</f>
        <v>364.63511534965755</v>
      </c>
      <c r="T127" s="62">
        <f t="shared" si="88"/>
        <v>233.32640143610541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0.19921524299962007</v>
      </c>
      <c r="AB127" s="23">
        <f>EXP(-LN(2)/2)*AB126+(1-EXP(-LN(2)/2))/(LN(2)/2)*V127*Y127*VLOOKUP('Données projet'!$B$9,Paramètres!$A$1:$I$89,3,0)*0.475*44/12</f>
        <v>8.9169108287903796E-14</v>
      </c>
      <c r="AC127" s="24">
        <f t="shared" si="57"/>
        <v>0.19921524299970925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266</v>
      </c>
      <c r="AJ127" s="14">
        <f>AI127*VLOOKUP('Données projet'!$B$10,Paramètres!$A$1:$I$89,3,0)*VLOOKUP('Données projet'!$B$10,Paramètres!$A$1:$I$89,5,0)</f>
        <v>269.72400000000005</v>
      </c>
      <c r="AK127" s="14">
        <f t="shared" si="89"/>
        <v>64.790691635967406</v>
      </c>
      <c r="AL127" s="22">
        <f t="shared" si="58"/>
        <v>582.61308793264323</v>
      </c>
      <c r="AM127" s="62">
        <f t="shared" si="59"/>
        <v>875.9464212659766</v>
      </c>
      <c r="AN127" s="62">
        <f ca="1">AVERAGE(OFFSET($AM$3,0,0,'Données projet'!$E$10+1,1))-AVERAGE(OFFSET($H$3,0,0,'Données projet'!$E$10+1,1))</f>
        <v>403.82490501309815</v>
      </c>
      <c r="AO127" s="62">
        <f t="shared" si="90"/>
        <v>256.4377087753457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0.22325846198233298</v>
      </c>
      <c r="AW127" s="23">
        <f>EXP(-LN(2)/2)*AW126+(1-EXP(-LN(2)/2))/(LN(2)/2)*AQ127*AT127*VLOOKUP('Données projet'!$B$10,Paramètres!$A$1:$I$89,3,0)*0.475*44/12</f>
        <v>9.993089721920254E-14</v>
      </c>
      <c r="AX127" s="23">
        <f t="shared" si="60"/>
        <v>0.2232584619824329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266</v>
      </c>
      <c r="BE127" s="14">
        <f>BD127*VLOOKUP('Données projet'!$B$11,Paramètres!$A$1:$I$89,3,0)*VLOOKUP('Données projet'!$B$11,Paramètres!$A$1:$I$89,5,0)</f>
        <v>257.27519999999998</v>
      </c>
      <c r="BF127" s="14">
        <f t="shared" si="91"/>
        <v>62.141205057159596</v>
      </c>
      <c r="BG127" s="22">
        <f t="shared" si="61"/>
        <v>556.31690547455287</v>
      </c>
      <c r="BH127" s="62">
        <f t="shared" si="62"/>
        <v>849.65023880788613</v>
      </c>
      <c r="BI127" s="62">
        <f ca="1">AVERAGE(OFFSET($BH$3,0,0,'Données projet'!$E$11+1,1))-AVERAGE(OFFSET($H$3,0,0,'Données projet'!$E$11+1,1))</f>
        <v>387.04070351732537</v>
      </c>
      <c r="BJ127" s="62">
        <f t="shared" si="92"/>
        <v>246.54010105494137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0.21295422527545599</v>
      </c>
      <c r="BR127" s="23">
        <f>EXP(-LN(2)/2)*BR126+(1-EXP(-LN(2)/2))/(LN(2)/2)*BL127*BO127*VLOOKUP('Données projet'!$B$11,Paramètres!$A$1:$I$89,3,0)*0.475*44/12</f>
        <v>9.5318701962931689E-14</v>
      </c>
      <c r="BS127" s="24">
        <f t="shared" si="63"/>
        <v>0.2129542252755513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2.8421709430404007E-14</v>
      </c>
      <c r="BZ127" s="14">
        <f>BY127*VLOOKUP('Données projet'!$B$12,Paramètres!$A$1:$I$89,3,0)*VLOOKUP('Données projet'!$B$12,Paramètres!$A$1:$I$89,5,0)</f>
        <v>2.4829205358400945E-14</v>
      </c>
      <c r="CA127" s="14">
        <f t="shared" si="93"/>
        <v>4.3867331143352915E-13</v>
      </c>
      <c r="CB127" s="22">
        <f t="shared" si="64"/>
        <v>8.0726688341261168E-13</v>
      </c>
      <c r="CC127" s="62">
        <f t="shared" si="65"/>
        <v>293.33333333333411</v>
      </c>
      <c r="CD127" s="62">
        <f ca="1">AVERAGE(OFFSET($CC$3,0,0,'Données projet'!$E$12+1,1))-AVERAGE(OFFSET($H$3,0,0,'Données projet'!$E$12+1,1))</f>
        <v>327.62212115491479</v>
      </c>
      <c r="CE127" s="62">
        <f t="shared" si="94"/>
        <v>348.84706693879735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1.8140668224130976</v>
      </c>
      <c r="CM127" s="23">
        <f>EXP(-LN(2)/2)*CM126+(1-EXP(-LN(2)/2))/(LN(2)/2)*CG127*CJ127*VLOOKUP('Données projet'!$B$12,Paramètres!$A$1:$I$89,3,0)*0.475*44/12</f>
        <v>6.0458746313657708E-13</v>
      </c>
      <c r="CN127" s="24">
        <f t="shared" si="66"/>
        <v>1.8140668224137022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4.1677594708744434E-14</v>
      </c>
      <c r="CV127" s="14">
        <f t="shared" si="95"/>
        <v>6.9326303456159188E-13</v>
      </c>
      <c r="CW127" s="22">
        <f t="shared" si="67"/>
        <v>1.2800215959791691E-12</v>
      </c>
      <c r="CX127" s="62">
        <f t="shared" si="68"/>
        <v>293.33333333333462</v>
      </c>
      <c r="CY127" s="62">
        <f ca="1">AVERAGE(OFFSET($CX$3,0,0,'Données projet'!$E$13+1,1))-AVERAGE(OFFSET($H$3,0,0,'Données projet'!$E$13+1,1))</f>
        <v>277.97613250285963</v>
      </c>
      <c r="CZ127" s="62">
        <f t="shared" si="96"/>
        <v>274.55710362891892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1.2463436869272697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1.2463436869272697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266</v>
      </c>
      <c r="O128" s="14">
        <f>N128*VLOOKUP('Données projet'!$B$9,Paramètres!$A$1:$I$89,3,0)*VLOOKUP('Données projet'!$B$9,Paramètres!$A$1:$I$89,5,0)</f>
        <v>240.67680000000001</v>
      </c>
      <c r="P128" s="14">
        <f t="shared" si="87"/>
        <v>58.585123425001029</v>
      </c>
      <c r="Q128" s="22">
        <f t="shared" si="107"/>
        <v>521.21451663187679</v>
      </c>
      <c r="R128" s="62">
        <f t="shared" si="55"/>
        <v>814.54784996521016</v>
      </c>
      <c r="S128" s="62">
        <f ca="1">AVERAGE(OFFSET($R$3,0,0,'Données projet'!$E$9+1,1))-AVERAGE(OFFSET($H$3,0,0,'Données projet'!$E$9+1,1))</f>
        <v>364.63511534965755</v>
      </c>
      <c r="T128" s="62">
        <f t="shared" si="88"/>
        <v>233.32640143610541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0.19376769170352115</v>
      </c>
      <c r="AB128" s="23">
        <f>EXP(-LN(2)/2)*AB127+(1-EXP(-LN(2)/2))/(LN(2)/2)*V128*Y128*VLOOKUP('Données projet'!$B$9,Paramètres!$A$1:$I$89,3,0)*0.475*44/12</f>
        <v>6.3052081142734351E-14</v>
      </c>
      <c r="AC128" s="24">
        <f t="shared" si="57"/>
        <v>0.19376769170358421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266</v>
      </c>
      <c r="AJ128" s="14">
        <f>AI128*VLOOKUP('Données projet'!$B$10,Paramètres!$A$1:$I$89,3,0)*VLOOKUP('Données projet'!$B$10,Paramètres!$A$1:$I$89,5,0)</f>
        <v>269.72400000000005</v>
      </c>
      <c r="AK128" s="14">
        <f t="shared" si="89"/>
        <v>64.790691635967406</v>
      </c>
      <c r="AL128" s="22">
        <f t="shared" si="58"/>
        <v>582.61308793264323</v>
      </c>
      <c r="AM128" s="62">
        <f t="shared" si="59"/>
        <v>875.9464212659766</v>
      </c>
      <c r="AN128" s="62">
        <f ca="1">AVERAGE(OFFSET($AM$3,0,0,'Données projet'!$E$10+1,1))-AVERAGE(OFFSET($H$3,0,0,'Données projet'!$E$10+1,1))</f>
        <v>403.82490501309815</v>
      </c>
      <c r="AO128" s="62">
        <f t="shared" si="90"/>
        <v>256.4377087753457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0.21715344759877384</v>
      </c>
      <c r="AW128" s="23">
        <f>EXP(-LN(2)/2)*AW127+(1-EXP(-LN(2)/2))/(LN(2)/2)*AQ128*AT128*VLOOKUP('Données projet'!$B$10,Paramètres!$A$1:$I$89,3,0)*0.475*44/12</f>
        <v>7.066181507375402E-14</v>
      </c>
      <c r="AX128" s="23">
        <f t="shared" si="60"/>
        <v>0.2171534475988445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266</v>
      </c>
      <c r="BE128" s="14">
        <f>BD128*VLOOKUP('Données projet'!$B$11,Paramètres!$A$1:$I$89,3,0)*VLOOKUP('Données projet'!$B$11,Paramètres!$A$1:$I$89,5,0)</f>
        <v>257.27519999999998</v>
      </c>
      <c r="BF128" s="14">
        <f t="shared" si="91"/>
        <v>62.141205057159596</v>
      </c>
      <c r="BG128" s="22">
        <f t="shared" si="61"/>
        <v>556.31690547455287</v>
      </c>
      <c r="BH128" s="62">
        <f t="shared" si="62"/>
        <v>849.65023880788613</v>
      </c>
      <c r="BI128" s="62">
        <f ca="1">AVERAGE(OFFSET($BH$3,0,0,'Données projet'!$E$11+1,1))-AVERAGE(OFFSET($H$3,0,0,'Données projet'!$E$11+1,1))</f>
        <v>387.04070351732537</v>
      </c>
      <c r="BJ128" s="62">
        <f t="shared" si="92"/>
        <v>246.54010105494137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0.20713098078652264</v>
      </c>
      <c r="BR128" s="23">
        <f>EXP(-LN(2)/2)*BR127+(1-EXP(-LN(2)/2))/(LN(2)/2)*BL128*BO128*VLOOKUP('Données projet'!$B$11,Paramètres!$A$1:$I$89,3,0)*0.475*44/12</f>
        <v>6.7400500531888475E-14</v>
      </c>
      <c r="BS128" s="24">
        <f t="shared" si="63"/>
        <v>0.20713098078659004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2.8421709430404007E-14</v>
      </c>
      <c r="BZ128" s="14">
        <f>BY128*VLOOKUP('Données projet'!$B$12,Paramètres!$A$1:$I$89,3,0)*VLOOKUP('Données projet'!$B$12,Paramètres!$A$1:$I$89,5,0)</f>
        <v>2.4829205358400945E-14</v>
      </c>
      <c r="CA128" s="14">
        <f t="shared" si="93"/>
        <v>4.3867331143352915E-13</v>
      </c>
      <c r="CB128" s="22">
        <f t="shared" si="64"/>
        <v>8.0726688341261168E-13</v>
      </c>
      <c r="CC128" s="62">
        <f t="shared" si="65"/>
        <v>293.33333333333411</v>
      </c>
      <c r="CD128" s="62">
        <f ca="1">AVERAGE(OFFSET($CC$3,0,0,'Données projet'!$E$12+1,1))-AVERAGE(OFFSET($H$3,0,0,'Données projet'!$E$12+1,1))</f>
        <v>327.62212115491479</v>
      </c>
      <c r="CE128" s="62">
        <f t="shared" si="94"/>
        <v>348.84706693879735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1.7644610697565832</v>
      </c>
      <c r="CM128" s="23">
        <f>EXP(-LN(2)/2)*CM127+(1-EXP(-LN(2)/2))/(LN(2)/2)*CG128*CJ128*VLOOKUP('Données projet'!$B$12,Paramètres!$A$1:$I$89,3,0)*0.475*44/12</f>
        <v>4.2750789500424548E-13</v>
      </c>
      <c r="CN128" s="24">
        <f t="shared" si="66"/>
        <v>1.7644610697570107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4.1677594708744434E-14</v>
      </c>
      <c r="CV128" s="14">
        <f t="shared" si="95"/>
        <v>6.9326303456159188E-13</v>
      </c>
      <c r="CW128" s="22">
        <f t="shared" si="67"/>
        <v>1.2800215959791691E-12</v>
      </c>
      <c r="CX128" s="62">
        <f t="shared" si="68"/>
        <v>293.33333333333462</v>
      </c>
      <c r="CY128" s="62">
        <f ca="1">AVERAGE(OFFSET($CX$3,0,0,'Données projet'!$E$13+1,1))-AVERAGE(OFFSET($H$3,0,0,'Données projet'!$E$13+1,1))</f>
        <v>277.97613250285963</v>
      </c>
      <c r="CZ128" s="62">
        <f t="shared" si="96"/>
        <v>274.55710362891892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1.2219036474212119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1.2219036474212119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266</v>
      </c>
      <c r="O129" s="14">
        <f>N129*VLOOKUP('Données projet'!$B$9,Paramètres!$A$1:$I$89,3,0)*VLOOKUP('Données projet'!$B$9,Paramètres!$A$1:$I$89,5,0)</f>
        <v>240.67680000000001</v>
      </c>
      <c r="P129" s="14">
        <f t="shared" si="87"/>
        <v>58.585123425001029</v>
      </c>
      <c r="Q129" s="22">
        <f t="shared" si="107"/>
        <v>521.21451663187679</v>
      </c>
      <c r="R129" s="62">
        <f t="shared" si="55"/>
        <v>814.54784996521016</v>
      </c>
      <c r="S129" s="62">
        <f ca="1">AVERAGE(OFFSET($R$3,0,0,'Données projet'!$E$9+1,1))-AVERAGE(OFFSET($H$3,0,0,'Données projet'!$E$9+1,1))</f>
        <v>364.63511534965755</v>
      </c>
      <c r="T129" s="62">
        <f t="shared" si="88"/>
        <v>233.32640143610541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0.18846910398408831</v>
      </c>
      <c r="AB129" s="23">
        <f>EXP(-LN(2)/2)*AB128+(1-EXP(-LN(2)/2))/(LN(2)/2)*V129*Y129*VLOOKUP('Données projet'!$B$9,Paramètres!$A$1:$I$89,3,0)*0.475*44/12</f>
        <v>4.4584554143951898E-14</v>
      </c>
      <c r="AC129" s="24">
        <f t="shared" si="57"/>
        <v>0.18846910398413289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266</v>
      </c>
      <c r="AJ129" s="14">
        <f>AI129*VLOOKUP('Données projet'!$B$10,Paramètres!$A$1:$I$89,3,0)*VLOOKUP('Données projet'!$B$10,Paramètres!$A$1:$I$89,5,0)</f>
        <v>269.72400000000005</v>
      </c>
      <c r="AK129" s="14">
        <f t="shared" si="89"/>
        <v>64.790691635967406</v>
      </c>
      <c r="AL129" s="22">
        <f t="shared" si="58"/>
        <v>582.61308793264323</v>
      </c>
      <c r="AM129" s="62">
        <f t="shared" si="59"/>
        <v>875.9464212659766</v>
      </c>
      <c r="AN129" s="62">
        <f ca="1">AVERAGE(OFFSET($AM$3,0,0,'Données projet'!$E$10+1,1))-AVERAGE(OFFSET($H$3,0,0,'Données projet'!$E$10+1,1))</f>
        <v>403.82490501309815</v>
      </c>
      <c r="AO129" s="62">
        <f t="shared" si="90"/>
        <v>256.4377087753457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0.21121537515458186</v>
      </c>
      <c r="AW129" s="23">
        <f>EXP(-LN(2)/2)*AW128+(1-EXP(-LN(2)/2))/(LN(2)/2)*AQ129*AT129*VLOOKUP('Données projet'!$B$10,Paramètres!$A$1:$I$89,3,0)*0.475*44/12</f>
        <v>4.996544860960127E-14</v>
      </c>
      <c r="AX129" s="23">
        <f t="shared" si="60"/>
        <v>0.21121537515463182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266</v>
      </c>
      <c r="BE129" s="14">
        <f>BD129*VLOOKUP('Données projet'!$B$11,Paramètres!$A$1:$I$89,3,0)*VLOOKUP('Données projet'!$B$11,Paramètres!$A$1:$I$89,5,0)</f>
        <v>257.27519999999998</v>
      </c>
      <c r="BF129" s="14">
        <f t="shared" si="91"/>
        <v>62.141205057159596</v>
      </c>
      <c r="BG129" s="22">
        <f t="shared" si="61"/>
        <v>556.31690547455287</v>
      </c>
      <c r="BH129" s="62">
        <f t="shared" si="62"/>
        <v>849.65023880788613</v>
      </c>
      <c r="BI129" s="62">
        <f ca="1">AVERAGE(OFFSET($BH$3,0,0,'Données projet'!$E$11+1,1))-AVERAGE(OFFSET($H$3,0,0,'Données projet'!$E$11+1,1))</f>
        <v>387.04070351732537</v>
      </c>
      <c r="BJ129" s="62">
        <f t="shared" si="92"/>
        <v>246.54010105494137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0.20146697322437032</v>
      </c>
      <c r="BR129" s="23">
        <f>EXP(-LN(2)/2)*BR128+(1-EXP(-LN(2)/2))/(LN(2)/2)*BL129*BO129*VLOOKUP('Données projet'!$B$11,Paramètres!$A$1:$I$89,3,0)*0.475*44/12</f>
        <v>4.7659350981465845E-14</v>
      </c>
      <c r="BS129" s="24">
        <f t="shared" si="63"/>
        <v>0.20146697322441798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2.8421709430404007E-14</v>
      </c>
      <c r="BZ129" s="14">
        <f>BY129*VLOOKUP('Données projet'!$B$12,Paramètres!$A$1:$I$89,3,0)*VLOOKUP('Données projet'!$B$12,Paramètres!$A$1:$I$89,5,0)</f>
        <v>2.4829205358400945E-14</v>
      </c>
      <c r="CA129" s="14">
        <f t="shared" si="93"/>
        <v>4.3867331143352915E-13</v>
      </c>
      <c r="CB129" s="22">
        <f t="shared" si="64"/>
        <v>8.0726688341261168E-13</v>
      </c>
      <c r="CC129" s="62">
        <f t="shared" si="65"/>
        <v>293.33333333333411</v>
      </c>
      <c r="CD129" s="62">
        <f ca="1">AVERAGE(OFFSET($CC$3,0,0,'Données projet'!$E$12+1,1))-AVERAGE(OFFSET($H$3,0,0,'Données projet'!$E$12+1,1))</f>
        <v>327.62212115491479</v>
      </c>
      <c r="CE129" s="62">
        <f t="shared" si="94"/>
        <v>348.84706693879735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1.7162117890151145</v>
      </c>
      <c r="CM129" s="23">
        <f>EXP(-LN(2)/2)*CM128+(1-EXP(-LN(2)/2))/(LN(2)/2)*CG129*CJ129*VLOOKUP('Données projet'!$B$12,Paramètres!$A$1:$I$89,3,0)*0.475*44/12</f>
        <v>3.0229373156828854E-13</v>
      </c>
      <c r="CN129" s="24">
        <f t="shared" si="66"/>
        <v>1.7162117890154167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4.1677594708744434E-14</v>
      </c>
      <c r="CV129" s="14">
        <f t="shared" si="95"/>
        <v>6.9326303456159188E-13</v>
      </c>
      <c r="CW129" s="22">
        <f t="shared" si="67"/>
        <v>1.2800215959791691E-12</v>
      </c>
      <c r="CX129" s="62">
        <f t="shared" si="68"/>
        <v>293.33333333333462</v>
      </c>
      <c r="CY129" s="62">
        <f ca="1">AVERAGE(OFFSET($CX$3,0,0,'Données projet'!$E$13+1,1))-AVERAGE(OFFSET($H$3,0,0,'Données projet'!$E$13+1,1))</f>
        <v>277.97613250285963</v>
      </c>
      <c r="CZ129" s="62">
        <f t="shared" si="96"/>
        <v>274.55710362891892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1.1979428621829158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1.1979428621829158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266</v>
      </c>
      <c r="O130" s="14">
        <f>N130*VLOOKUP('Données projet'!$B$9,Paramètres!$A$1:$I$89,3,0)*VLOOKUP('Données projet'!$B$9,Paramètres!$A$1:$I$89,5,0)</f>
        <v>240.67680000000001</v>
      </c>
      <c r="P130" s="14">
        <f t="shared" si="87"/>
        <v>58.585123425001029</v>
      </c>
      <c r="Q130" s="22">
        <f t="shared" si="107"/>
        <v>521.21451663187679</v>
      </c>
      <c r="R130" s="62">
        <f t="shared" si="55"/>
        <v>814.54784996521016</v>
      </c>
      <c r="S130" s="62">
        <f ca="1">AVERAGE(OFFSET($R$3,0,0,'Données projet'!$E$9+1,1))-AVERAGE(OFFSET($H$3,0,0,'Données projet'!$E$9+1,1))</f>
        <v>364.63511534965755</v>
      </c>
      <c r="T130" s="62">
        <f t="shared" si="88"/>
        <v>233.32640143610541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0.18331540642448399</v>
      </c>
      <c r="AB130" s="23">
        <f>EXP(-LN(2)/2)*AB129+(1-EXP(-LN(2)/2))/(LN(2)/2)*V130*Y130*VLOOKUP('Données projet'!$B$9,Paramètres!$A$1:$I$89,3,0)*0.475*44/12</f>
        <v>3.1526040571367175E-14</v>
      </c>
      <c r="AC130" s="24">
        <f t="shared" si="57"/>
        <v>0.18331540642451552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266</v>
      </c>
      <c r="AJ130" s="14">
        <f>AI130*VLOOKUP('Données projet'!$B$10,Paramètres!$A$1:$I$89,3,0)*VLOOKUP('Données projet'!$B$10,Paramètres!$A$1:$I$89,5,0)</f>
        <v>269.72400000000005</v>
      </c>
      <c r="AK130" s="14">
        <f t="shared" si="89"/>
        <v>64.790691635967406</v>
      </c>
      <c r="AL130" s="22">
        <f t="shared" si="58"/>
        <v>582.61308793264323</v>
      </c>
      <c r="AM130" s="62">
        <f t="shared" si="59"/>
        <v>875.9464212659766</v>
      </c>
      <c r="AN130" s="62">
        <f ca="1">AVERAGE(OFFSET($AM$3,0,0,'Données projet'!$E$10+1,1))-AVERAGE(OFFSET($H$3,0,0,'Données projet'!$E$10+1,1))</f>
        <v>403.82490501309815</v>
      </c>
      <c r="AO130" s="62">
        <f t="shared" si="90"/>
        <v>256.4377087753457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0.20543967961364598</v>
      </c>
      <c r="AW130" s="23">
        <f>EXP(-LN(2)/2)*AW129+(1-EXP(-LN(2)/2))/(LN(2)/2)*AQ130*AT130*VLOOKUP('Données projet'!$B$10,Paramètres!$A$1:$I$89,3,0)*0.475*44/12</f>
        <v>3.533090753687701E-14</v>
      </c>
      <c r="AX130" s="23">
        <f t="shared" si="60"/>
        <v>0.20543967961368131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266</v>
      </c>
      <c r="BE130" s="14">
        <f>BD130*VLOOKUP('Données projet'!$B$11,Paramètres!$A$1:$I$89,3,0)*VLOOKUP('Données projet'!$B$11,Paramètres!$A$1:$I$89,5,0)</f>
        <v>257.27519999999998</v>
      </c>
      <c r="BF130" s="14">
        <f t="shared" si="91"/>
        <v>62.141205057159596</v>
      </c>
      <c r="BG130" s="22">
        <f t="shared" si="61"/>
        <v>556.31690547455287</v>
      </c>
      <c r="BH130" s="62">
        <f t="shared" si="62"/>
        <v>849.65023880788613</v>
      </c>
      <c r="BI130" s="62">
        <f ca="1">AVERAGE(OFFSET($BH$3,0,0,'Données projet'!$E$11+1,1))-AVERAGE(OFFSET($H$3,0,0,'Données projet'!$E$11+1,1))</f>
        <v>387.04070351732537</v>
      </c>
      <c r="BJ130" s="62">
        <f t="shared" si="92"/>
        <v>246.54010105494137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0.19595784824686224</v>
      </c>
      <c r="BR130" s="23">
        <f>EXP(-LN(2)/2)*BR129+(1-EXP(-LN(2)/2))/(LN(2)/2)*BL130*BO130*VLOOKUP('Données projet'!$B$11,Paramètres!$A$1:$I$89,3,0)*0.475*44/12</f>
        <v>3.3700250265944237E-14</v>
      </c>
      <c r="BS130" s="24">
        <f t="shared" si="63"/>
        <v>0.19595784824689594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2.8421709430404007E-14</v>
      </c>
      <c r="BZ130" s="14">
        <f>BY130*VLOOKUP('Données projet'!$B$12,Paramètres!$A$1:$I$89,3,0)*VLOOKUP('Données projet'!$B$12,Paramètres!$A$1:$I$89,5,0)</f>
        <v>2.4829205358400945E-14</v>
      </c>
      <c r="CA130" s="14">
        <f t="shared" si="93"/>
        <v>4.3867331143352915E-13</v>
      </c>
      <c r="CB130" s="22">
        <f t="shared" si="64"/>
        <v>8.0726688341261168E-13</v>
      </c>
      <c r="CC130" s="62">
        <f t="shared" si="65"/>
        <v>293.33333333333411</v>
      </c>
      <c r="CD130" s="62">
        <f ca="1">AVERAGE(OFFSET($CC$3,0,0,'Données projet'!$E$12+1,1))-AVERAGE(OFFSET($H$3,0,0,'Données projet'!$E$12+1,1))</f>
        <v>327.62212115491479</v>
      </c>
      <c r="CE130" s="62">
        <f t="shared" si="94"/>
        <v>348.84706693879735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1.6692818873928408</v>
      </c>
      <c r="CM130" s="23">
        <f>EXP(-LN(2)/2)*CM129+(1-EXP(-LN(2)/2))/(LN(2)/2)*CG130*CJ130*VLOOKUP('Données projet'!$B$12,Paramètres!$A$1:$I$89,3,0)*0.475*44/12</f>
        <v>2.1375394750212274E-13</v>
      </c>
      <c r="CN130" s="24">
        <f t="shared" si="66"/>
        <v>1.6692818873930546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4.1677594708744434E-14</v>
      </c>
      <c r="CV130" s="14">
        <f t="shared" si="95"/>
        <v>6.9326303456159188E-13</v>
      </c>
      <c r="CW130" s="22">
        <f t="shared" si="67"/>
        <v>1.2800215959791691E-12</v>
      </c>
      <c r="CX130" s="62">
        <f t="shared" si="68"/>
        <v>293.33333333333462</v>
      </c>
      <c r="CY130" s="62">
        <f ca="1">AVERAGE(OFFSET($CX$3,0,0,'Données projet'!$E$13+1,1))-AVERAGE(OFFSET($H$3,0,0,'Données projet'!$E$13+1,1))</f>
        <v>277.97613250285963</v>
      </c>
      <c r="CZ130" s="62">
        <f t="shared" si="96"/>
        <v>274.55710362891892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1.1744519333285068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1.1744519333285068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266</v>
      </c>
      <c r="O131" s="14">
        <f>N131*VLOOKUP('Données projet'!$B$9,Paramètres!$A$1:$I$89,3,0)*VLOOKUP('Données projet'!$B$9,Paramètres!$A$1:$I$89,5,0)</f>
        <v>240.67680000000001</v>
      </c>
      <c r="P131" s="14">
        <f t="shared" si="87"/>
        <v>58.585123425001029</v>
      </c>
      <c r="Q131" s="22">
        <f t="shared" ref="Q131:Q153" si="108">(O131+P131)*0.475*44/12</f>
        <v>521.21451663187679</v>
      </c>
      <c r="R131" s="62">
        <f t="shared" ref="R131:R194" si="109">Q131+(I131+J131)*44/12</f>
        <v>814.54784996521016</v>
      </c>
      <c r="S131" s="62">
        <f ca="1">AVERAGE(OFFSET($R$3,0,0,'Données projet'!$E$9+1,1))-AVERAGE(OFFSET($H$3,0,0,'Données projet'!$E$9+1,1))</f>
        <v>364.63511534965755</v>
      </c>
      <c r="T131" s="62">
        <f t="shared" si="88"/>
        <v>233.32640143610541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0.17830263699566823</v>
      </c>
      <c r="AB131" s="23">
        <f>EXP(-LN(2)/2)*AB130+(1-EXP(-LN(2)/2))/(LN(2)/2)*V131*Y131*VLOOKUP('Données projet'!$B$9,Paramètres!$A$1:$I$89,3,0)*0.475*44/12</f>
        <v>2.2292277071975949E-14</v>
      </c>
      <c r="AC131" s="24">
        <f t="shared" si="57"/>
        <v>0.17830263699569052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266</v>
      </c>
      <c r="AJ131" s="14">
        <f>AI131*VLOOKUP('Données projet'!$B$10,Paramètres!$A$1:$I$89,3,0)*VLOOKUP('Données projet'!$B$10,Paramètres!$A$1:$I$89,5,0)</f>
        <v>269.72400000000005</v>
      </c>
      <c r="AK131" s="14">
        <f t="shared" si="89"/>
        <v>64.790691635967406</v>
      </c>
      <c r="AL131" s="22">
        <f t="shared" si="58"/>
        <v>582.61308793264323</v>
      </c>
      <c r="AM131" s="62">
        <f t="shared" si="59"/>
        <v>875.9464212659766</v>
      </c>
      <c r="AN131" s="62">
        <f ca="1">AVERAGE(OFFSET($AM$3,0,0,'Données projet'!$E$10+1,1))-AVERAGE(OFFSET($H$3,0,0,'Données projet'!$E$10+1,1))</f>
        <v>403.82490501309815</v>
      </c>
      <c r="AO131" s="62">
        <f t="shared" si="90"/>
        <v>256.4377087753457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0.19982192077100763</v>
      </c>
      <c r="AW131" s="23">
        <f>EXP(-LN(2)/2)*AW130+(1-EXP(-LN(2)/2))/(LN(2)/2)*AQ131*AT131*VLOOKUP('Données projet'!$B$10,Paramètres!$A$1:$I$89,3,0)*0.475*44/12</f>
        <v>2.4982724304800635E-14</v>
      </c>
      <c r="AX131" s="23">
        <f t="shared" si="60"/>
        <v>0.19982192077103261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266</v>
      </c>
      <c r="BE131" s="14">
        <f>BD131*VLOOKUP('Données projet'!$B$11,Paramètres!$A$1:$I$89,3,0)*VLOOKUP('Données projet'!$B$11,Paramètres!$A$1:$I$89,5,0)</f>
        <v>257.27519999999998</v>
      </c>
      <c r="BF131" s="14">
        <f t="shared" si="91"/>
        <v>62.141205057159596</v>
      </c>
      <c r="BG131" s="22">
        <f t="shared" si="61"/>
        <v>556.31690547455287</v>
      </c>
      <c r="BH131" s="62">
        <f t="shared" si="62"/>
        <v>849.65023880788613</v>
      </c>
      <c r="BI131" s="62">
        <f ca="1">AVERAGE(OFFSET($BH$3,0,0,'Données projet'!$E$11+1,1))-AVERAGE(OFFSET($H$3,0,0,'Données projet'!$E$11+1,1))</f>
        <v>387.04070351732537</v>
      </c>
      <c r="BJ131" s="62">
        <f t="shared" si="92"/>
        <v>246.54010105494137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0.19059937058157642</v>
      </c>
      <c r="BR131" s="23">
        <f>EXP(-LN(2)/2)*BR130+(1-EXP(-LN(2)/2))/(LN(2)/2)*BL131*BO131*VLOOKUP('Données projet'!$B$11,Paramètres!$A$1:$I$89,3,0)*0.475*44/12</f>
        <v>2.3829675490732922E-14</v>
      </c>
      <c r="BS131" s="24">
        <f t="shared" si="63"/>
        <v>0.19059937058160026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2.8421709430404007E-14</v>
      </c>
      <c r="BZ131" s="14">
        <f>BY131*VLOOKUP('Données projet'!$B$12,Paramètres!$A$1:$I$89,3,0)*VLOOKUP('Données projet'!$B$12,Paramètres!$A$1:$I$89,5,0)</f>
        <v>2.4829205358400945E-14</v>
      </c>
      <c r="CA131" s="14">
        <f t="shared" si="93"/>
        <v>4.3867331143352915E-13</v>
      </c>
      <c r="CB131" s="22">
        <f t="shared" si="64"/>
        <v>8.0726688341261168E-13</v>
      </c>
      <c r="CC131" s="62">
        <f t="shared" si="65"/>
        <v>293.33333333333411</v>
      </c>
      <c r="CD131" s="62">
        <f ca="1">AVERAGE(OFFSET($CC$3,0,0,'Données projet'!$E$12+1,1))-AVERAGE(OFFSET($H$3,0,0,'Données projet'!$E$12+1,1))</f>
        <v>327.62212115491479</v>
      </c>
      <c r="CE131" s="62">
        <f t="shared" si="94"/>
        <v>348.84706693879735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1.6236352863983643</v>
      </c>
      <c r="CM131" s="23">
        <f>EXP(-LN(2)/2)*CM130+(1-EXP(-LN(2)/2))/(LN(2)/2)*CG131*CJ131*VLOOKUP('Données projet'!$B$12,Paramètres!$A$1:$I$89,3,0)*0.475*44/12</f>
        <v>1.5114686578414427E-13</v>
      </c>
      <c r="CN131" s="24">
        <f t="shared" si="66"/>
        <v>1.6236352863985155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4.1677594708744434E-14</v>
      </c>
      <c r="CV131" s="14">
        <f t="shared" si="95"/>
        <v>6.9326303456159188E-13</v>
      </c>
      <c r="CW131" s="22">
        <f t="shared" si="67"/>
        <v>1.2800215959791691E-12</v>
      </c>
      <c r="CX131" s="62">
        <f t="shared" si="68"/>
        <v>293.33333333333462</v>
      </c>
      <c r="CY131" s="62">
        <f ca="1">AVERAGE(OFFSET($CX$3,0,0,'Données projet'!$E$13+1,1))-AVERAGE(OFFSET($H$3,0,0,'Données projet'!$E$13+1,1))</f>
        <v>277.97613250285963</v>
      </c>
      <c r="CZ131" s="62">
        <f t="shared" si="96"/>
        <v>274.55710362891892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1.1514216472608809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1.1514216472608809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266</v>
      </c>
      <c r="O132" s="14">
        <f>N132*VLOOKUP('Données projet'!$B$9,Paramètres!$A$1:$I$89,3,0)*VLOOKUP('Données projet'!$B$9,Paramètres!$A$1:$I$89,5,0)</f>
        <v>240.67680000000001</v>
      </c>
      <c r="P132" s="14">
        <f t="shared" si="87"/>
        <v>58.585123425001029</v>
      </c>
      <c r="Q132" s="22">
        <f t="shared" si="108"/>
        <v>521.21451663187679</v>
      </c>
      <c r="R132" s="62">
        <f t="shared" si="109"/>
        <v>814.54784996521016</v>
      </c>
      <c r="S132" s="62">
        <f ca="1">AVERAGE(OFFSET($R$3,0,0,'Données projet'!$E$9+1,1))-AVERAGE(OFFSET($H$3,0,0,'Données projet'!$E$9+1,1))</f>
        <v>364.63511534965755</v>
      </c>
      <c r="T132" s="62">
        <f t="shared" si="88"/>
        <v>233.32640143610541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0.17342694201049352</v>
      </c>
      <c r="AB132" s="23">
        <f>EXP(-LN(2)/2)*AB131+(1-EXP(-LN(2)/2))/(LN(2)/2)*V132*Y132*VLOOKUP('Données projet'!$B$9,Paramètres!$A$1:$I$89,3,0)*0.475*44/12</f>
        <v>1.5763020285683588E-14</v>
      </c>
      <c r="AC132" s="24">
        <f t="shared" ref="AC132:AC153" si="111">SUM(Z132:AB132)</f>
        <v>0.17342694201050929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266</v>
      </c>
      <c r="AJ132" s="14">
        <f>AI132*VLOOKUP('Données projet'!$B$10,Paramètres!$A$1:$I$89,3,0)*VLOOKUP('Données projet'!$B$10,Paramètres!$A$1:$I$89,5,0)</f>
        <v>269.72400000000005</v>
      </c>
      <c r="AK132" s="14">
        <f t="shared" si="89"/>
        <v>64.790691635967406</v>
      </c>
      <c r="AL132" s="22">
        <f t="shared" ref="AL132:AL153" si="112">(AJ132+AK132)*0.475*44/12</f>
        <v>582.61308793264323</v>
      </c>
      <c r="AM132" s="62">
        <f t="shared" ref="AM132:AM195" si="113">AL132+(AD132+AE132)*44/12</f>
        <v>875.9464212659766</v>
      </c>
      <c r="AN132" s="62">
        <f ca="1">AVERAGE(OFFSET($AM$3,0,0,'Données projet'!$E$10+1,1))-AVERAGE(OFFSET($H$3,0,0,'Données projet'!$E$10+1,1))</f>
        <v>403.82490501309815</v>
      </c>
      <c r="AO132" s="62">
        <f t="shared" si="90"/>
        <v>256.4377087753457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0.19435777983934632</v>
      </c>
      <c r="AW132" s="23">
        <f>EXP(-LN(2)/2)*AW131+(1-EXP(-LN(2)/2))/(LN(2)/2)*AQ132*AT132*VLOOKUP('Données projet'!$B$10,Paramètres!$A$1:$I$89,3,0)*0.475*44/12</f>
        <v>1.7665453768438505E-14</v>
      </c>
      <c r="AX132" s="23">
        <f t="shared" ref="AX132:AX153" si="114">SUM(AU132:AW132)</f>
        <v>0.19435777983936398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266</v>
      </c>
      <c r="BE132" s="14">
        <f>BD132*VLOOKUP('Données projet'!$B$11,Paramètres!$A$1:$I$89,3,0)*VLOOKUP('Données projet'!$B$11,Paramètres!$A$1:$I$89,5,0)</f>
        <v>257.27519999999998</v>
      </c>
      <c r="BF132" s="14">
        <f t="shared" si="91"/>
        <v>62.141205057159596</v>
      </c>
      <c r="BG132" s="22">
        <f t="shared" ref="BG132:BG153" si="115">(BE132+BF132)*0.475*44/12</f>
        <v>556.31690547455287</v>
      </c>
      <c r="BH132" s="62">
        <f t="shared" ref="BH132:BH195" si="116">BG132+(AY132+AZ132)*44/12</f>
        <v>849.65023880788613</v>
      </c>
      <c r="BI132" s="62">
        <f ca="1">AVERAGE(OFFSET($BH$3,0,0,'Données projet'!$E$11+1,1))-AVERAGE(OFFSET($H$3,0,0,'Données projet'!$E$11+1,1))</f>
        <v>387.04070351732537</v>
      </c>
      <c r="BJ132" s="62">
        <f t="shared" si="92"/>
        <v>246.54010105494137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0.18538742076983794</v>
      </c>
      <c r="BR132" s="23">
        <f>EXP(-LN(2)/2)*BR131+(1-EXP(-LN(2)/2))/(LN(2)/2)*BL132*BO132*VLOOKUP('Données projet'!$B$11,Paramètres!$A$1:$I$89,3,0)*0.475*44/12</f>
        <v>1.6850125132972119E-14</v>
      </c>
      <c r="BS132" s="24">
        <f t="shared" ref="BS132:BS153" si="117">SUM(BP132:BR132)</f>
        <v>0.18538742076985479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2.8421709430404007E-14</v>
      </c>
      <c r="BZ132" s="14">
        <f>BY132*VLOOKUP('Données projet'!$B$12,Paramètres!$A$1:$I$89,3,0)*VLOOKUP('Données projet'!$B$12,Paramètres!$A$1:$I$89,5,0)</f>
        <v>2.4829205358400945E-14</v>
      </c>
      <c r="CA132" s="14">
        <f t="shared" si="93"/>
        <v>4.3867331143352915E-13</v>
      </c>
      <c r="CB132" s="22">
        <f t="shared" ref="CB132:CB153" si="118">(BZ132+CA132)*0.475*44/12</f>
        <v>8.0726688341261168E-13</v>
      </c>
      <c r="CC132" s="62">
        <f t="shared" ref="CC132:CC195" si="119">CB132+(BT132+BU132)*44/12</f>
        <v>293.33333333333411</v>
      </c>
      <c r="CD132" s="62">
        <f ca="1">AVERAGE(OFFSET($CC$3,0,0,'Données projet'!$E$12+1,1))-AVERAGE(OFFSET($H$3,0,0,'Données projet'!$E$12+1,1))</f>
        <v>327.62212115491479</v>
      </c>
      <c r="CE132" s="62">
        <f t="shared" si="94"/>
        <v>348.84706693879735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1.5792368941085322</v>
      </c>
      <c r="CM132" s="23">
        <f>EXP(-LN(2)/2)*CM131+(1-EXP(-LN(2)/2))/(LN(2)/2)*CG132*CJ132*VLOOKUP('Données projet'!$B$12,Paramètres!$A$1:$I$89,3,0)*0.475*44/12</f>
        <v>1.0687697375106137E-13</v>
      </c>
      <c r="CN132" s="24">
        <f t="shared" ref="CN132:CN153" si="120">SUM(CK132:CM132)</f>
        <v>1.579236894108639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4.1677594708744434E-14</v>
      </c>
      <c r="CV132" s="14">
        <f t="shared" si="95"/>
        <v>6.9326303456159188E-13</v>
      </c>
      <c r="CW132" s="22">
        <f t="shared" ref="CW132:CW153" si="121">(CU132+CV132)*0.475*44/12</f>
        <v>1.2800215959791691E-12</v>
      </c>
      <c r="CX132" s="62">
        <f t="shared" ref="CX132:CX195" si="122">CW132+(CO132+CP132)*44/12</f>
        <v>293.33333333333462</v>
      </c>
      <c r="CY132" s="62">
        <f ca="1">AVERAGE(OFFSET($CX$3,0,0,'Données projet'!$E$13+1,1))-AVERAGE(OFFSET($H$3,0,0,'Données projet'!$E$13+1,1))</f>
        <v>277.97613250285963</v>
      </c>
      <c r="CZ132" s="62">
        <f t="shared" si="96"/>
        <v>274.55710362891892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1.1288429710559538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1.1288429710559538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266</v>
      </c>
      <c r="O133" s="14">
        <f>N133*VLOOKUP('Données projet'!$B$9,Paramètres!$A$1:$I$89,3,0)*VLOOKUP('Données projet'!$B$9,Paramètres!$A$1:$I$89,5,0)</f>
        <v>240.67680000000001</v>
      </c>
      <c r="P133" s="14">
        <f t="shared" ref="P133:P196" si="141">EXP(-1.0587+0.8836*LN(O133)+0.284)</f>
        <v>58.585123425001029</v>
      </c>
      <c r="Q133" s="22">
        <f t="shared" si="108"/>
        <v>521.21451663187679</v>
      </c>
      <c r="R133" s="62">
        <f t="shared" si="109"/>
        <v>814.54784996521016</v>
      </c>
      <c r="S133" s="62">
        <f ca="1">AVERAGE(OFFSET($R$3,0,0,'Données projet'!$E$9+1,1))-AVERAGE(OFFSET($H$3,0,0,'Données projet'!$E$9+1,1))</f>
        <v>364.63511534965755</v>
      </c>
      <c r="T133" s="62">
        <f t="shared" ref="T133:T196" si="142">$T$3</f>
        <v>233.32640143610541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0.16868457316109006</v>
      </c>
      <c r="AB133" s="23">
        <f>EXP(-LN(2)/2)*AB132+(1-EXP(-LN(2)/2))/(LN(2)/2)*V133*Y133*VLOOKUP('Données projet'!$B$9,Paramètres!$A$1:$I$89,3,0)*0.475*44/12</f>
        <v>1.1146138535987975E-14</v>
      </c>
      <c r="AC133" s="24">
        <f t="shared" si="111"/>
        <v>0.16868457316110122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266</v>
      </c>
      <c r="AJ133" s="14">
        <f>AI133*VLOOKUP('Données projet'!$B$10,Paramètres!$A$1:$I$89,3,0)*VLOOKUP('Données projet'!$B$10,Paramètres!$A$1:$I$89,5,0)</f>
        <v>269.72400000000005</v>
      </c>
      <c r="AK133" s="14">
        <f t="shared" ref="AK133:AK153" si="143">EXP(-1.0587+0.8836*LN(AJ133)+0.284)</f>
        <v>64.790691635967406</v>
      </c>
      <c r="AL133" s="22">
        <f t="shared" si="112"/>
        <v>582.61308793264323</v>
      </c>
      <c r="AM133" s="62">
        <f t="shared" si="113"/>
        <v>875.9464212659766</v>
      </c>
      <c r="AN133" s="62">
        <f ca="1">AVERAGE(OFFSET($AM$3,0,0,'Données projet'!$E$10+1,1))-AVERAGE(OFFSET($H$3,0,0,'Données projet'!$E$10+1,1))</f>
        <v>403.82490501309815</v>
      </c>
      <c r="AO133" s="62">
        <f t="shared" ref="AO133:AO196" si="144">$AO$3</f>
        <v>256.4377087753457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0.18904305612880798</v>
      </c>
      <c r="AW133" s="23">
        <f>EXP(-LN(2)/2)*AW132+(1-EXP(-LN(2)/2))/(LN(2)/2)*AQ133*AT133*VLOOKUP('Données projet'!$B$10,Paramètres!$A$1:$I$89,3,0)*0.475*44/12</f>
        <v>1.2491362152400317E-14</v>
      </c>
      <c r="AX133" s="23">
        <f t="shared" si="114"/>
        <v>0.18904305612882047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266</v>
      </c>
      <c r="BE133" s="14">
        <f>BD133*VLOOKUP('Données projet'!$B$11,Paramètres!$A$1:$I$89,3,0)*VLOOKUP('Données projet'!$B$11,Paramètres!$A$1:$I$89,5,0)</f>
        <v>257.27519999999998</v>
      </c>
      <c r="BF133" s="14">
        <f t="shared" ref="BF133:BF153" si="145">EXP(-1.0587+0.8836*LN(BE133)+0.284)</f>
        <v>62.141205057159596</v>
      </c>
      <c r="BG133" s="22">
        <f t="shared" si="115"/>
        <v>556.31690547455287</v>
      </c>
      <c r="BH133" s="62">
        <f t="shared" si="116"/>
        <v>849.65023880788613</v>
      </c>
      <c r="BI133" s="62">
        <f ca="1">AVERAGE(OFFSET($BH$3,0,0,'Données projet'!$E$11+1,1))-AVERAGE(OFFSET($H$3,0,0,'Données projet'!$E$11+1,1))</f>
        <v>387.04070351732537</v>
      </c>
      <c r="BJ133" s="62">
        <f t="shared" ref="BJ133:BJ196" si="146">$BJ$3</f>
        <v>246.54010105494137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0.18031799199978596</v>
      </c>
      <c r="BR133" s="23">
        <f>EXP(-LN(2)/2)*BR132+(1-EXP(-LN(2)/2))/(LN(2)/2)*BL133*BO133*VLOOKUP('Données projet'!$B$11,Paramètres!$A$1:$I$89,3,0)*0.475*44/12</f>
        <v>1.1914837745366461E-14</v>
      </c>
      <c r="BS133" s="24">
        <f t="shared" si="117"/>
        <v>0.18031799199979787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2.8421709430404007E-14</v>
      </c>
      <c r="BZ133" s="14">
        <f>BY133*VLOOKUP('Données projet'!$B$12,Paramètres!$A$1:$I$89,3,0)*VLOOKUP('Données projet'!$B$12,Paramètres!$A$1:$I$89,5,0)</f>
        <v>2.4829205358400945E-14</v>
      </c>
      <c r="CA133" s="14">
        <f t="shared" ref="CA133:CA153" si="147">EXP(-1.0587+0.8836*LN(BZ133)+0.284)</f>
        <v>4.3867331143352915E-13</v>
      </c>
      <c r="CB133" s="22">
        <f t="shared" si="118"/>
        <v>8.0726688341261168E-13</v>
      </c>
      <c r="CC133" s="62">
        <f t="shared" si="119"/>
        <v>293.33333333333411</v>
      </c>
      <c r="CD133" s="62">
        <f ca="1">AVERAGE(OFFSET($CC$3,0,0,'Données projet'!$E$12+1,1))-AVERAGE(OFFSET($H$3,0,0,'Données projet'!$E$12+1,1))</f>
        <v>327.62212115491479</v>
      </c>
      <c r="CE133" s="62">
        <f t="shared" ref="CE133:CE196" si="148">$CE$3</f>
        <v>348.84706693879735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1.5360525781906755</v>
      </c>
      <c r="CM133" s="23">
        <f>EXP(-LN(2)/2)*CM132+(1-EXP(-LN(2)/2))/(LN(2)/2)*CG133*CJ133*VLOOKUP('Données projet'!$B$12,Paramètres!$A$1:$I$89,3,0)*0.475*44/12</f>
        <v>7.5573432892072135E-14</v>
      </c>
      <c r="CN133" s="24">
        <f t="shared" si="120"/>
        <v>1.536052578190751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4.1677594708744434E-14</v>
      </c>
      <c r="CV133" s="14">
        <f t="shared" ref="CV133:CV153" si="149">EXP(-1.0587+0.8836*LN(CU133)+0.284)</f>
        <v>6.9326303456159188E-13</v>
      </c>
      <c r="CW133" s="22">
        <f t="shared" si="121"/>
        <v>1.2800215959791691E-12</v>
      </c>
      <c r="CX133" s="62">
        <f t="shared" si="122"/>
        <v>293.33333333333462</v>
      </c>
      <c r="CY133" s="62">
        <f ca="1">AVERAGE(OFFSET($CX$3,0,0,'Données projet'!$E$13+1,1))-AVERAGE(OFFSET($H$3,0,0,'Données projet'!$E$13+1,1))</f>
        <v>277.97613250285963</v>
      </c>
      <c r="CZ133" s="62">
        <f t="shared" ref="CZ133:CZ196" si="150">$CZ$3</f>
        <v>274.55710362891892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1.1067070489197726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1.1067070489197726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266</v>
      </c>
      <c r="O134" s="14">
        <f>N134*VLOOKUP('Données projet'!$B$9,Paramètres!$A$1:$I$89,3,0)*VLOOKUP('Données projet'!$B$9,Paramètres!$A$1:$I$89,5,0)</f>
        <v>240.67680000000001</v>
      </c>
      <c r="P134" s="14">
        <f t="shared" si="141"/>
        <v>58.585123425001029</v>
      </c>
      <c r="Q134" s="22">
        <f t="shared" si="108"/>
        <v>521.21451663187679</v>
      </c>
      <c r="R134" s="62">
        <f t="shared" si="109"/>
        <v>814.54784996521016</v>
      </c>
      <c r="S134" s="62">
        <f ca="1">AVERAGE(OFFSET($R$3,0,0,'Données projet'!$E$9+1,1))-AVERAGE(OFFSET($H$3,0,0,'Données projet'!$E$9+1,1))</f>
        <v>364.63511534965755</v>
      </c>
      <c r="T134" s="62">
        <f t="shared" si="142"/>
        <v>233.32640143610541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0.16407188463726388</v>
      </c>
      <c r="AB134" s="23">
        <f>EXP(-LN(2)/2)*AB133+(1-EXP(-LN(2)/2))/(LN(2)/2)*V134*Y134*VLOOKUP('Données projet'!$B$9,Paramètres!$A$1:$I$89,3,0)*0.475*44/12</f>
        <v>7.8815101428417938E-15</v>
      </c>
      <c r="AC134" s="24">
        <f t="shared" si="111"/>
        <v>0.16407188463727176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266</v>
      </c>
      <c r="AJ134" s="14">
        <f>AI134*VLOOKUP('Données projet'!$B$10,Paramètres!$A$1:$I$89,3,0)*VLOOKUP('Données projet'!$B$10,Paramètres!$A$1:$I$89,5,0)</f>
        <v>269.72400000000005</v>
      </c>
      <c r="AK134" s="14">
        <f t="shared" si="143"/>
        <v>64.790691635967406</v>
      </c>
      <c r="AL134" s="22">
        <f t="shared" si="112"/>
        <v>582.61308793264323</v>
      </c>
      <c r="AM134" s="62">
        <f t="shared" si="113"/>
        <v>875.9464212659766</v>
      </c>
      <c r="AN134" s="62">
        <f ca="1">AVERAGE(OFFSET($AM$3,0,0,'Données projet'!$E$10+1,1))-AVERAGE(OFFSET($H$3,0,0,'Données projet'!$E$10+1,1))</f>
        <v>403.82490501309815</v>
      </c>
      <c r="AO134" s="62">
        <f t="shared" si="144"/>
        <v>256.4377087753457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0.18387366381762346</v>
      </c>
      <c r="AW134" s="23">
        <f>EXP(-LN(2)/2)*AW133+(1-EXP(-LN(2)/2))/(LN(2)/2)*AQ134*AT134*VLOOKUP('Données projet'!$B$10,Paramètres!$A$1:$I$89,3,0)*0.475*44/12</f>
        <v>8.8327268842192526E-15</v>
      </c>
      <c r="AX134" s="23">
        <f t="shared" si="114"/>
        <v>0.18387366381763229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266</v>
      </c>
      <c r="BE134" s="14">
        <f>BD134*VLOOKUP('Données projet'!$B$11,Paramètres!$A$1:$I$89,3,0)*VLOOKUP('Données projet'!$B$11,Paramètres!$A$1:$I$89,5,0)</f>
        <v>257.27519999999998</v>
      </c>
      <c r="BF134" s="14">
        <f t="shared" si="145"/>
        <v>62.141205057159596</v>
      </c>
      <c r="BG134" s="22">
        <f t="shared" si="115"/>
        <v>556.31690547455287</v>
      </c>
      <c r="BH134" s="62">
        <f t="shared" si="116"/>
        <v>849.65023880788613</v>
      </c>
      <c r="BI134" s="62">
        <f ca="1">AVERAGE(OFFSET($BH$3,0,0,'Données projet'!$E$11+1,1))-AVERAGE(OFFSET($H$3,0,0,'Données projet'!$E$11+1,1))</f>
        <v>387.04070351732537</v>
      </c>
      <c r="BJ134" s="62">
        <f t="shared" si="146"/>
        <v>246.54010105494137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0.17538718702604073</v>
      </c>
      <c r="BR134" s="23">
        <f>EXP(-LN(2)/2)*BR133+(1-EXP(-LN(2)/2))/(LN(2)/2)*BL134*BO134*VLOOKUP('Données projet'!$B$11,Paramètres!$A$1:$I$89,3,0)*0.475*44/12</f>
        <v>8.4250625664860593E-15</v>
      </c>
      <c r="BS134" s="24">
        <f t="shared" si="117"/>
        <v>0.17538718702604916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2.8421709430404007E-14</v>
      </c>
      <c r="BZ134" s="14">
        <f>BY134*VLOOKUP('Données projet'!$B$12,Paramètres!$A$1:$I$89,3,0)*VLOOKUP('Données projet'!$B$12,Paramètres!$A$1:$I$89,5,0)</f>
        <v>2.4829205358400945E-14</v>
      </c>
      <c r="CA134" s="14">
        <f t="shared" si="147"/>
        <v>4.3867331143352915E-13</v>
      </c>
      <c r="CB134" s="22">
        <f t="shared" si="118"/>
        <v>8.0726688341261168E-13</v>
      </c>
      <c r="CC134" s="62">
        <f t="shared" si="119"/>
        <v>293.33333333333411</v>
      </c>
      <c r="CD134" s="62">
        <f ca="1">AVERAGE(OFFSET($CC$3,0,0,'Données projet'!$E$12+1,1))-AVERAGE(OFFSET($H$3,0,0,'Données projet'!$E$12+1,1))</f>
        <v>327.62212115491479</v>
      </c>
      <c r="CE134" s="62">
        <f t="shared" si="148"/>
        <v>348.84706693879735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1.494049139662557</v>
      </c>
      <c r="CM134" s="23">
        <f>EXP(-LN(2)/2)*CM133+(1-EXP(-LN(2)/2))/(LN(2)/2)*CG134*CJ134*VLOOKUP('Données projet'!$B$12,Paramètres!$A$1:$I$89,3,0)*0.475*44/12</f>
        <v>5.3438486875530685E-14</v>
      </c>
      <c r="CN134" s="24">
        <f t="shared" si="120"/>
        <v>1.4940491396626105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4.1677594708744434E-14</v>
      </c>
      <c r="CV134" s="14">
        <f t="shared" si="149"/>
        <v>6.9326303456159188E-13</v>
      </c>
      <c r="CW134" s="22">
        <f t="shared" si="121"/>
        <v>1.2800215959791691E-12</v>
      </c>
      <c r="CX134" s="62">
        <f t="shared" si="122"/>
        <v>293.33333333333462</v>
      </c>
      <c r="CY134" s="62">
        <f ca="1">AVERAGE(OFFSET($CX$3,0,0,'Données projet'!$E$13+1,1))-AVERAGE(OFFSET($H$3,0,0,'Données projet'!$E$13+1,1))</f>
        <v>277.97613250285963</v>
      </c>
      <c r="CZ134" s="62">
        <f t="shared" si="150"/>
        <v>274.55710362891892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1.0850051987151026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1.0850051987151026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266</v>
      </c>
      <c r="O135" s="14">
        <f>N135*VLOOKUP('Données projet'!$B$9,Paramètres!$A$1:$I$89,3,0)*VLOOKUP('Données projet'!$B$9,Paramètres!$A$1:$I$89,5,0)</f>
        <v>240.67680000000001</v>
      </c>
      <c r="P135" s="14">
        <f t="shared" si="141"/>
        <v>58.585123425001029</v>
      </c>
      <c r="Q135" s="22">
        <f t="shared" si="108"/>
        <v>521.21451663187679</v>
      </c>
      <c r="R135" s="62">
        <f t="shared" si="109"/>
        <v>814.54784996521016</v>
      </c>
      <c r="S135" s="62">
        <f ca="1">AVERAGE(OFFSET($R$3,0,0,'Données projet'!$E$9+1,1))-AVERAGE(OFFSET($H$3,0,0,'Données projet'!$E$9+1,1))</f>
        <v>364.63511534965755</v>
      </c>
      <c r="T135" s="62">
        <f t="shared" si="142"/>
        <v>233.32640143610541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0.15958533032369249</v>
      </c>
      <c r="AB135" s="23">
        <f>EXP(-LN(2)/2)*AB134+(1-EXP(-LN(2)/2))/(LN(2)/2)*V135*Y135*VLOOKUP('Données projet'!$B$9,Paramètres!$A$1:$I$89,3,0)*0.475*44/12</f>
        <v>5.5730692679939873E-15</v>
      </c>
      <c r="AC135" s="24">
        <f t="shared" si="111"/>
        <v>0.15958533032369807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266</v>
      </c>
      <c r="AJ135" s="14">
        <f>AI135*VLOOKUP('Données projet'!$B$10,Paramètres!$A$1:$I$89,3,0)*VLOOKUP('Données projet'!$B$10,Paramètres!$A$1:$I$89,5,0)</f>
        <v>269.72400000000005</v>
      </c>
      <c r="AK135" s="14">
        <f t="shared" si="143"/>
        <v>64.790691635967406</v>
      </c>
      <c r="AL135" s="22">
        <f t="shared" si="112"/>
        <v>582.61308793264323</v>
      </c>
      <c r="AM135" s="62">
        <f t="shared" si="113"/>
        <v>875.9464212659766</v>
      </c>
      <c r="AN135" s="62">
        <f ca="1">AVERAGE(OFFSET($AM$3,0,0,'Données projet'!$E$10+1,1))-AVERAGE(OFFSET($H$3,0,0,'Données projet'!$E$10+1,1))</f>
        <v>403.82490501309815</v>
      </c>
      <c r="AO135" s="62">
        <f t="shared" si="144"/>
        <v>256.4377087753457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0.17884562881103483</v>
      </c>
      <c r="AW135" s="23">
        <f>EXP(-LN(2)/2)*AW134+(1-EXP(-LN(2)/2))/(LN(2)/2)*AQ135*AT135*VLOOKUP('Données projet'!$B$10,Paramètres!$A$1:$I$89,3,0)*0.475*44/12</f>
        <v>6.2456810762001587E-15</v>
      </c>
      <c r="AX135" s="23">
        <f t="shared" si="114"/>
        <v>0.17884562881104107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266</v>
      </c>
      <c r="BE135" s="14">
        <f>BD135*VLOOKUP('Données projet'!$B$11,Paramètres!$A$1:$I$89,3,0)*VLOOKUP('Données projet'!$B$11,Paramètres!$A$1:$I$89,5,0)</f>
        <v>257.27519999999998</v>
      </c>
      <c r="BF135" s="14">
        <f t="shared" si="145"/>
        <v>62.141205057159596</v>
      </c>
      <c r="BG135" s="22">
        <f t="shared" si="115"/>
        <v>556.31690547455287</v>
      </c>
      <c r="BH135" s="62">
        <f t="shared" si="116"/>
        <v>849.65023880788613</v>
      </c>
      <c r="BI135" s="62">
        <f ca="1">AVERAGE(OFFSET($BH$3,0,0,'Données projet'!$E$11+1,1))-AVERAGE(OFFSET($H$3,0,0,'Données projet'!$E$11+1,1))</f>
        <v>387.04070351732537</v>
      </c>
      <c r="BJ135" s="62">
        <f t="shared" si="146"/>
        <v>246.54010105494137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0.17059121517360232</v>
      </c>
      <c r="BR135" s="23">
        <f>EXP(-LN(2)/2)*BR134+(1-EXP(-LN(2)/2))/(LN(2)/2)*BL135*BO135*VLOOKUP('Données projet'!$B$11,Paramètres!$A$1:$I$89,3,0)*0.475*44/12</f>
        <v>5.9574188726832306E-15</v>
      </c>
      <c r="BS135" s="24">
        <f t="shared" si="117"/>
        <v>0.17059121517360828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2.8421709430404007E-14</v>
      </c>
      <c r="BZ135" s="14">
        <f>BY135*VLOOKUP('Données projet'!$B$12,Paramètres!$A$1:$I$89,3,0)*VLOOKUP('Données projet'!$B$12,Paramètres!$A$1:$I$89,5,0)</f>
        <v>2.4829205358400945E-14</v>
      </c>
      <c r="CA135" s="14">
        <f t="shared" si="147"/>
        <v>4.3867331143352915E-13</v>
      </c>
      <c r="CB135" s="22">
        <f t="shared" si="118"/>
        <v>8.0726688341261168E-13</v>
      </c>
      <c r="CC135" s="62">
        <f t="shared" si="119"/>
        <v>293.33333333333411</v>
      </c>
      <c r="CD135" s="62">
        <f ca="1">AVERAGE(OFFSET($CC$3,0,0,'Données projet'!$E$12+1,1))-AVERAGE(OFFSET($H$3,0,0,'Données projet'!$E$12+1,1))</f>
        <v>327.62212115491479</v>
      </c>
      <c r="CE135" s="62">
        <f t="shared" si="148"/>
        <v>348.84706693879735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1.4531942873698549</v>
      </c>
      <c r="CM135" s="23">
        <f>EXP(-LN(2)/2)*CM134+(1-EXP(-LN(2)/2))/(LN(2)/2)*CG135*CJ135*VLOOKUP('Données projet'!$B$12,Paramètres!$A$1:$I$89,3,0)*0.475*44/12</f>
        <v>3.7786716446036067E-14</v>
      </c>
      <c r="CN135" s="24">
        <f t="shared" si="120"/>
        <v>1.4531942873698926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4.1677594708744434E-14</v>
      </c>
      <c r="CV135" s="14">
        <f t="shared" si="149"/>
        <v>6.9326303456159188E-13</v>
      </c>
      <c r="CW135" s="22">
        <f t="shared" si="121"/>
        <v>1.2800215959791691E-12</v>
      </c>
      <c r="CX135" s="62">
        <f t="shared" si="122"/>
        <v>293.33333333333462</v>
      </c>
      <c r="CY135" s="62">
        <f ca="1">AVERAGE(OFFSET($CX$3,0,0,'Données projet'!$E$13+1,1))-AVERAGE(OFFSET($H$3,0,0,'Données projet'!$E$13+1,1))</f>
        <v>277.97613250285963</v>
      </c>
      <c r="CZ135" s="62">
        <f t="shared" si="150"/>
        <v>274.55710362891892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1.0637289085561246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1.0637289085561246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266</v>
      </c>
      <c r="O136" s="14">
        <f>N136*VLOOKUP('Données projet'!$B$9,Paramètres!$A$1:$I$89,3,0)*VLOOKUP('Données projet'!$B$9,Paramètres!$A$1:$I$89,5,0)</f>
        <v>240.67680000000001</v>
      </c>
      <c r="P136" s="14">
        <f t="shared" si="141"/>
        <v>58.585123425001029</v>
      </c>
      <c r="Q136" s="22">
        <f t="shared" si="108"/>
        <v>521.21451663187679</v>
      </c>
      <c r="R136" s="62">
        <f t="shared" si="109"/>
        <v>814.54784996521016</v>
      </c>
      <c r="S136" s="62">
        <f ca="1">AVERAGE(OFFSET($R$3,0,0,'Données projet'!$E$9+1,1))-AVERAGE(OFFSET($H$3,0,0,'Données projet'!$E$9+1,1))</f>
        <v>364.63511534965755</v>
      </c>
      <c r="T136" s="62">
        <f t="shared" si="142"/>
        <v>233.32640143610541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0.15522146107376333</v>
      </c>
      <c r="AB136" s="23">
        <f>EXP(-LN(2)/2)*AB135+(1-EXP(-LN(2)/2))/(LN(2)/2)*V136*Y136*VLOOKUP('Données projet'!$B$9,Paramètres!$A$1:$I$89,3,0)*0.475*44/12</f>
        <v>3.9407550714208969E-15</v>
      </c>
      <c r="AC136" s="24">
        <f t="shared" si="111"/>
        <v>0.15522146107376728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266</v>
      </c>
      <c r="AJ136" s="14">
        <f>AI136*VLOOKUP('Données projet'!$B$10,Paramètres!$A$1:$I$89,3,0)*VLOOKUP('Données projet'!$B$10,Paramètres!$A$1:$I$89,5,0)</f>
        <v>269.72400000000005</v>
      </c>
      <c r="AK136" s="14">
        <f t="shared" si="143"/>
        <v>64.790691635967406</v>
      </c>
      <c r="AL136" s="22">
        <f t="shared" si="112"/>
        <v>582.61308793264323</v>
      </c>
      <c r="AM136" s="62">
        <f t="shared" si="113"/>
        <v>875.9464212659766</v>
      </c>
      <c r="AN136" s="62">
        <f ca="1">AVERAGE(OFFSET($AM$3,0,0,'Données projet'!$E$10+1,1))-AVERAGE(OFFSET($H$3,0,0,'Données projet'!$E$10+1,1))</f>
        <v>403.82490501309815</v>
      </c>
      <c r="AO136" s="62">
        <f t="shared" si="144"/>
        <v>256.4377087753457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0.17395508568611423</v>
      </c>
      <c r="AW136" s="23">
        <f>EXP(-LN(2)/2)*AW135+(1-EXP(-LN(2)/2))/(LN(2)/2)*AQ136*AT136*VLOOKUP('Données projet'!$B$10,Paramètres!$A$1:$I$89,3,0)*0.475*44/12</f>
        <v>4.4163634421096263E-15</v>
      </c>
      <c r="AX136" s="23">
        <f t="shared" si="114"/>
        <v>0.17395508568611864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266</v>
      </c>
      <c r="BE136" s="14">
        <f>BD136*VLOOKUP('Données projet'!$B$11,Paramètres!$A$1:$I$89,3,0)*VLOOKUP('Données projet'!$B$11,Paramètres!$A$1:$I$89,5,0)</f>
        <v>257.27519999999998</v>
      </c>
      <c r="BF136" s="14">
        <f t="shared" si="145"/>
        <v>62.141205057159596</v>
      </c>
      <c r="BG136" s="22">
        <f t="shared" si="115"/>
        <v>556.31690547455287</v>
      </c>
      <c r="BH136" s="62">
        <f t="shared" si="116"/>
        <v>849.65023880788613</v>
      </c>
      <c r="BI136" s="62">
        <f ca="1">AVERAGE(OFFSET($BH$3,0,0,'Données projet'!$E$11+1,1))-AVERAGE(OFFSET($H$3,0,0,'Données projet'!$E$11+1,1))</f>
        <v>387.04070351732537</v>
      </c>
      <c r="BJ136" s="62">
        <f t="shared" si="146"/>
        <v>246.54010105494137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0.16592638942367804</v>
      </c>
      <c r="BR136" s="23">
        <f>EXP(-LN(2)/2)*BR135+(1-EXP(-LN(2)/2))/(LN(2)/2)*BL136*BO136*VLOOKUP('Données projet'!$B$11,Paramètres!$A$1:$I$89,3,0)*0.475*44/12</f>
        <v>4.2125312832430297E-15</v>
      </c>
      <c r="BS136" s="24">
        <f t="shared" si="117"/>
        <v>0.16592638942368226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2.8421709430404007E-14</v>
      </c>
      <c r="BZ136" s="14">
        <f>BY136*VLOOKUP('Données projet'!$B$12,Paramètres!$A$1:$I$89,3,0)*VLOOKUP('Données projet'!$B$12,Paramètres!$A$1:$I$89,5,0)</f>
        <v>2.4829205358400945E-14</v>
      </c>
      <c r="CA136" s="14">
        <f t="shared" si="147"/>
        <v>4.3867331143352915E-13</v>
      </c>
      <c r="CB136" s="22">
        <f t="shared" si="118"/>
        <v>8.0726688341261168E-13</v>
      </c>
      <c r="CC136" s="62">
        <f t="shared" si="119"/>
        <v>293.33333333333411</v>
      </c>
      <c r="CD136" s="62">
        <f ca="1">AVERAGE(OFFSET($CC$3,0,0,'Données projet'!$E$12+1,1))-AVERAGE(OFFSET($H$3,0,0,'Données projet'!$E$12+1,1))</f>
        <v>327.62212115491479</v>
      </c>
      <c r="CE136" s="62">
        <f t="shared" si="148"/>
        <v>348.84706693879735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1.41345661316156</v>
      </c>
      <c r="CM136" s="23">
        <f>EXP(-LN(2)/2)*CM135+(1-EXP(-LN(2)/2))/(LN(2)/2)*CG136*CJ136*VLOOKUP('Données projet'!$B$12,Paramètres!$A$1:$I$89,3,0)*0.475*44/12</f>
        <v>2.6719243437765342E-14</v>
      </c>
      <c r="CN136" s="24">
        <f t="shared" si="120"/>
        <v>1.4134566131615867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4.1677594708744434E-14</v>
      </c>
      <c r="CV136" s="14">
        <f t="shared" si="149"/>
        <v>6.9326303456159188E-13</v>
      </c>
      <c r="CW136" s="22">
        <f t="shared" si="121"/>
        <v>1.2800215959791691E-12</v>
      </c>
      <c r="CX136" s="62">
        <f t="shared" si="122"/>
        <v>293.33333333333462</v>
      </c>
      <c r="CY136" s="62">
        <f ca="1">AVERAGE(OFFSET($CX$3,0,0,'Données projet'!$E$13+1,1))-AVERAGE(OFFSET($H$3,0,0,'Données projet'!$E$13+1,1))</f>
        <v>277.97613250285963</v>
      </c>
      <c r="CZ136" s="62">
        <f t="shared" si="150"/>
        <v>274.55710362891892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1.0428698334699085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1.0428698334699085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266</v>
      </c>
      <c r="O137" s="14">
        <f>N137*VLOOKUP('Données projet'!$B$9,Paramètres!$A$1:$I$89,3,0)*VLOOKUP('Données projet'!$B$9,Paramètres!$A$1:$I$89,5,0)</f>
        <v>240.67680000000001</v>
      </c>
      <c r="P137" s="14">
        <f t="shared" si="141"/>
        <v>58.585123425001029</v>
      </c>
      <c r="Q137" s="22">
        <f t="shared" si="108"/>
        <v>521.21451663187679</v>
      </c>
      <c r="R137" s="62">
        <f t="shared" si="109"/>
        <v>814.54784996521016</v>
      </c>
      <c r="S137" s="62">
        <f ca="1">AVERAGE(OFFSET($R$3,0,0,'Données projet'!$E$9+1,1))-AVERAGE(OFFSET($H$3,0,0,'Données projet'!$E$9+1,1))</f>
        <v>364.63511534965755</v>
      </c>
      <c r="T137" s="62">
        <f t="shared" si="142"/>
        <v>233.32640143610541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0.1509769220579594</v>
      </c>
      <c r="AB137" s="23">
        <f>EXP(-LN(2)/2)*AB136+(1-EXP(-LN(2)/2))/(LN(2)/2)*V137*Y137*VLOOKUP('Données projet'!$B$9,Paramètres!$A$1:$I$89,3,0)*0.475*44/12</f>
        <v>2.7865346339969936E-15</v>
      </c>
      <c r="AC137" s="24">
        <f t="shared" si="111"/>
        <v>0.15097692205796218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266</v>
      </c>
      <c r="AJ137" s="14">
        <f>AI137*VLOOKUP('Données projet'!$B$10,Paramètres!$A$1:$I$89,3,0)*VLOOKUP('Données projet'!$B$10,Paramètres!$A$1:$I$89,5,0)</f>
        <v>269.72400000000005</v>
      </c>
      <c r="AK137" s="14">
        <f t="shared" si="143"/>
        <v>64.790691635967406</v>
      </c>
      <c r="AL137" s="22">
        <f t="shared" si="112"/>
        <v>582.61308793264323</v>
      </c>
      <c r="AM137" s="62">
        <f t="shared" si="113"/>
        <v>875.9464212659766</v>
      </c>
      <c r="AN137" s="62">
        <f ca="1">AVERAGE(OFFSET($AM$3,0,0,'Données projet'!$E$10+1,1))-AVERAGE(OFFSET($H$3,0,0,'Données projet'!$E$10+1,1))</f>
        <v>403.82490501309815</v>
      </c>
      <c r="AO137" s="62">
        <f t="shared" si="144"/>
        <v>256.4377087753457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0.16919827472012705</v>
      </c>
      <c r="AW137" s="23">
        <f>EXP(-LN(2)/2)*AW136+(1-EXP(-LN(2)/2))/(LN(2)/2)*AQ137*AT137*VLOOKUP('Données projet'!$B$10,Paramètres!$A$1:$I$89,3,0)*0.475*44/12</f>
        <v>3.1228405381000794E-15</v>
      </c>
      <c r="AX137" s="23">
        <f t="shared" si="114"/>
        <v>0.16919827472013019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266</v>
      </c>
      <c r="BE137" s="14">
        <f>BD137*VLOOKUP('Données projet'!$B$11,Paramètres!$A$1:$I$89,3,0)*VLOOKUP('Données projet'!$B$11,Paramètres!$A$1:$I$89,5,0)</f>
        <v>257.27519999999998</v>
      </c>
      <c r="BF137" s="14">
        <f t="shared" si="145"/>
        <v>62.141205057159596</v>
      </c>
      <c r="BG137" s="22">
        <f t="shared" si="115"/>
        <v>556.31690547455287</v>
      </c>
      <c r="BH137" s="62">
        <f t="shared" si="116"/>
        <v>849.65023880788613</v>
      </c>
      <c r="BI137" s="62">
        <f ca="1">AVERAGE(OFFSET($BH$3,0,0,'Données projet'!$E$11+1,1))-AVERAGE(OFFSET($H$3,0,0,'Données projet'!$E$11+1,1))</f>
        <v>387.04070351732537</v>
      </c>
      <c r="BJ137" s="62">
        <f t="shared" si="146"/>
        <v>246.54010105494137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0.16138912357919799</v>
      </c>
      <c r="BR137" s="23">
        <f>EXP(-LN(2)/2)*BR136+(1-EXP(-LN(2)/2))/(LN(2)/2)*BL137*BO137*VLOOKUP('Données projet'!$B$11,Paramètres!$A$1:$I$89,3,0)*0.475*44/12</f>
        <v>2.9787094363416153E-15</v>
      </c>
      <c r="BS137" s="24">
        <f t="shared" si="117"/>
        <v>0.16138912357920096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2.8421709430404007E-14</v>
      </c>
      <c r="BZ137" s="14">
        <f>BY137*VLOOKUP('Données projet'!$B$12,Paramètres!$A$1:$I$89,3,0)*VLOOKUP('Données projet'!$B$12,Paramètres!$A$1:$I$89,5,0)</f>
        <v>2.4829205358400945E-14</v>
      </c>
      <c r="CA137" s="14">
        <f t="shared" si="147"/>
        <v>4.3867331143352915E-13</v>
      </c>
      <c r="CB137" s="22">
        <f t="shared" si="118"/>
        <v>8.0726688341261168E-13</v>
      </c>
      <c r="CC137" s="62">
        <f t="shared" si="119"/>
        <v>293.33333333333411</v>
      </c>
      <c r="CD137" s="62">
        <f ca="1">AVERAGE(OFFSET($CC$3,0,0,'Données projet'!$E$12+1,1))-AVERAGE(OFFSET($H$3,0,0,'Données projet'!$E$12+1,1))</f>
        <v>327.62212115491479</v>
      </c>
      <c r="CE137" s="62">
        <f t="shared" si="148"/>
        <v>348.84706693879735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1.3748055677442044</v>
      </c>
      <c r="CM137" s="23">
        <f>EXP(-LN(2)/2)*CM136+(1-EXP(-LN(2)/2))/(LN(2)/2)*CG137*CJ137*VLOOKUP('Données projet'!$B$12,Paramètres!$A$1:$I$89,3,0)*0.475*44/12</f>
        <v>1.8893358223018034E-14</v>
      </c>
      <c r="CN137" s="24">
        <f t="shared" si="120"/>
        <v>1.3748055677442232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4.1677594708744434E-14</v>
      </c>
      <c r="CV137" s="14">
        <f t="shared" si="149"/>
        <v>6.9326303456159188E-13</v>
      </c>
      <c r="CW137" s="22">
        <f t="shared" si="121"/>
        <v>1.2800215959791691E-12</v>
      </c>
      <c r="CX137" s="62">
        <f t="shared" si="122"/>
        <v>293.33333333333462</v>
      </c>
      <c r="CY137" s="62">
        <f ca="1">AVERAGE(OFFSET($CX$3,0,0,'Données projet'!$E$13+1,1))-AVERAGE(OFFSET($H$3,0,0,'Données projet'!$E$13+1,1))</f>
        <v>277.97613250285963</v>
      </c>
      <c r="CZ137" s="62">
        <f t="shared" si="150"/>
        <v>274.55710362891892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1.0224197921233535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1.0224197921233535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266</v>
      </c>
      <c r="O138" s="14">
        <f>N138*VLOOKUP('Données projet'!$B$9,Paramètres!$A$1:$I$89,3,0)*VLOOKUP('Données projet'!$B$9,Paramètres!$A$1:$I$89,5,0)</f>
        <v>240.67680000000001</v>
      </c>
      <c r="P138" s="14">
        <f t="shared" si="141"/>
        <v>58.585123425001029</v>
      </c>
      <c r="Q138" s="22">
        <f t="shared" si="108"/>
        <v>521.21451663187679</v>
      </c>
      <c r="R138" s="62">
        <f t="shared" si="109"/>
        <v>814.54784996521016</v>
      </c>
      <c r="S138" s="62">
        <f ca="1">AVERAGE(OFFSET($R$3,0,0,'Données projet'!$E$9+1,1))-AVERAGE(OFFSET($H$3,0,0,'Données projet'!$E$9+1,1))</f>
        <v>364.63511534965755</v>
      </c>
      <c r="T138" s="62">
        <f t="shared" si="142"/>
        <v>233.32640143610541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0.14684845018475323</v>
      </c>
      <c r="AB138" s="23">
        <f>EXP(-LN(2)/2)*AB137+(1-EXP(-LN(2)/2))/(LN(2)/2)*V138*Y138*VLOOKUP('Données projet'!$B$9,Paramètres!$A$1:$I$89,3,0)*0.475*44/12</f>
        <v>1.9703775357104485E-15</v>
      </c>
      <c r="AC138" s="24">
        <f t="shared" si="111"/>
        <v>0.1468484501847552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266</v>
      </c>
      <c r="AJ138" s="14">
        <f>AI138*VLOOKUP('Données projet'!$B$10,Paramètres!$A$1:$I$89,3,0)*VLOOKUP('Données projet'!$B$10,Paramètres!$A$1:$I$89,5,0)</f>
        <v>269.72400000000005</v>
      </c>
      <c r="AK138" s="14">
        <f t="shared" si="143"/>
        <v>64.790691635967406</v>
      </c>
      <c r="AL138" s="22">
        <f t="shared" si="112"/>
        <v>582.61308793264323</v>
      </c>
      <c r="AM138" s="62">
        <f t="shared" si="113"/>
        <v>875.9464212659766</v>
      </c>
      <c r="AN138" s="62">
        <f ca="1">AVERAGE(OFFSET($AM$3,0,0,'Données projet'!$E$10+1,1))-AVERAGE(OFFSET($H$3,0,0,'Données projet'!$E$10+1,1))</f>
        <v>403.82490501309815</v>
      </c>
      <c r="AO138" s="62">
        <f t="shared" si="144"/>
        <v>256.4377087753457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0.16457153900015462</v>
      </c>
      <c r="AW138" s="23">
        <f>EXP(-LN(2)/2)*AW137+(1-EXP(-LN(2)/2))/(LN(2)/2)*AQ138*AT138*VLOOKUP('Données projet'!$B$10,Paramètres!$A$1:$I$89,3,0)*0.475*44/12</f>
        <v>2.2081817210548131E-15</v>
      </c>
      <c r="AX138" s="23">
        <f t="shared" si="114"/>
        <v>0.16457153900015684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266</v>
      </c>
      <c r="BE138" s="14">
        <f>BD138*VLOOKUP('Données projet'!$B$11,Paramètres!$A$1:$I$89,3,0)*VLOOKUP('Données projet'!$B$11,Paramètres!$A$1:$I$89,5,0)</f>
        <v>257.27519999999998</v>
      </c>
      <c r="BF138" s="14">
        <f t="shared" si="145"/>
        <v>62.141205057159596</v>
      </c>
      <c r="BG138" s="22">
        <f t="shared" si="115"/>
        <v>556.31690547455287</v>
      </c>
      <c r="BH138" s="62">
        <f t="shared" si="116"/>
        <v>849.65023880788613</v>
      </c>
      <c r="BI138" s="62">
        <f ca="1">AVERAGE(OFFSET($BH$3,0,0,'Données projet'!$E$11+1,1))-AVERAGE(OFFSET($H$3,0,0,'Données projet'!$E$11+1,1))</f>
        <v>387.04070351732537</v>
      </c>
      <c r="BJ138" s="62">
        <f t="shared" si="146"/>
        <v>246.54010105494137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0.15697592950783967</v>
      </c>
      <c r="BR138" s="23">
        <f>EXP(-LN(2)/2)*BR137+(1-EXP(-LN(2)/2))/(LN(2)/2)*BL138*BO138*VLOOKUP('Données projet'!$B$11,Paramètres!$A$1:$I$89,3,0)*0.475*44/12</f>
        <v>2.1062656416215148E-15</v>
      </c>
      <c r="BS138" s="24">
        <f t="shared" si="117"/>
        <v>0.15697592950784178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2.8421709430404007E-14</v>
      </c>
      <c r="BZ138" s="14">
        <f>BY138*VLOOKUP('Données projet'!$B$12,Paramètres!$A$1:$I$89,3,0)*VLOOKUP('Données projet'!$B$12,Paramètres!$A$1:$I$89,5,0)</f>
        <v>2.4829205358400945E-14</v>
      </c>
      <c r="CA138" s="14">
        <f t="shared" si="147"/>
        <v>4.3867331143352915E-13</v>
      </c>
      <c r="CB138" s="22">
        <f t="shared" si="118"/>
        <v>8.0726688341261168E-13</v>
      </c>
      <c r="CC138" s="62">
        <f t="shared" si="119"/>
        <v>293.33333333333411</v>
      </c>
      <c r="CD138" s="62">
        <f ca="1">AVERAGE(OFFSET($CC$3,0,0,'Données projet'!$E$12+1,1))-AVERAGE(OFFSET($H$3,0,0,'Données projet'!$E$12+1,1))</f>
        <v>327.62212115491479</v>
      </c>
      <c r="CE138" s="62">
        <f t="shared" si="148"/>
        <v>348.84706693879735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1.3372114371963564</v>
      </c>
      <c r="CM138" s="23">
        <f>EXP(-LN(2)/2)*CM137+(1-EXP(-LN(2)/2))/(LN(2)/2)*CG138*CJ138*VLOOKUP('Données projet'!$B$12,Paramètres!$A$1:$I$89,3,0)*0.475*44/12</f>
        <v>1.3359621718882671E-14</v>
      </c>
      <c r="CN138" s="24">
        <f t="shared" si="120"/>
        <v>1.3372114371963697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4.1677594708744434E-14</v>
      </c>
      <c r="CV138" s="14">
        <f t="shared" si="149"/>
        <v>6.9326303456159188E-13</v>
      </c>
      <c r="CW138" s="22">
        <f t="shared" si="121"/>
        <v>1.2800215959791691E-12</v>
      </c>
      <c r="CX138" s="62">
        <f t="shared" si="122"/>
        <v>293.33333333333462</v>
      </c>
      <c r="CY138" s="62">
        <f ca="1">AVERAGE(OFFSET($CX$3,0,0,'Données projet'!$E$13+1,1))-AVERAGE(OFFSET($H$3,0,0,'Données projet'!$E$13+1,1))</f>
        <v>277.97613250285963</v>
      </c>
      <c r="CZ138" s="62">
        <f t="shared" si="150"/>
        <v>274.55710362891892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1.0023707636143109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1.0023707636143109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266</v>
      </c>
      <c r="O139" s="14">
        <f>N139*VLOOKUP('Données projet'!$B$9,Paramètres!$A$1:$I$89,3,0)*VLOOKUP('Données projet'!$B$9,Paramètres!$A$1:$I$89,5,0)</f>
        <v>240.67680000000001</v>
      </c>
      <c r="P139" s="14">
        <f t="shared" si="141"/>
        <v>58.585123425001029</v>
      </c>
      <c r="Q139" s="22">
        <f t="shared" si="108"/>
        <v>521.21451663187679</v>
      </c>
      <c r="R139" s="62">
        <f t="shared" si="109"/>
        <v>814.54784996521016</v>
      </c>
      <c r="S139" s="62">
        <f ca="1">AVERAGE(OFFSET($R$3,0,0,'Données projet'!$E$9+1,1))-AVERAGE(OFFSET($H$3,0,0,'Données projet'!$E$9+1,1))</f>
        <v>364.63511534965755</v>
      </c>
      <c r="T139" s="62">
        <f t="shared" si="142"/>
        <v>233.32640143610541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0.14283287159202679</v>
      </c>
      <c r="AB139" s="23">
        <f>EXP(-LN(2)/2)*AB138+(1-EXP(-LN(2)/2))/(LN(2)/2)*V139*Y139*VLOOKUP('Données projet'!$B$9,Paramètres!$A$1:$I$89,3,0)*0.475*44/12</f>
        <v>1.3932673169984968E-15</v>
      </c>
      <c r="AC139" s="24">
        <f t="shared" si="111"/>
        <v>0.14283287159202818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266</v>
      </c>
      <c r="AJ139" s="14">
        <f>AI139*VLOOKUP('Données projet'!$B$10,Paramètres!$A$1:$I$89,3,0)*VLOOKUP('Données projet'!$B$10,Paramètres!$A$1:$I$89,5,0)</f>
        <v>269.72400000000005</v>
      </c>
      <c r="AK139" s="14">
        <f t="shared" si="143"/>
        <v>64.790691635967406</v>
      </c>
      <c r="AL139" s="22">
        <f t="shared" si="112"/>
        <v>582.61308793264323</v>
      </c>
      <c r="AM139" s="62">
        <f t="shared" si="113"/>
        <v>875.9464212659766</v>
      </c>
      <c r="AN139" s="62">
        <f ca="1">AVERAGE(OFFSET($AM$3,0,0,'Données projet'!$E$10+1,1))-AVERAGE(OFFSET($H$3,0,0,'Données projet'!$E$10+1,1))</f>
        <v>403.82490501309815</v>
      </c>
      <c r="AO139" s="62">
        <f t="shared" si="144"/>
        <v>256.4377087753457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0.16007132161175427</v>
      </c>
      <c r="AW139" s="23">
        <f>EXP(-LN(2)/2)*AW138+(1-EXP(-LN(2)/2))/(LN(2)/2)*AQ139*AT139*VLOOKUP('Données projet'!$B$10,Paramètres!$A$1:$I$89,3,0)*0.475*44/12</f>
        <v>1.5614202690500397E-15</v>
      </c>
      <c r="AX139" s="23">
        <f t="shared" si="114"/>
        <v>0.16007132161175583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266</v>
      </c>
      <c r="BE139" s="14">
        <f>BD139*VLOOKUP('Données projet'!$B$11,Paramètres!$A$1:$I$89,3,0)*VLOOKUP('Données projet'!$B$11,Paramètres!$A$1:$I$89,5,0)</f>
        <v>257.27519999999998</v>
      </c>
      <c r="BF139" s="14">
        <f t="shared" si="145"/>
        <v>62.141205057159596</v>
      </c>
      <c r="BG139" s="22">
        <f t="shared" si="115"/>
        <v>556.31690547455287</v>
      </c>
      <c r="BH139" s="62">
        <f t="shared" si="116"/>
        <v>849.65023880788613</v>
      </c>
      <c r="BI139" s="62">
        <f ca="1">AVERAGE(OFFSET($BH$3,0,0,'Données projet'!$E$11+1,1))-AVERAGE(OFFSET($H$3,0,0,'Données projet'!$E$11+1,1))</f>
        <v>387.04070351732537</v>
      </c>
      <c r="BJ139" s="62">
        <f t="shared" si="146"/>
        <v>246.54010105494137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0.15268341446044245</v>
      </c>
      <c r="BR139" s="23">
        <f>EXP(-LN(2)/2)*BR138+(1-EXP(-LN(2)/2))/(LN(2)/2)*BL139*BO139*VLOOKUP('Données projet'!$B$11,Paramètres!$A$1:$I$89,3,0)*0.475*44/12</f>
        <v>1.4893547181708076E-15</v>
      </c>
      <c r="BS139" s="24">
        <f t="shared" si="117"/>
        <v>0.15268341446044395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2.8421709430404007E-14</v>
      </c>
      <c r="BZ139" s="14">
        <f>BY139*VLOOKUP('Données projet'!$B$12,Paramètres!$A$1:$I$89,3,0)*VLOOKUP('Données projet'!$B$12,Paramètres!$A$1:$I$89,5,0)</f>
        <v>2.4829205358400945E-14</v>
      </c>
      <c r="CA139" s="14">
        <f t="shared" si="147"/>
        <v>4.3867331143352915E-13</v>
      </c>
      <c r="CB139" s="22">
        <f t="shared" si="118"/>
        <v>8.0726688341261168E-13</v>
      </c>
      <c r="CC139" s="62">
        <f t="shared" si="119"/>
        <v>293.33333333333411</v>
      </c>
      <c r="CD139" s="62">
        <f ca="1">AVERAGE(OFFSET($CC$3,0,0,'Données projet'!$E$12+1,1))-AVERAGE(OFFSET($H$3,0,0,'Données projet'!$E$12+1,1))</f>
        <v>327.62212115491479</v>
      </c>
      <c r="CE139" s="62">
        <f t="shared" si="148"/>
        <v>348.84706693879735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1.3006453201253287</v>
      </c>
      <c r="CM139" s="23">
        <f>EXP(-LN(2)/2)*CM138+(1-EXP(-LN(2)/2))/(LN(2)/2)*CG139*CJ139*VLOOKUP('Données projet'!$B$12,Paramètres!$A$1:$I$89,3,0)*0.475*44/12</f>
        <v>9.4466791115090168E-15</v>
      </c>
      <c r="CN139" s="24">
        <f t="shared" si="120"/>
        <v>1.3006453201253383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4.1677594708744434E-14</v>
      </c>
      <c r="CV139" s="14">
        <f t="shared" si="149"/>
        <v>6.9326303456159188E-13</v>
      </c>
      <c r="CW139" s="22">
        <f t="shared" si="121"/>
        <v>1.2800215959791691E-12</v>
      </c>
      <c r="CX139" s="62">
        <f t="shared" si="122"/>
        <v>293.33333333333462</v>
      </c>
      <c r="CY139" s="62">
        <f ca="1">AVERAGE(OFFSET($CX$3,0,0,'Données projet'!$E$13+1,1))-AVERAGE(OFFSET($H$3,0,0,'Données projet'!$E$13+1,1))</f>
        <v>277.97613250285963</v>
      </c>
      <c r="CZ139" s="62">
        <f t="shared" si="150"/>
        <v>274.55710362891892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0.9827148843256307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0.9827148843256307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266</v>
      </c>
      <c r="O140" s="14">
        <f>N140*VLOOKUP('Données projet'!$B$9,Paramètres!$A$1:$I$89,3,0)*VLOOKUP('Données projet'!$B$9,Paramètres!$A$1:$I$89,5,0)</f>
        <v>240.67680000000001</v>
      </c>
      <c r="P140" s="14">
        <f t="shared" si="141"/>
        <v>58.585123425001029</v>
      </c>
      <c r="Q140" s="22">
        <f t="shared" si="108"/>
        <v>521.21451663187679</v>
      </c>
      <c r="R140" s="62">
        <f t="shared" si="109"/>
        <v>814.54784996521016</v>
      </c>
      <c r="S140" s="62">
        <f ca="1">AVERAGE(OFFSET($R$3,0,0,'Données projet'!$E$9+1,1))-AVERAGE(OFFSET($H$3,0,0,'Données projet'!$E$9+1,1))</f>
        <v>364.63511534965755</v>
      </c>
      <c r="T140" s="62">
        <f t="shared" si="142"/>
        <v>233.32640143610541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0.13892709920708854</v>
      </c>
      <c r="AB140" s="23">
        <f>EXP(-LN(2)/2)*AB139+(1-EXP(-LN(2)/2))/(LN(2)/2)*V140*Y140*VLOOKUP('Données projet'!$B$9,Paramètres!$A$1:$I$89,3,0)*0.475*44/12</f>
        <v>9.8518876785522423E-16</v>
      </c>
      <c r="AC140" s="24">
        <f t="shared" si="111"/>
        <v>0.13892709920708951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266</v>
      </c>
      <c r="AJ140" s="14">
        <f>AI140*VLOOKUP('Données projet'!$B$10,Paramètres!$A$1:$I$89,3,0)*VLOOKUP('Données projet'!$B$10,Paramètres!$A$1:$I$89,5,0)</f>
        <v>269.72400000000005</v>
      </c>
      <c r="AK140" s="14">
        <f t="shared" si="143"/>
        <v>64.790691635967406</v>
      </c>
      <c r="AL140" s="22">
        <f t="shared" si="112"/>
        <v>582.61308793264323</v>
      </c>
      <c r="AM140" s="62">
        <f t="shared" si="113"/>
        <v>875.9464212659766</v>
      </c>
      <c r="AN140" s="62">
        <f ca="1">AVERAGE(OFFSET($AM$3,0,0,'Données projet'!$E$10+1,1))-AVERAGE(OFFSET($H$3,0,0,'Données projet'!$E$10+1,1))</f>
        <v>403.82490501309815</v>
      </c>
      <c r="AO140" s="62">
        <f t="shared" si="144"/>
        <v>256.4377087753457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0.15569416290449589</v>
      </c>
      <c r="AW140" s="23">
        <f>EXP(-LN(2)/2)*AW139+(1-EXP(-LN(2)/2))/(LN(2)/2)*AQ140*AT140*VLOOKUP('Données projet'!$B$10,Paramètres!$A$1:$I$89,3,0)*0.475*44/12</f>
        <v>1.1040908605274066E-15</v>
      </c>
      <c r="AX140" s="23">
        <f t="shared" si="114"/>
        <v>0.155694162904497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266</v>
      </c>
      <c r="BE140" s="14">
        <f>BD140*VLOOKUP('Données projet'!$B$11,Paramètres!$A$1:$I$89,3,0)*VLOOKUP('Données projet'!$B$11,Paramètres!$A$1:$I$89,5,0)</f>
        <v>257.27519999999998</v>
      </c>
      <c r="BF140" s="14">
        <f t="shared" si="145"/>
        <v>62.141205057159596</v>
      </c>
      <c r="BG140" s="22">
        <f t="shared" si="115"/>
        <v>556.31690547455287</v>
      </c>
      <c r="BH140" s="62">
        <f t="shared" si="116"/>
        <v>849.65023880788613</v>
      </c>
      <c r="BI140" s="62">
        <f ca="1">AVERAGE(OFFSET($BH$3,0,0,'Données projet'!$E$11+1,1))-AVERAGE(OFFSET($H$3,0,0,'Données projet'!$E$11+1,1))</f>
        <v>387.04070351732537</v>
      </c>
      <c r="BJ140" s="62">
        <f t="shared" si="146"/>
        <v>246.54010105494137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0.14850827846274986</v>
      </c>
      <c r="BR140" s="23">
        <f>EXP(-LN(2)/2)*BR139+(1-EXP(-LN(2)/2))/(LN(2)/2)*BL140*BO140*VLOOKUP('Données projet'!$B$11,Paramètres!$A$1:$I$89,3,0)*0.475*44/12</f>
        <v>1.0531328208107574E-15</v>
      </c>
      <c r="BS140" s="24">
        <f t="shared" si="117"/>
        <v>0.14850827846275091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2.8421709430404007E-14</v>
      </c>
      <c r="BZ140" s="14">
        <f>BY140*VLOOKUP('Données projet'!$B$12,Paramètres!$A$1:$I$89,3,0)*VLOOKUP('Données projet'!$B$12,Paramètres!$A$1:$I$89,5,0)</f>
        <v>2.4829205358400945E-14</v>
      </c>
      <c r="CA140" s="14">
        <f t="shared" si="147"/>
        <v>4.3867331143352915E-13</v>
      </c>
      <c r="CB140" s="22">
        <f t="shared" si="118"/>
        <v>8.0726688341261168E-13</v>
      </c>
      <c r="CC140" s="62">
        <f t="shared" si="119"/>
        <v>293.33333333333411</v>
      </c>
      <c r="CD140" s="62">
        <f ca="1">AVERAGE(OFFSET($CC$3,0,0,'Données projet'!$E$12+1,1))-AVERAGE(OFFSET($H$3,0,0,'Données projet'!$E$12+1,1))</f>
        <v>327.62212115491479</v>
      </c>
      <c r="CE140" s="62">
        <f t="shared" si="148"/>
        <v>348.84706693879735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1.2650791054485369</v>
      </c>
      <c r="CM140" s="23">
        <f>EXP(-LN(2)/2)*CM139+(1-EXP(-LN(2)/2))/(LN(2)/2)*CG140*CJ140*VLOOKUP('Données projet'!$B$12,Paramètres!$A$1:$I$89,3,0)*0.475*44/12</f>
        <v>6.6798108594413356E-15</v>
      </c>
      <c r="CN140" s="24">
        <f t="shared" si="120"/>
        <v>1.2650791054485435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4.1677594708744434E-14</v>
      </c>
      <c r="CV140" s="14">
        <f t="shared" si="149"/>
        <v>6.9326303456159188E-13</v>
      </c>
      <c r="CW140" s="22">
        <f t="shared" si="121"/>
        <v>1.2800215959791691E-12</v>
      </c>
      <c r="CX140" s="62">
        <f t="shared" si="122"/>
        <v>293.33333333333462</v>
      </c>
      <c r="CY140" s="62">
        <f ca="1">AVERAGE(OFFSET($CX$3,0,0,'Données projet'!$E$13+1,1))-AVERAGE(OFFSET($H$3,0,0,'Données projet'!$E$13+1,1))</f>
        <v>277.97613250285963</v>
      </c>
      <c r="CZ140" s="62">
        <f t="shared" si="150"/>
        <v>274.55710362891892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0.96344444484089897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0.96344444484089897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266</v>
      </c>
      <c r="O141" s="14">
        <f>N141*VLOOKUP('Données projet'!$B$9,Paramètres!$A$1:$I$89,3,0)*VLOOKUP('Données projet'!$B$9,Paramètres!$A$1:$I$89,5,0)</f>
        <v>240.67680000000001</v>
      </c>
      <c r="P141" s="14">
        <f t="shared" si="141"/>
        <v>58.585123425001029</v>
      </c>
      <c r="Q141" s="22">
        <f t="shared" si="108"/>
        <v>521.21451663187679</v>
      </c>
      <c r="R141" s="62">
        <f t="shared" si="109"/>
        <v>814.54784996521016</v>
      </c>
      <c r="S141" s="62">
        <f ca="1">AVERAGE(OFFSET($R$3,0,0,'Données projet'!$E$9+1,1))-AVERAGE(OFFSET($H$3,0,0,'Données projet'!$E$9+1,1))</f>
        <v>364.63511534965755</v>
      </c>
      <c r="T141" s="62">
        <f t="shared" si="142"/>
        <v>233.32640143610541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0.13512813037341206</v>
      </c>
      <c r="AB141" s="23">
        <f>EXP(-LN(2)/2)*AB140+(1-EXP(-LN(2)/2))/(LN(2)/2)*V141*Y141*VLOOKUP('Données projet'!$B$9,Paramètres!$A$1:$I$89,3,0)*0.475*44/12</f>
        <v>6.9663365849924841E-16</v>
      </c>
      <c r="AC141" s="24">
        <f t="shared" si="111"/>
        <v>0.13512813037341276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266</v>
      </c>
      <c r="AJ141" s="14">
        <f>AI141*VLOOKUP('Données projet'!$B$10,Paramètres!$A$1:$I$89,3,0)*VLOOKUP('Données projet'!$B$10,Paramètres!$A$1:$I$89,5,0)</f>
        <v>269.72400000000005</v>
      </c>
      <c r="AK141" s="14">
        <f t="shared" si="143"/>
        <v>64.790691635967406</v>
      </c>
      <c r="AL141" s="22">
        <f t="shared" si="112"/>
        <v>582.61308793264323</v>
      </c>
      <c r="AM141" s="62">
        <f t="shared" si="113"/>
        <v>875.9464212659766</v>
      </c>
      <c r="AN141" s="62">
        <f ca="1">AVERAGE(OFFSET($AM$3,0,0,'Données projet'!$E$10+1,1))-AVERAGE(OFFSET($H$3,0,0,'Données projet'!$E$10+1,1))</f>
        <v>403.82490501309815</v>
      </c>
      <c r="AO141" s="62">
        <f t="shared" si="144"/>
        <v>256.4377087753457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0.15143669783227226</v>
      </c>
      <c r="AW141" s="23">
        <f>EXP(-LN(2)/2)*AW140+(1-EXP(-LN(2)/2))/(LN(2)/2)*AQ141*AT141*VLOOKUP('Données projet'!$B$10,Paramètres!$A$1:$I$89,3,0)*0.475*44/12</f>
        <v>7.8071013452501984E-16</v>
      </c>
      <c r="AX141" s="23">
        <f t="shared" si="114"/>
        <v>0.15143669783227304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266</v>
      </c>
      <c r="BE141" s="14">
        <f>BD141*VLOOKUP('Données projet'!$B$11,Paramètres!$A$1:$I$89,3,0)*VLOOKUP('Données projet'!$B$11,Paramètres!$A$1:$I$89,5,0)</f>
        <v>257.27519999999998</v>
      </c>
      <c r="BF141" s="14">
        <f t="shared" si="145"/>
        <v>62.141205057159596</v>
      </c>
      <c r="BG141" s="22">
        <f t="shared" si="115"/>
        <v>556.31690547455287</v>
      </c>
      <c r="BH141" s="62">
        <f t="shared" si="116"/>
        <v>849.65023880788613</v>
      </c>
      <c r="BI141" s="62">
        <f ca="1">AVERAGE(OFFSET($BH$3,0,0,'Données projet'!$E$11+1,1))-AVERAGE(OFFSET($H$3,0,0,'Données projet'!$E$11+1,1))</f>
        <v>387.04070351732537</v>
      </c>
      <c r="BJ141" s="62">
        <f t="shared" si="146"/>
        <v>246.54010105494137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0.14444731177847503</v>
      </c>
      <c r="BR141" s="23">
        <f>EXP(-LN(2)/2)*BR140+(1-EXP(-LN(2)/2))/(LN(2)/2)*BL141*BO141*VLOOKUP('Données projet'!$B$11,Paramètres!$A$1:$I$89,3,0)*0.475*44/12</f>
        <v>7.4467735908540382E-16</v>
      </c>
      <c r="BS141" s="24">
        <f t="shared" si="117"/>
        <v>0.14444731177847578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2.8421709430404007E-14</v>
      </c>
      <c r="BZ141" s="14">
        <f>BY141*VLOOKUP('Données projet'!$B$12,Paramètres!$A$1:$I$89,3,0)*VLOOKUP('Données projet'!$B$12,Paramètres!$A$1:$I$89,5,0)</f>
        <v>2.4829205358400945E-14</v>
      </c>
      <c r="CA141" s="14">
        <f t="shared" si="147"/>
        <v>4.3867331143352915E-13</v>
      </c>
      <c r="CB141" s="22">
        <f t="shared" si="118"/>
        <v>8.0726688341261168E-13</v>
      </c>
      <c r="CC141" s="62">
        <f t="shared" si="119"/>
        <v>293.33333333333411</v>
      </c>
      <c r="CD141" s="62">
        <f ca="1">AVERAGE(OFFSET($CC$3,0,0,'Données projet'!$E$12+1,1))-AVERAGE(OFFSET($H$3,0,0,'Données projet'!$E$12+1,1))</f>
        <v>327.62212115491479</v>
      </c>
      <c r="CE141" s="62">
        <f t="shared" si="148"/>
        <v>348.84706693879735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1.2304854507824279</v>
      </c>
      <c r="CM141" s="23">
        <f>EXP(-LN(2)/2)*CM140+(1-EXP(-LN(2)/2))/(LN(2)/2)*CG141*CJ141*VLOOKUP('Données projet'!$B$12,Paramètres!$A$1:$I$89,3,0)*0.475*44/12</f>
        <v>4.7233395557545084E-15</v>
      </c>
      <c r="CN141" s="24">
        <f t="shared" si="120"/>
        <v>1.2304854507824325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4.1677594708744434E-14</v>
      </c>
      <c r="CV141" s="14">
        <f t="shared" si="149"/>
        <v>6.9326303456159188E-13</v>
      </c>
      <c r="CW141" s="22">
        <f t="shared" si="121"/>
        <v>1.2800215959791691E-12</v>
      </c>
      <c r="CX141" s="62">
        <f t="shared" si="122"/>
        <v>293.33333333333462</v>
      </c>
      <c r="CY141" s="62">
        <f ca="1">AVERAGE(OFFSET($CX$3,0,0,'Données projet'!$E$13+1,1))-AVERAGE(OFFSET($H$3,0,0,'Données projet'!$E$13+1,1))</f>
        <v>277.97613250285963</v>
      </c>
      <c r="CZ141" s="62">
        <f t="shared" si="150"/>
        <v>274.55710362891892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0.94455188692065539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0.94455188692065539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266</v>
      </c>
      <c r="O142" s="14">
        <f>N142*VLOOKUP('Données projet'!$B$9,Paramètres!$A$1:$I$89,3,0)*VLOOKUP('Données projet'!$B$9,Paramètres!$A$1:$I$89,5,0)</f>
        <v>240.67680000000001</v>
      </c>
      <c r="P142" s="14">
        <f t="shared" si="141"/>
        <v>58.585123425001029</v>
      </c>
      <c r="Q142" s="22">
        <f t="shared" si="108"/>
        <v>521.21451663187679</v>
      </c>
      <c r="R142" s="62">
        <f t="shared" si="109"/>
        <v>814.54784996521016</v>
      </c>
      <c r="S142" s="62">
        <f ca="1">AVERAGE(OFFSET($R$3,0,0,'Données projet'!$E$9+1,1))-AVERAGE(OFFSET($H$3,0,0,'Données projet'!$E$9+1,1))</f>
        <v>364.63511534965755</v>
      </c>
      <c r="T142" s="62">
        <f t="shared" si="142"/>
        <v>233.32640143610541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0.13143304454227159</v>
      </c>
      <c r="AB142" s="23">
        <f>EXP(-LN(2)/2)*AB141+(1-EXP(-LN(2)/2))/(LN(2)/2)*V142*Y142*VLOOKUP('Données projet'!$B$9,Paramètres!$A$1:$I$89,3,0)*0.475*44/12</f>
        <v>4.9259438392761211E-16</v>
      </c>
      <c r="AC142" s="24">
        <f t="shared" si="111"/>
        <v>0.13143304454227209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266</v>
      </c>
      <c r="AJ142" s="14">
        <f>AI142*VLOOKUP('Données projet'!$B$10,Paramètres!$A$1:$I$89,3,0)*VLOOKUP('Données projet'!$B$10,Paramètres!$A$1:$I$89,5,0)</f>
        <v>269.72400000000005</v>
      </c>
      <c r="AK142" s="14">
        <f t="shared" si="143"/>
        <v>64.790691635967406</v>
      </c>
      <c r="AL142" s="22">
        <f t="shared" si="112"/>
        <v>582.61308793264323</v>
      </c>
      <c r="AM142" s="62">
        <f t="shared" si="113"/>
        <v>875.9464212659766</v>
      </c>
      <c r="AN142" s="62">
        <f ca="1">AVERAGE(OFFSET($AM$3,0,0,'Données projet'!$E$10+1,1))-AVERAGE(OFFSET($H$3,0,0,'Données projet'!$E$10+1,1))</f>
        <v>403.82490501309815</v>
      </c>
      <c r="AO142" s="62">
        <f t="shared" si="144"/>
        <v>256.4377087753457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0.14729565336633896</v>
      </c>
      <c r="AW142" s="23">
        <f>EXP(-LN(2)/2)*AW141+(1-EXP(-LN(2)/2))/(LN(2)/2)*AQ142*AT142*VLOOKUP('Données projet'!$B$10,Paramètres!$A$1:$I$89,3,0)*0.475*44/12</f>
        <v>5.5204543026370328E-16</v>
      </c>
      <c r="AX142" s="23">
        <f t="shared" si="114"/>
        <v>0.14729565336633951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266</v>
      </c>
      <c r="BE142" s="14">
        <f>BD142*VLOOKUP('Données projet'!$B$11,Paramètres!$A$1:$I$89,3,0)*VLOOKUP('Données projet'!$B$11,Paramètres!$A$1:$I$89,5,0)</f>
        <v>257.27519999999998</v>
      </c>
      <c r="BF142" s="14">
        <f t="shared" si="145"/>
        <v>62.141205057159596</v>
      </c>
      <c r="BG142" s="22">
        <f t="shared" si="115"/>
        <v>556.31690547455287</v>
      </c>
      <c r="BH142" s="62">
        <f t="shared" si="116"/>
        <v>849.65023880788613</v>
      </c>
      <c r="BI142" s="62">
        <f ca="1">AVERAGE(OFFSET($BH$3,0,0,'Données projet'!$E$11+1,1))-AVERAGE(OFFSET($H$3,0,0,'Données projet'!$E$11+1,1))</f>
        <v>387.04070351732537</v>
      </c>
      <c r="BJ142" s="62">
        <f t="shared" si="146"/>
        <v>246.54010105494137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0.14049739244173864</v>
      </c>
      <c r="BR142" s="23">
        <f>EXP(-LN(2)/2)*BR141+(1-EXP(-LN(2)/2))/(LN(2)/2)*BL142*BO142*VLOOKUP('Données projet'!$B$11,Paramètres!$A$1:$I$89,3,0)*0.475*44/12</f>
        <v>5.2656641040537871E-16</v>
      </c>
      <c r="BS142" s="24">
        <f t="shared" si="117"/>
        <v>0.14049739244173917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2.8421709430404007E-14</v>
      </c>
      <c r="BZ142" s="14">
        <f>BY142*VLOOKUP('Données projet'!$B$12,Paramètres!$A$1:$I$89,3,0)*VLOOKUP('Données projet'!$B$12,Paramètres!$A$1:$I$89,5,0)</f>
        <v>2.4829205358400945E-14</v>
      </c>
      <c r="CA142" s="14">
        <f t="shared" si="147"/>
        <v>4.3867331143352915E-13</v>
      </c>
      <c r="CB142" s="22">
        <f t="shared" si="118"/>
        <v>8.0726688341261168E-13</v>
      </c>
      <c r="CC142" s="62">
        <f t="shared" si="119"/>
        <v>293.33333333333411</v>
      </c>
      <c r="CD142" s="62">
        <f ca="1">AVERAGE(OFFSET($CC$3,0,0,'Données projet'!$E$12+1,1))-AVERAGE(OFFSET($H$3,0,0,'Données projet'!$E$12+1,1))</f>
        <v>327.62212115491479</v>
      </c>
      <c r="CE142" s="62">
        <f t="shared" si="148"/>
        <v>348.84706693879735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1.1968377614223649</v>
      </c>
      <c r="CM142" s="23">
        <f>EXP(-LN(2)/2)*CM141+(1-EXP(-LN(2)/2))/(LN(2)/2)*CG142*CJ142*VLOOKUP('Données projet'!$B$12,Paramètres!$A$1:$I$89,3,0)*0.475*44/12</f>
        <v>3.3399054297206678E-15</v>
      </c>
      <c r="CN142" s="24">
        <f t="shared" si="120"/>
        <v>1.1968377614223682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4.1677594708744434E-14</v>
      </c>
      <c r="CV142" s="14">
        <f t="shared" si="149"/>
        <v>6.9326303456159188E-13</v>
      </c>
      <c r="CW142" s="22">
        <f t="shared" si="121"/>
        <v>1.2800215959791691E-12</v>
      </c>
      <c r="CX142" s="62">
        <f t="shared" si="122"/>
        <v>293.33333333333462</v>
      </c>
      <c r="CY142" s="62">
        <f ca="1">AVERAGE(OFFSET($CX$3,0,0,'Données projet'!$E$13+1,1))-AVERAGE(OFFSET($H$3,0,0,'Données projet'!$E$13+1,1))</f>
        <v>277.97613250285963</v>
      </c>
      <c r="CZ142" s="62">
        <f t="shared" si="150"/>
        <v>274.55710362891892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0.92602980053790529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0.92602980053790529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266</v>
      </c>
      <c r="O143" s="14">
        <f>N143*VLOOKUP('Données projet'!$B$9,Paramètres!$A$1:$I$89,3,0)*VLOOKUP('Données projet'!$B$9,Paramètres!$A$1:$I$89,5,0)</f>
        <v>240.67680000000001</v>
      </c>
      <c r="P143" s="14">
        <f t="shared" si="141"/>
        <v>58.585123425001029</v>
      </c>
      <c r="Q143" s="22">
        <f t="shared" si="108"/>
        <v>521.21451663187679</v>
      </c>
      <c r="R143" s="62">
        <f t="shared" si="109"/>
        <v>814.54784996521016</v>
      </c>
      <c r="S143" s="62">
        <f ca="1">AVERAGE(OFFSET($R$3,0,0,'Données projet'!$E$9+1,1))-AVERAGE(OFFSET($H$3,0,0,'Données projet'!$E$9+1,1))</f>
        <v>364.63511534965755</v>
      </c>
      <c r="T143" s="62">
        <f t="shared" si="142"/>
        <v>233.32640143610541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0.12783900102749976</v>
      </c>
      <c r="AB143" s="23">
        <f>EXP(-LN(2)/2)*AB142+(1-EXP(-LN(2)/2))/(LN(2)/2)*V143*Y143*VLOOKUP('Données projet'!$B$9,Paramètres!$A$1:$I$89,3,0)*0.475*44/12</f>
        <v>3.483168292496242E-16</v>
      </c>
      <c r="AC143" s="24">
        <f t="shared" si="111"/>
        <v>0.12783900102750012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266</v>
      </c>
      <c r="AJ143" s="14">
        <f>AI143*VLOOKUP('Données projet'!$B$10,Paramètres!$A$1:$I$89,3,0)*VLOOKUP('Données projet'!$B$10,Paramètres!$A$1:$I$89,5,0)</f>
        <v>269.72400000000005</v>
      </c>
      <c r="AK143" s="14">
        <f t="shared" si="143"/>
        <v>64.790691635967406</v>
      </c>
      <c r="AL143" s="22">
        <f t="shared" si="112"/>
        <v>582.61308793264323</v>
      </c>
      <c r="AM143" s="62">
        <f t="shared" si="113"/>
        <v>875.9464212659766</v>
      </c>
      <c r="AN143" s="62">
        <f ca="1">AVERAGE(OFFSET($AM$3,0,0,'Données projet'!$E$10+1,1))-AVERAGE(OFFSET($H$3,0,0,'Données projet'!$E$10+1,1))</f>
        <v>403.82490501309815</v>
      </c>
      <c r="AO143" s="62">
        <f t="shared" si="144"/>
        <v>256.4377087753457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0.14326784597909464</v>
      </c>
      <c r="AW143" s="23">
        <f>EXP(-LN(2)/2)*AW142+(1-EXP(-LN(2)/2))/(LN(2)/2)*AQ143*AT143*VLOOKUP('Données projet'!$B$10,Paramètres!$A$1:$I$89,3,0)*0.475*44/12</f>
        <v>3.9035506726250992E-16</v>
      </c>
      <c r="AX143" s="23">
        <f t="shared" si="114"/>
        <v>0.14326784597909503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266</v>
      </c>
      <c r="BE143" s="14">
        <f>BD143*VLOOKUP('Données projet'!$B$11,Paramètres!$A$1:$I$89,3,0)*VLOOKUP('Données projet'!$B$11,Paramètres!$A$1:$I$89,5,0)</f>
        <v>257.27519999999998</v>
      </c>
      <c r="BF143" s="14">
        <f t="shared" si="145"/>
        <v>62.141205057159596</v>
      </c>
      <c r="BG143" s="22">
        <f t="shared" si="115"/>
        <v>556.31690547455287</v>
      </c>
      <c r="BH143" s="62">
        <f t="shared" si="116"/>
        <v>849.65023880788613</v>
      </c>
      <c r="BI143" s="62">
        <f ca="1">AVERAGE(OFFSET($BH$3,0,0,'Données projet'!$E$11+1,1))-AVERAGE(OFFSET($H$3,0,0,'Données projet'!$E$11+1,1))</f>
        <v>387.04070351732537</v>
      </c>
      <c r="BJ143" s="62">
        <f t="shared" si="146"/>
        <v>246.54010105494137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0.13665548385698253</v>
      </c>
      <c r="BR143" s="23">
        <f>EXP(-LN(2)/2)*BR142+(1-EXP(-LN(2)/2))/(LN(2)/2)*BL143*BO143*VLOOKUP('Données projet'!$B$11,Paramètres!$A$1:$I$89,3,0)*0.475*44/12</f>
        <v>3.7233867954270191E-16</v>
      </c>
      <c r="BS143" s="24">
        <f t="shared" si="117"/>
        <v>0.1366554838569829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2.8421709430404007E-14</v>
      </c>
      <c r="BZ143" s="14">
        <f>BY143*VLOOKUP('Données projet'!$B$12,Paramètres!$A$1:$I$89,3,0)*VLOOKUP('Données projet'!$B$12,Paramètres!$A$1:$I$89,5,0)</f>
        <v>2.4829205358400945E-14</v>
      </c>
      <c r="CA143" s="14">
        <f t="shared" si="147"/>
        <v>4.3867331143352915E-13</v>
      </c>
      <c r="CB143" s="22">
        <f t="shared" si="118"/>
        <v>8.0726688341261168E-13</v>
      </c>
      <c r="CC143" s="62">
        <f t="shared" si="119"/>
        <v>293.33333333333411</v>
      </c>
      <c r="CD143" s="62">
        <f ca="1">AVERAGE(OFFSET($CC$3,0,0,'Données projet'!$E$12+1,1))-AVERAGE(OFFSET($H$3,0,0,'Données projet'!$E$12+1,1))</f>
        <v>327.62212115491479</v>
      </c>
      <c r="CE143" s="62">
        <f t="shared" si="148"/>
        <v>348.84706693879735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1.1641101698973078</v>
      </c>
      <c r="CM143" s="23">
        <f>EXP(-LN(2)/2)*CM142+(1-EXP(-LN(2)/2))/(LN(2)/2)*CG143*CJ143*VLOOKUP('Données projet'!$B$12,Paramètres!$A$1:$I$89,3,0)*0.475*44/12</f>
        <v>2.3616697778772542E-15</v>
      </c>
      <c r="CN143" s="24">
        <f t="shared" si="120"/>
        <v>1.1641101698973102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4.1677594708744434E-14</v>
      </c>
      <c r="CV143" s="14">
        <f t="shared" si="149"/>
        <v>6.9326303456159188E-13</v>
      </c>
      <c r="CW143" s="22">
        <f t="shared" si="121"/>
        <v>1.2800215959791691E-12</v>
      </c>
      <c r="CX143" s="62">
        <f t="shared" si="122"/>
        <v>293.33333333333462</v>
      </c>
      <c r="CY143" s="62">
        <f ca="1">AVERAGE(OFFSET($CX$3,0,0,'Données projet'!$E$13+1,1))-AVERAGE(OFFSET($H$3,0,0,'Données projet'!$E$13+1,1))</f>
        <v>277.97613250285963</v>
      </c>
      <c r="CZ143" s="62">
        <f t="shared" si="150"/>
        <v>274.55710362891892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0.9078709209717637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0.9078709209717637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266</v>
      </c>
      <c r="O144" s="14">
        <f>N144*VLOOKUP('Données projet'!$B$9,Paramètres!$A$1:$I$89,3,0)*VLOOKUP('Données projet'!$B$9,Paramètres!$A$1:$I$89,5,0)</f>
        <v>240.67680000000001</v>
      </c>
      <c r="P144" s="14">
        <f t="shared" si="141"/>
        <v>58.585123425001029</v>
      </c>
      <c r="Q144" s="22">
        <f t="shared" si="108"/>
        <v>521.21451663187679</v>
      </c>
      <c r="R144" s="62">
        <f t="shared" si="109"/>
        <v>814.54784996521016</v>
      </c>
      <c r="S144" s="62">
        <f ca="1">AVERAGE(OFFSET($R$3,0,0,'Données projet'!$E$9+1,1))-AVERAGE(OFFSET($H$3,0,0,'Données projet'!$E$9+1,1))</f>
        <v>364.63511534965755</v>
      </c>
      <c r="T144" s="62">
        <f t="shared" si="142"/>
        <v>233.32640143610541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0.12434323682164189</v>
      </c>
      <c r="AB144" s="23">
        <f>EXP(-LN(2)/2)*AB143+(1-EXP(-LN(2)/2))/(LN(2)/2)*V144*Y144*VLOOKUP('Données projet'!$B$9,Paramètres!$A$1:$I$89,3,0)*0.475*44/12</f>
        <v>2.4629719196380606E-16</v>
      </c>
      <c r="AC144" s="24">
        <f t="shared" si="111"/>
        <v>0.12434323682164214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266</v>
      </c>
      <c r="AJ144" s="14">
        <f>AI144*VLOOKUP('Données projet'!$B$10,Paramètres!$A$1:$I$89,3,0)*VLOOKUP('Données projet'!$B$10,Paramètres!$A$1:$I$89,5,0)</f>
        <v>269.72400000000005</v>
      </c>
      <c r="AK144" s="14">
        <f t="shared" si="143"/>
        <v>64.790691635967406</v>
      </c>
      <c r="AL144" s="22">
        <f t="shared" si="112"/>
        <v>582.61308793264323</v>
      </c>
      <c r="AM144" s="62">
        <f t="shared" si="113"/>
        <v>875.9464212659766</v>
      </c>
      <c r="AN144" s="62">
        <f ca="1">AVERAGE(OFFSET($AM$3,0,0,'Données projet'!$E$10+1,1))-AVERAGE(OFFSET($H$3,0,0,'Données projet'!$E$10+1,1))</f>
        <v>403.82490501309815</v>
      </c>
      <c r="AO144" s="62">
        <f t="shared" si="144"/>
        <v>256.4377087753457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0.13935017919666773</v>
      </c>
      <c r="AW144" s="23">
        <f>EXP(-LN(2)/2)*AW143+(1-EXP(-LN(2)/2))/(LN(2)/2)*AQ144*AT144*VLOOKUP('Données projet'!$B$10,Paramètres!$A$1:$I$89,3,0)*0.475*44/12</f>
        <v>2.7602271513185164E-16</v>
      </c>
      <c r="AX144" s="23">
        <f t="shared" si="114"/>
        <v>0.13935017919666801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266</v>
      </c>
      <c r="BE144" s="14">
        <f>BD144*VLOOKUP('Données projet'!$B$11,Paramètres!$A$1:$I$89,3,0)*VLOOKUP('Données projet'!$B$11,Paramètres!$A$1:$I$89,5,0)</f>
        <v>257.27519999999998</v>
      </c>
      <c r="BF144" s="14">
        <f t="shared" si="145"/>
        <v>62.141205057159596</v>
      </c>
      <c r="BG144" s="22">
        <f t="shared" si="115"/>
        <v>556.31690547455287</v>
      </c>
      <c r="BH144" s="62">
        <f t="shared" si="116"/>
        <v>849.65023880788613</v>
      </c>
      <c r="BI144" s="62">
        <f ca="1">AVERAGE(OFFSET($BH$3,0,0,'Données projet'!$E$11+1,1))-AVERAGE(OFFSET($H$3,0,0,'Données projet'!$E$11+1,1))</f>
        <v>387.04070351732537</v>
      </c>
      <c r="BJ144" s="62">
        <f t="shared" si="146"/>
        <v>246.54010105494137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0.13291863246451377</v>
      </c>
      <c r="BR144" s="23">
        <f>EXP(-LN(2)/2)*BR143+(1-EXP(-LN(2)/2))/(LN(2)/2)*BL144*BO144*VLOOKUP('Données projet'!$B$11,Paramètres!$A$1:$I$89,3,0)*0.475*44/12</f>
        <v>2.6328320520268935E-16</v>
      </c>
      <c r="BS144" s="24">
        <f t="shared" si="117"/>
        <v>0.13291863246451402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2.8421709430404007E-14</v>
      </c>
      <c r="BZ144" s="14">
        <f>BY144*VLOOKUP('Données projet'!$B$12,Paramètres!$A$1:$I$89,3,0)*VLOOKUP('Données projet'!$B$12,Paramètres!$A$1:$I$89,5,0)</f>
        <v>2.4829205358400945E-14</v>
      </c>
      <c r="CA144" s="14">
        <f t="shared" si="147"/>
        <v>4.3867331143352915E-13</v>
      </c>
      <c r="CB144" s="22">
        <f t="shared" si="118"/>
        <v>8.0726688341261168E-13</v>
      </c>
      <c r="CC144" s="62">
        <f t="shared" si="119"/>
        <v>293.33333333333411</v>
      </c>
      <c r="CD144" s="62">
        <f ca="1">AVERAGE(OFFSET($CC$3,0,0,'Données projet'!$E$12+1,1))-AVERAGE(OFFSET($H$3,0,0,'Données projet'!$E$12+1,1))</f>
        <v>327.62212115491479</v>
      </c>
      <c r="CE144" s="62">
        <f t="shared" si="148"/>
        <v>348.84706693879735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1.1322775160835727</v>
      </c>
      <c r="CM144" s="23">
        <f>EXP(-LN(2)/2)*CM143+(1-EXP(-LN(2)/2))/(LN(2)/2)*CG144*CJ144*VLOOKUP('Données projet'!$B$12,Paramètres!$A$1:$I$89,3,0)*0.475*44/12</f>
        <v>1.6699527148603339E-15</v>
      </c>
      <c r="CN144" s="24">
        <f t="shared" si="120"/>
        <v>1.1322775160835745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4.1677594708744434E-14</v>
      </c>
      <c r="CV144" s="14">
        <f t="shared" si="149"/>
        <v>6.9326303456159188E-13</v>
      </c>
      <c r="CW144" s="22">
        <f t="shared" si="121"/>
        <v>1.2800215959791691E-12</v>
      </c>
      <c r="CX144" s="62">
        <f t="shared" si="122"/>
        <v>293.33333333333462</v>
      </c>
      <c r="CY144" s="62">
        <f ca="1">AVERAGE(OFFSET($CX$3,0,0,'Données projet'!$E$13+1,1))-AVERAGE(OFFSET($H$3,0,0,'Données projet'!$E$13+1,1))</f>
        <v>277.97613250285963</v>
      </c>
      <c r="CZ144" s="62">
        <f t="shared" si="150"/>
        <v>274.55710362891892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0.89006812595809126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0.89006812595809126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266</v>
      </c>
      <c r="O145" s="14">
        <f>N145*VLOOKUP('Données projet'!$B$9,Paramètres!$A$1:$I$89,3,0)*VLOOKUP('Données projet'!$B$9,Paramètres!$A$1:$I$89,5,0)</f>
        <v>240.67680000000001</v>
      </c>
      <c r="P145" s="14">
        <f t="shared" si="141"/>
        <v>58.585123425001029</v>
      </c>
      <c r="Q145" s="22">
        <f t="shared" si="108"/>
        <v>521.21451663187679</v>
      </c>
      <c r="R145" s="62">
        <f t="shared" si="109"/>
        <v>814.54784996521016</v>
      </c>
      <c r="S145" s="62">
        <f ca="1">AVERAGE(OFFSET($R$3,0,0,'Données projet'!$E$9+1,1))-AVERAGE(OFFSET($H$3,0,0,'Données projet'!$E$9+1,1))</f>
        <v>364.63511534965755</v>
      </c>
      <c r="T145" s="62">
        <f t="shared" si="142"/>
        <v>233.32640143610541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0.12094306447182746</v>
      </c>
      <c r="AB145" s="23">
        <f>EXP(-LN(2)/2)*AB144+(1-EXP(-LN(2)/2))/(LN(2)/2)*V145*Y145*VLOOKUP('Données projet'!$B$9,Paramètres!$A$1:$I$89,3,0)*0.475*44/12</f>
        <v>1.741584146248121E-16</v>
      </c>
      <c r="AC145" s="24">
        <f t="shared" si="111"/>
        <v>0.12094306447182764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266</v>
      </c>
      <c r="AJ145" s="14">
        <f>AI145*VLOOKUP('Données projet'!$B$10,Paramètres!$A$1:$I$89,3,0)*VLOOKUP('Données projet'!$B$10,Paramètres!$A$1:$I$89,5,0)</f>
        <v>269.72400000000005</v>
      </c>
      <c r="AK145" s="14">
        <f t="shared" si="143"/>
        <v>64.790691635967406</v>
      </c>
      <c r="AL145" s="22">
        <f t="shared" si="112"/>
        <v>582.61308793264323</v>
      </c>
      <c r="AM145" s="62">
        <f t="shared" si="113"/>
        <v>875.9464212659766</v>
      </c>
      <c r="AN145" s="62">
        <f ca="1">AVERAGE(OFFSET($AM$3,0,0,'Données projet'!$E$10+1,1))-AVERAGE(OFFSET($H$3,0,0,'Données projet'!$E$10+1,1))</f>
        <v>403.82490501309815</v>
      </c>
      <c r="AO145" s="62">
        <f t="shared" si="144"/>
        <v>256.4377087753457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0.1355396412184274</v>
      </c>
      <c r="AW145" s="23">
        <f>EXP(-LN(2)/2)*AW144+(1-EXP(-LN(2)/2))/(LN(2)/2)*AQ145*AT145*VLOOKUP('Données projet'!$B$10,Paramètres!$A$1:$I$89,3,0)*0.475*44/12</f>
        <v>1.9517753363125496E-16</v>
      </c>
      <c r="AX145" s="23">
        <f t="shared" si="114"/>
        <v>0.1355396412184276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266</v>
      </c>
      <c r="BE145" s="14">
        <f>BD145*VLOOKUP('Données projet'!$B$11,Paramètres!$A$1:$I$89,3,0)*VLOOKUP('Données projet'!$B$11,Paramètres!$A$1:$I$89,5,0)</f>
        <v>257.27519999999998</v>
      </c>
      <c r="BF145" s="14">
        <f t="shared" si="145"/>
        <v>62.141205057159596</v>
      </c>
      <c r="BG145" s="22">
        <f t="shared" si="115"/>
        <v>556.31690547455287</v>
      </c>
      <c r="BH145" s="62">
        <f t="shared" si="116"/>
        <v>849.65023880788613</v>
      </c>
      <c r="BI145" s="62">
        <f ca="1">AVERAGE(OFFSET($BH$3,0,0,'Données projet'!$E$11+1,1))-AVERAGE(OFFSET($H$3,0,0,'Données projet'!$E$11+1,1))</f>
        <v>387.04070351732537</v>
      </c>
      <c r="BJ145" s="62">
        <f t="shared" si="146"/>
        <v>246.54010105494137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0.12928396546988455</v>
      </c>
      <c r="BR145" s="23">
        <f>EXP(-LN(2)/2)*BR144+(1-EXP(-LN(2)/2))/(LN(2)/2)*BL145*BO145*VLOOKUP('Données projet'!$B$11,Paramètres!$A$1:$I$89,3,0)*0.475*44/12</f>
        <v>1.8616933977135096E-16</v>
      </c>
      <c r="BS145" s="24">
        <f t="shared" si="117"/>
        <v>0.12928396546988474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2.8421709430404007E-14</v>
      </c>
      <c r="BZ145" s="14">
        <f>BY145*VLOOKUP('Données projet'!$B$12,Paramètres!$A$1:$I$89,3,0)*VLOOKUP('Données projet'!$B$12,Paramètres!$A$1:$I$89,5,0)</f>
        <v>2.4829205358400945E-14</v>
      </c>
      <c r="CA145" s="14">
        <f t="shared" si="147"/>
        <v>4.3867331143352915E-13</v>
      </c>
      <c r="CB145" s="22">
        <f t="shared" si="118"/>
        <v>8.0726688341261168E-13</v>
      </c>
      <c r="CC145" s="62">
        <f t="shared" si="119"/>
        <v>293.33333333333411</v>
      </c>
      <c r="CD145" s="62">
        <f ca="1">AVERAGE(OFFSET($CC$3,0,0,'Données projet'!$E$12+1,1))-AVERAGE(OFFSET($H$3,0,0,'Données projet'!$E$12+1,1))</f>
        <v>327.62212115491479</v>
      </c>
      <c r="CE145" s="62">
        <f t="shared" si="148"/>
        <v>348.84706693879735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1.1013153278623806</v>
      </c>
      <c r="CM145" s="23">
        <f>EXP(-LN(2)/2)*CM144+(1-EXP(-LN(2)/2))/(LN(2)/2)*CG145*CJ145*VLOOKUP('Données projet'!$B$12,Paramètres!$A$1:$I$89,3,0)*0.475*44/12</f>
        <v>1.1808348889386271E-15</v>
      </c>
      <c r="CN145" s="24">
        <f t="shared" si="120"/>
        <v>1.1013153278623817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4.1677594708744434E-14</v>
      </c>
      <c r="CV145" s="14">
        <f t="shared" si="149"/>
        <v>6.9326303456159188E-13</v>
      </c>
      <c r="CW145" s="22">
        <f t="shared" si="121"/>
        <v>1.2800215959791691E-12</v>
      </c>
      <c r="CX145" s="62">
        <f t="shared" si="122"/>
        <v>293.33333333333462</v>
      </c>
      <c r="CY145" s="62">
        <f ca="1">AVERAGE(OFFSET($CX$3,0,0,'Données projet'!$E$13+1,1))-AVERAGE(OFFSET($H$3,0,0,'Données projet'!$E$13+1,1))</f>
        <v>277.97613250285963</v>
      </c>
      <c r="CZ145" s="62">
        <f t="shared" si="150"/>
        <v>274.55710362891892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0.87261443289600416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0.87261443289600416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266</v>
      </c>
      <c r="O146" s="14">
        <f>N146*VLOOKUP('Données projet'!$B$9,Paramètres!$A$1:$I$89,3,0)*VLOOKUP('Données projet'!$B$9,Paramètres!$A$1:$I$89,5,0)</f>
        <v>240.67680000000001</v>
      </c>
      <c r="P146" s="14">
        <f t="shared" si="141"/>
        <v>58.585123425001029</v>
      </c>
      <c r="Q146" s="22">
        <f t="shared" si="108"/>
        <v>521.21451663187679</v>
      </c>
      <c r="R146" s="62">
        <f t="shared" si="109"/>
        <v>814.54784996521016</v>
      </c>
      <c r="S146" s="62">
        <f ca="1">AVERAGE(OFFSET($R$3,0,0,'Données projet'!$E$9+1,1))-AVERAGE(OFFSET($H$3,0,0,'Données projet'!$E$9+1,1))</f>
        <v>364.63511534965755</v>
      </c>
      <c r="T146" s="62">
        <f t="shared" si="142"/>
        <v>233.32640143610541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0.117635870013726</v>
      </c>
      <c r="AB146" s="23">
        <f>EXP(-LN(2)/2)*AB145+(1-EXP(-LN(2)/2))/(LN(2)/2)*V146*Y146*VLOOKUP('Données projet'!$B$9,Paramètres!$A$1:$I$89,3,0)*0.475*44/12</f>
        <v>1.2314859598190303E-16</v>
      </c>
      <c r="AC146" s="24">
        <f t="shared" si="111"/>
        <v>0.11763587001372612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266</v>
      </c>
      <c r="AJ146" s="14">
        <f>AI146*VLOOKUP('Données projet'!$B$10,Paramètres!$A$1:$I$89,3,0)*VLOOKUP('Données projet'!$B$10,Paramètres!$A$1:$I$89,5,0)</f>
        <v>269.72400000000005</v>
      </c>
      <c r="AK146" s="14">
        <f t="shared" si="143"/>
        <v>64.790691635967406</v>
      </c>
      <c r="AL146" s="22">
        <f t="shared" si="112"/>
        <v>582.61308793264323</v>
      </c>
      <c r="AM146" s="62">
        <f t="shared" si="113"/>
        <v>875.9464212659766</v>
      </c>
      <c r="AN146" s="62">
        <f ca="1">AVERAGE(OFFSET($AM$3,0,0,'Données projet'!$E$10+1,1))-AVERAGE(OFFSET($H$3,0,0,'Données projet'!$E$10+1,1))</f>
        <v>403.82490501309815</v>
      </c>
      <c r="AO146" s="62">
        <f t="shared" si="144"/>
        <v>256.4377087753457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0.13183330260158954</v>
      </c>
      <c r="AW146" s="23">
        <f>EXP(-LN(2)/2)*AW145+(1-EXP(-LN(2)/2))/(LN(2)/2)*AQ146*AT146*VLOOKUP('Données projet'!$B$10,Paramètres!$A$1:$I$89,3,0)*0.475*44/12</f>
        <v>1.3801135756592582E-16</v>
      </c>
      <c r="AX146" s="23">
        <f t="shared" si="114"/>
        <v>0.13183330260158968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266</v>
      </c>
      <c r="BE146" s="14">
        <f>BD146*VLOOKUP('Données projet'!$B$11,Paramètres!$A$1:$I$89,3,0)*VLOOKUP('Données projet'!$B$11,Paramètres!$A$1:$I$89,5,0)</f>
        <v>257.27519999999998</v>
      </c>
      <c r="BF146" s="14">
        <f t="shared" si="145"/>
        <v>62.141205057159596</v>
      </c>
      <c r="BG146" s="22">
        <f t="shared" si="115"/>
        <v>556.31690547455287</v>
      </c>
      <c r="BH146" s="62">
        <f t="shared" si="116"/>
        <v>849.65023880788613</v>
      </c>
      <c r="BI146" s="62">
        <f ca="1">AVERAGE(OFFSET($BH$3,0,0,'Données projet'!$E$11+1,1))-AVERAGE(OFFSET($H$3,0,0,'Données projet'!$E$11+1,1))</f>
        <v>387.04070351732537</v>
      </c>
      <c r="BJ146" s="62">
        <f t="shared" si="146"/>
        <v>246.54010105494137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0.12574868863536229</v>
      </c>
      <c r="BR146" s="23">
        <f>EXP(-LN(2)/2)*BR145+(1-EXP(-LN(2)/2))/(LN(2)/2)*BL146*BO146*VLOOKUP('Données projet'!$B$11,Paramètres!$A$1:$I$89,3,0)*0.475*44/12</f>
        <v>1.3164160260134468E-16</v>
      </c>
      <c r="BS146" s="24">
        <f t="shared" si="117"/>
        <v>0.12574868863536243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2.8421709430404007E-14</v>
      </c>
      <c r="BZ146" s="14">
        <f>BY146*VLOOKUP('Données projet'!$B$12,Paramètres!$A$1:$I$89,3,0)*VLOOKUP('Données projet'!$B$12,Paramètres!$A$1:$I$89,5,0)</f>
        <v>2.4829205358400945E-14</v>
      </c>
      <c r="CA146" s="14">
        <f t="shared" si="147"/>
        <v>4.3867331143352915E-13</v>
      </c>
      <c r="CB146" s="22">
        <f t="shared" si="118"/>
        <v>8.0726688341261168E-13</v>
      </c>
      <c r="CC146" s="62">
        <f t="shared" si="119"/>
        <v>293.33333333333411</v>
      </c>
      <c r="CD146" s="62">
        <f ca="1">AVERAGE(OFFSET($CC$3,0,0,'Données projet'!$E$12+1,1))-AVERAGE(OFFSET($H$3,0,0,'Données projet'!$E$12+1,1))</f>
        <v>327.62212115491479</v>
      </c>
      <c r="CE146" s="62">
        <f t="shared" si="148"/>
        <v>348.84706693879735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1.0711998023063278</v>
      </c>
      <c r="CM146" s="23">
        <f>EXP(-LN(2)/2)*CM145+(1-EXP(-LN(2)/2))/(LN(2)/2)*CG146*CJ146*VLOOKUP('Données projet'!$B$12,Paramètres!$A$1:$I$89,3,0)*0.475*44/12</f>
        <v>8.3497635743016695E-16</v>
      </c>
      <c r="CN146" s="24">
        <f t="shared" si="120"/>
        <v>1.0711998023063287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4.1677594708744434E-14</v>
      </c>
      <c r="CV146" s="14">
        <f t="shared" si="149"/>
        <v>6.9326303456159188E-13</v>
      </c>
      <c r="CW146" s="22">
        <f t="shared" si="121"/>
        <v>1.2800215959791691E-12</v>
      </c>
      <c r="CX146" s="62">
        <f t="shared" si="122"/>
        <v>293.33333333333462</v>
      </c>
      <c r="CY146" s="62">
        <f ca="1">AVERAGE(OFFSET($CX$3,0,0,'Données projet'!$E$13+1,1))-AVERAGE(OFFSET($H$3,0,0,'Données projet'!$E$13+1,1))</f>
        <v>277.97613250285963</v>
      </c>
      <c r="CZ146" s="62">
        <f t="shared" si="150"/>
        <v>274.55710362891892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0.85550299610916303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0.85550299610916303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266</v>
      </c>
      <c r="O147" s="14">
        <f>N147*VLOOKUP('Données projet'!$B$9,Paramètres!$A$1:$I$89,3,0)*VLOOKUP('Données projet'!$B$9,Paramètres!$A$1:$I$89,5,0)</f>
        <v>240.67680000000001</v>
      </c>
      <c r="P147" s="14">
        <f t="shared" si="141"/>
        <v>58.585123425001029</v>
      </c>
      <c r="Q147" s="22">
        <f t="shared" si="108"/>
        <v>521.21451663187679</v>
      </c>
      <c r="R147" s="62">
        <f t="shared" si="109"/>
        <v>814.54784996521016</v>
      </c>
      <c r="S147" s="62">
        <f ca="1">AVERAGE(OFFSET($R$3,0,0,'Données projet'!$E$9+1,1))-AVERAGE(OFFSET($H$3,0,0,'Données projet'!$E$9+1,1))</f>
        <v>364.63511534965755</v>
      </c>
      <c r="T147" s="62">
        <f t="shared" si="142"/>
        <v>233.32640143610541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0.11441911096199911</v>
      </c>
      <c r="AB147" s="23">
        <f>EXP(-LN(2)/2)*AB146+(1-EXP(-LN(2)/2))/(LN(2)/2)*V147*Y147*VLOOKUP('Données projet'!$B$9,Paramètres!$A$1:$I$89,3,0)*0.475*44/12</f>
        <v>8.7079207312406051E-17</v>
      </c>
      <c r="AC147" s="24">
        <f t="shared" si="111"/>
        <v>0.11441911096199919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266</v>
      </c>
      <c r="AJ147" s="14">
        <f>AI147*VLOOKUP('Données projet'!$B$10,Paramètres!$A$1:$I$89,3,0)*VLOOKUP('Données projet'!$B$10,Paramètres!$A$1:$I$89,5,0)</f>
        <v>269.72400000000005</v>
      </c>
      <c r="AK147" s="14">
        <f t="shared" si="143"/>
        <v>64.790691635967406</v>
      </c>
      <c r="AL147" s="22">
        <f t="shared" si="112"/>
        <v>582.61308793264323</v>
      </c>
      <c r="AM147" s="62">
        <f t="shared" si="113"/>
        <v>875.9464212659766</v>
      </c>
      <c r="AN147" s="62">
        <f ca="1">AVERAGE(OFFSET($AM$3,0,0,'Données projet'!$E$10+1,1))-AVERAGE(OFFSET($H$3,0,0,'Données projet'!$E$10+1,1))</f>
        <v>403.82490501309815</v>
      </c>
      <c r="AO147" s="62">
        <f t="shared" si="144"/>
        <v>256.4377087753457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0.12822831400913701</v>
      </c>
      <c r="AW147" s="23">
        <f>EXP(-LN(2)/2)*AW146+(1-EXP(-LN(2)/2))/(LN(2)/2)*AQ147*AT147*VLOOKUP('Données projet'!$B$10,Paramètres!$A$1:$I$89,3,0)*0.475*44/12</f>
        <v>9.758876681562748E-17</v>
      </c>
      <c r="AX147" s="23">
        <f t="shared" si="114"/>
        <v>0.12822831400913712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266</v>
      </c>
      <c r="BE147" s="14">
        <f>BD147*VLOOKUP('Données projet'!$B$11,Paramètres!$A$1:$I$89,3,0)*VLOOKUP('Données projet'!$B$11,Paramètres!$A$1:$I$89,5,0)</f>
        <v>257.27519999999998</v>
      </c>
      <c r="BF147" s="14">
        <f t="shared" si="145"/>
        <v>62.141205057159596</v>
      </c>
      <c r="BG147" s="22">
        <f t="shared" si="115"/>
        <v>556.31690547455287</v>
      </c>
      <c r="BH147" s="62">
        <f t="shared" si="116"/>
        <v>849.65023880788613</v>
      </c>
      <c r="BI147" s="62">
        <f ca="1">AVERAGE(OFFSET($BH$3,0,0,'Données projet'!$E$11+1,1))-AVERAGE(OFFSET($H$3,0,0,'Données projet'!$E$11+1,1))</f>
        <v>387.04070351732537</v>
      </c>
      <c r="BJ147" s="62">
        <f t="shared" si="146"/>
        <v>246.54010105494137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0.12231008413179217</v>
      </c>
      <c r="BR147" s="23">
        <f>EXP(-LN(2)/2)*BR146+(1-EXP(-LN(2)/2))/(LN(2)/2)*BL147*BO147*VLOOKUP('Données projet'!$B$11,Paramètres!$A$1:$I$89,3,0)*0.475*44/12</f>
        <v>9.3084669885675478E-17</v>
      </c>
      <c r="BS147" s="24">
        <f t="shared" si="117"/>
        <v>0.12231008413179227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2.8421709430404007E-14</v>
      </c>
      <c r="BZ147" s="14">
        <f>BY147*VLOOKUP('Données projet'!$B$12,Paramètres!$A$1:$I$89,3,0)*VLOOKUP('Données projet'!$B$12,Paramètres!$A$1:$I$89,5,0)</f>
        <v>2.4829205358400945E-14</v>
      </c>
      <c r="CA147" s="14">
        <f t="shared" si="147"/>
        <v>4.3867331143352915E-13</v>
      </c>
      <c r="CB147" s="22">
        <f t="shared" si="118"/>
        <v>8.0726688341261168E-13</v>
      </c>
      <c r="CC147" s="62">
        <f t="shared" si="119"/>
        <v>293.33333333333411</v>
      </c>
      <c r="CD147" s="62">
        <f ca="1">AVERAGE(OFFSET($CC$3,0,0,'Données projet'!$E$12+1,1))-AVERAGE(OFFSET($H$3,0,0,'Données projet'!$E$12+1,1))</f>
        <v>327.62212115491479</v>
      </c>
      <c r="CE147" s="62">
        <f t="shared" si="148"/>
        <v>348.84706693879735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1.041907787380312</v>
      </c>
      <c r="CM147" s="23">
        <f>EXP(-LN(2)/2)*CM146+(1-EXP(-LN(2)/2))/(LN(2)/2)*CG147*CJ147*VLOOKUP('Données projet'!$B$12,Paramètres!$A$1:$I$89,3,0)*0.475*44/12</f>
        <v>5.9041744446931355E-16</v>
      </c>
      <c r="CN147" s="24">
        <f t="shared" si="120"/>
        <v>1.0419077873803126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4.1677594708744434E-14</v>
      </c>
      <c r="CV147" s="14">
        <f t="shared" si="149"/>
        <v>6.9326303456159188E-13</v>
      </c>
      <c r="CW147" s="22">
        <f t="shared" si="121"/>
        <v>1.2800215959791691E-12</v>
      </c>
      <c r="CX147" s="62">
        <f t="shared" si="122"/>
        <v>293.33333333333462</v>
      </c>
      <c r="CY147" s="62">
        <f ca="1">AVERAGE(OFFSET($CX$3,0,0,'Données projet'!$E$13+1,1))-AVERAGE(OFFSET($H$3,0,0,'Données projet'!$E$13+1,1))</f>
        <v>277.97613250285963</v>
      </c>
      <c r="CZ147" s="62">
        <f t="shared" si="150"/>
        <v>274.55710362891892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0.83872710416076601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0.83872710416076601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266</v>
      </c>
      <c r="O148" s="14">
        <f>N148*VLOOKUP('Données projet'!$B$9,Paramètres!$A$1:$I$89,3,0)*VLOOKUP('Données projet'!$B$9,Paramètres!$A$1:$I$89,5,0)</f>
        <v>240.67680000000001</v>
      </c>
      <c r="P148" s="14">
        <f t="shared" si="141"/>
        <v>58.585123425001029</v>
      </c>
      <c r="Q148" s="22">
        <f t="shared" si="108"/>
        <v>521.21451663187679</v>
      </c>
      <c r="R148" s="62">
        <f t="shared" si="109"/>
        <v>814.54784996521016</v>
      </c>
      <c r="S148" s="62">
        <f ca="1">AVERAGE(OFFSET($R$3,0,0,'Données projet'!$E$9+1,1))-AVERAGE(OFFSET($H$3,0,0,'Données projet'!$E$9+1,1))</f>
        <v>364.63511534965755</v>
      </c>
      <c r="T148" s="62">
        <f t="shared" si="142"/>
        <v>233.32640143610541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0.1112903143557037</v>
      </c>
      <c r="AB148" s="23">
        <f>EXP(-LN(2)/2)*AB147+(1-EXP(-LN(2)/2))/(LN(2)/2)*V148*Y148*VLOOKUP('Données projet'!$B$9,Paramètres!$A$1:$I$89,3,0)*0.475*44/12</f>
        <v>6.1574297990951514E-17</v>
      </c>
      <c r="AC148" s="24">
        <f t="shared" si="111"/>
        <v>0.11129031435570376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266</v>
      </c>
      <c r="AJ148" s="14">
        <f>AI148*VLOOKUP('Données projet'!$B$10,Paramètres!$A$1:$I$89,3,0)*VLOOKUP('Données projet'!$B$10,Paramètres!$A$1:$I$89,5,0)</f>
        <v>269.72400000000005</v>
      </c>
      <c r="AK148" s="14">
        <f t="shared" si="143"/>
        <v>64.790691635967406</v>
      </c>
      <c r="AL148" s="22">
        <f t="shared" si="112"/>
        <v>582.61308793264323</v>
      </c>
      <c r="AM148" s="62">
        <f t="shared" si="113"/>
        <v>875.9464212659766</v>
      </c>
      <c r="AN148" s="62">
        <f ca="1">AVERAGE(OFFSET($AM$3,0,0,'Données projet'!$E$10+1,1))-AVERAGE(OFFSET($H$3,0,0,'Données projet'!$E$10+1,1))</f>
        <v>403.82490501309815</v>
      </c>
      <c r="AO148" s="62">
        <f t="shared" si="144"/>
        <v>256.4377087753457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0.12472190401932319</v>
      </c>
      <c r="AW148" s="23">
        <f>EXP(-LN(2)/2)*AW147+(1-EXP(-LN(2)/2))/(LN(2)/2)*AQ148*AT148*VLOOKUP('Données projet'!$B$10,Paramètres!$A$1:$I$89,3,0)*0.475*44/12</f>
        <v>6.9005678782962911E-17</v>
      </c>
      <c r="AX148" s="23">
        <f t="shared" si="114"/>
        <v>0.12472190401932326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266</v>
      </c>
      <c r="BE148" s="14">
        <f>BD148*VLOOKUP('Données projet'!$B$11,Paramètres!$A$1:$I$89,3,0)*VLOOKUP('Données projet'!$B$11,Paramètres!$A$1:$I$89,5,0)</f>
        <v>257.27519999999998</v>
      </c>
      <c r="BF148" s="14">
        <f t="shared" si="145"/>
        <v>62.141205057159596</v>
      </c>
      <c r="BG148" s="22">
        <f t="shared" si="115"/>
        <v>556.31690547455287</v>
      </c>
      <c r="BH148" s="62">
        <f t="shared" si="116"/>
        <v>849.65023880788613</v>
      </c>
      <c r="BI148" s="62">
        <f ca="1">AVERAGE(OFFSET($BH$3,0,0,'Données projet'!$E$11+1,1))-AVERAGE(OFFSET($H$3,0,0,'Données projet'!$E$11+1,1))</f>
        <v>387.04070351732537</v>
      </c>
      <c r="BJ148" s="62">
        <f t="shared" si="146"/>
        <v>246.54010105494137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0.11896550844920054</v>
      </c>
      <c r="BR148" s="23">
        <f>EXP(-LN(2)/2)*BR147+(1-EXP(-LN(2)/2))/(LN(2)/2)*BL148*BO148*VLOOKUP('Données projet'!$B$11,Paramètres!$A$1:$I$89,3,0)*0.475*44/12</f>
        <v>6.5820801300672339E-17</v>
      </c>
      <c r="BS148" s="24">
        <f t="shared" si="117"/>
        <v>0.1189655084492006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2.8421709430404007E-14</v>
      </c>
      <c r="BZ148" s="14">
        <f>BY148*VLOOKUP('Données projet'!$B$12,Paramètres!$A$1:$I$89,3,0)*VLOOKUP('Données projet'!$B$12,Paramètres!$A$1:$I$89,5,0)</f>
        <v>2.4829205358400945E-14</v>
      </c>
      <c r="CA148" s="14">
        <f t="shared" si="147"/>
        <v>4.3867331143352915E-13</v>
      </c>
      <c r="CB148" s="22">
        <f t="shared" si="118"/>
        <v>8.0726688341261168E-13</v>
      </c>
      <c r="CC148" s="62">
        <f t="shared" si="119"/>
        <v>293.33333333333411</v>
      </c>
      <c r="CD148" s="62">
        <f ca="1">AVERAGE(OFFSET($CC$3,0,0,'Données projet'!$E$12+1,1))-AVERAGE(OFFSET($H$3,0,0,'Données projet'!$E$12+1,1))</f>
        <v>327.62212115491479</v>
      </c>
      <c r="CE148" s="62">
        <f t="shared" si="148"/>
        <v>348.84706693879735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1.0134167641428482</v>
      </c>
      <c r="CM148" s="23">
        <f>EXP(-LN(2)/2)*CM147+(1-EXP(-LN(2)/2))/(LN(2)/2)*CG148*CJ148*VLOOKUP('Données projet'!$B$12,Paramètres!$A$1:$I$89,3,0)*0.475*44/12</f>
        <v>4.1748817871508348E-16</v>
      </c>
      <c r="CN148" s="24">
        <f t="shared" si="120"/>
        <v>1.0134167641428486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4.1677594708744434E-14</v>
      </c>
      <c r="CV148" s="14">
        <f t="shared" si="149"/>
        <v>6.9326303456159188E-13</v>
      </c>
      <c r="CW148" s="22">
        <f t="shared" si="121"/>
        <v>1.2800215959791691E-12</v>
      </c>
      <c r="CX148" s="62">
        <f t="shared" si="122"/>
        <v>293.33333333333462</v>
      </c>
      <c r="CY148" s="62">
        <f ca="1">AVERAGE(OFFSET($CX$3,0,0,'Données projet'!$E$13+1,1))-AVERAGE(OFFSET($H$3,0,0,'Données projet'!$E$13+1,1))</f>
        <v>277.97613250285963</v>
      </c>
      <c r="CZ148" s="62">
        <f t="shared" si="150"/>
        <v>274.55710362891892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0.82228017722119329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0.82228017722119329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266</v>
      </c>
      <c r="O149" s="14">
        <f>N149*VLOOKUP('Données projet'!$B$9,Paramètres!$A$1:$I$89,3,0)*VLOOKUP('Données projet'!$B$9,Paramètres!$A$1:$I$89,5,0)</f>
        <v>240.67680000000001</v>
      </c>
      <c r="P149" s="14">
        <f t="shared" si="141"/>
        <v>58.585123425001029</v>
      </c>
      <c r="Q149" s="22">
        <f t="shared" si="108"/>
        <v>521.21451663187679</v>
      </c>
      <c r="R149" s="62">
        <f t="shared" si="109"/>
        <v>814.54784996521016</v>
      </c>
      <c r="S149" s="62">
        <f ca="1">AVERAGE(OFFSET($R$3,0,0,'Données projet'!$E$9+1,1))-AVERAGE(OFFSET($H$3,0,0,'Données projet'!$E$9+1,1))</f>
        <v>364.63511534965755</v>
      </c>
      <c r="T149" s="62">
        <f t="shared" si="142"/>
        <v>233.32640143610541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0.10824707485714372</v>
      </c>
      <c r="AB149" s="23">
        <f>EXP(-LN(2)/2)*AB148+(1-EXP(-LN(2)/2))/(LN(2)/2)*V149*Y149*VLOOKUP('Données projet'!$B$9,Paramètres!$A$1:$I$89,3,0)*0.475*44/12</f>
        <v>4.3539603656203025E-17</v>
      </c>
      <c r="AC149" s="24">
        <f t="shared" si="111"/>
        <v>0.10824707485714376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266</v>
      </c>
      <c r="AJ149" s="14">
        <f>AI149*VLOOKUP('Données projet'!$B$10,Paramètres!$A$1:$I$89,3,0)*VLOOKUP('Données projet'!$B$10,Paramètres!$A$1:$I$89,5,0)</f>
        <v>269.72400000000005</v>
      </c>
      <c r="AK149" s="14">
        <f t="shared" si="143"/>
        <v>64.790691635967406</v>
      </c>
      <c r="AL149" s="22">
        <f t="shared" si="112"/>
        <v>582.61308793264323</v>
      </c>
      <c r="AM149" s="62">
        <f t="shared" si="113"/>
        <v>875.9464212659766</v>
      </c>
      <c r="AN149" s="62">
        <f ca="1">AVERAGE(OFFSET($AM$3,0,0,'Données projet'!$E$10+1,1))-AVERAGE(OFFSET($H$3,0,0,'Données projet'!$E$10+1,1))</f>
        <v>403.82490501309815</v>
      </c>
      <c r="AO149" s="62">
        <f t="shared" si="144"/>
        <v>256.4377087753457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0.12131137699507492</v>
      </c>
      <c r="AW149" s="23">
        <f>EXP(-LN(2)/2)*AW148+(1-EXP(-LN(2)/2))/(LN(2)/2)*AQ149*AT149*VLOOKUP('Données projet'!$B$10,Paramètres!$A$1:$I$89,3,0)*0.475*44/12</f>
        <v>4.879438340781374E-17</v>
      </c>
      <c r="AX149" s="23">
        <f t="shared" si="114"/>
        <v>0.12131137699507498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266</v>
      </c>
      <c r="BE149" s="14">
        <f>BD149*VLOOKUP('Données projet'!$B$11,Paramètres!$A$1:$I$89,3,0)*VLOOKUP('Données projet'!$B$11,Paramètres!$A$1:$I$89,5,0)</f>
        <v>257.27519999999998</v>
      </c>
      <c r="BF149" s="14">
        <f t="shared" si="145"/>
        <v>62.141205057159596</v>
      </c>
      <c r="BG149" s="22">
        <f t="shared" si="115"/>
        <v>556.31690547455287</v>
      </c>
      <c r="BH149" s="62">
        <f t="shared" si="116"/>
        <v>849.65023880788613</v>
      </c>
      <c r="BI149" s="62">
        <f ca="1">AVERAGE(OFFSET($BH$3,0,0,'Données projet'!$E$11+1,1))-AVERAGE(OFFSET($H$3,0,0,'Données projet'!$E$11+1,1))</f>
        <v>387.04070351732537</v>
      </c>
      <c r="BJ149" s="62">
        <f t="shared" si="146"/>
        <v>246.54010105494137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0.11571239036453296</v>
      </c>
      <c r="BR149" s="23">
        <f>EXP(-LN(2)/2)*BR148+(1-EXP(-LN(2)/2))/(LN(2)/2)*BL149*BO149*VLOOKUP('Données projet'!$B$11,Paramètres!$A$1:$I$89,3,0)*0.475*44/12</f>
        <v>4.6542334942837739E-17</v>
      </c>
      <c r="BS149" s="24">
        <f t="shared" si="117"/>
        <v>0.115712390364533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2.8421709430404007E-14</v>
      </c>
      <c r="BZ149" s="14">
        <f>BY149*VLOOKUP('Données projet'!$B$12,Paramètres!$A$1:$I$89,3,0)*VLOOKUP('Données projet'!$B$12,Paramètres!$A$1:$I$89,5,0)</f>
        <v>2.4829205358400945E-14</v>
      </c>
      <c r="CA149" s="14">
        <f t="shared" si="147"/>
        <v>4.3867331143352915E-13</v>
      </c>
      <c r="CB149" s="22">
        <f t="shared" si="118"/>
        <v>8.0726688341261168E-13</v>
      </c>
      <c r="CC149" s="62">
        <f t="shared" si="119"/>
        <v>293.33333333333411</v>
      </c>
      <c r="CD149" s="62">
        <f ca="1">AVERAGE(OFFSET($CC$3,0,0,'Données projet'!$E$12+1,1))-AVERAGE(OFFSET($H$3,0,0,'Données projet'!$E$12+1,1))</f>
        <v>327.62212115491479</v>
      </c>
      <c r="CE149" s="62">
        <f t="shared" si="148"/>
        <v>348.84706693879735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0.98570482943409055</v>
      </c>
      <c r="CM149" s="23">
        <f>EXP(-LN(2)/2)*CM148+(1-EXP(-LN(2)/2))/(LN(2)/2)*CG149*CJ149*VLOOKUP('Données projet'!$B$12,Paramètres!$A$1:$I$89,3,0)*0.475*44/12</f>
        <v>2.9520872223465678E-16</v>
      </c>
      <c r="CN149" s="24">
        <f t="shared" si="120"/>
        <v>0.98570482943409088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4.1677594708744434E-14</v>
      </c>
      <c r="CV149" s="14">
        <f t="shared" si="149"/>
        <v>6.9326303456159188E-13</v>
      </c>
      <c r="CW149" s="22">
        <f t="shared" si="121"/>
        <v>1.2800215959791691E-12</v>
      </c>
      <c r="CX149" s="62">
        <f t="shared" si="122"/>
        <v>293.33333333333462</v>
      </c>
      <c r="CY149" s="62">
        <f ca="1">AVERAGE(OFFSET($CX$3,0,0,'Données projet'!$E$13+1,1))-AVERAGE(OFFSET($H$3,0,0,'Données projet'!$E$13+1,1))</f>
        <v>277.97613250285963</v>
      </c>
      <c r="CZ149" s="62">
        <f t="shared" si="150"/>
        <v>274.55710362891892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0.80615576448727067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0.80615576448727067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266</v>
      </c>
      <c r="O150" s="14">
        <f>N150*VLOOKUP('Données projet'!$B$9,Paramètres!$A$1:$I$89,3,0)*VLOOKUP('Données projet'!$B$9,Paramètres!$A$1:$I$89,5,0)</f>
        <v>240.67680000000001</v>
      </c>
      <c r="P150" s="14">
        <f t="shared" si="141"/>
        <v>58.585123425001029</v>
      </c>
      <c r="Q150" s="22">
        <f t="shared" si="108"/>
        <v>521.21451663187679</v>
      </c>
      <c r="R150" s="62">
        <f t="shared" si="109"/>
        <v>814.54784996521016</v>
      </c>
      <c r="S150" s="62">
        <f ca="1">AVERAGE(OFFSET($R$3,0,0,'Données projet'!$E$9+1,1))-AVERAGE(OFFSET($H$3,0,0,'Données projet'!$E$9+1,1))</f>
        <v>364.63511534965755</v>
      </c>
      <c r="T150" s="62">
        <f t="shared" si="142"/>
        <v>233.32640143610541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0.10528705290270886</v>
      </c>
      <c r="AB150" s="23">
        <f>EXP(-LN(2)/2)*AB149+(1-EXP(-LN(2)/2))/(LN(2)/2)*V150*Y150*VLOOKUP('Données projet'!$B$9,Paramètres!$A$1:$I$89,3,0)*0.475*44/12</f>
        <v>3.0787148995475757E-17</v>
      </c>
      <c r="AC150" s="24">
        <f t="shared" si="111"/>
        <v>0.10528705290270889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266</v>
      </c>
      <c r="AJ150" s="14">
        <f>AI150*VLOOKUP('Données projet'!$B$10,Paramètres!$A$1:$I$89,3,0)*VLOOKUP('Données projet'!$B$10,Paramètres!$A$1:$I$89,5,0)</f>
        <v>269.72400000000005</v>
      </c>
      <c r="AK150" s="14">
        <f t="shared" si="143"/>
        <v>64.790691635967406</v>
      </c>
      <c r="AL150" s="22">
        <f t="shared" si="112"/>
        <v>582.61308793264323</v>
      </c>
      <c r="AM150" s="62">
        <f t="shared" si="113"/>
        <v>875.9464212659766</v>
      </c>
      <c r="AN150" s="62">
        <f ca="1">AVERAGE(OFFSET($AM$3,0,0,'Données projet'!$E$10+1,1))-AVERAGE(OFFSET($H$3,0,0,'Données projet'!$E$10+1,1))</f>
        <v>403.82490501309815</v>
      </c>
      <c r="AO150" s="62">
        <f t="shared" si="144"/>
        <v>256.4377087753457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0.11799411101165655</v>
      </c>
      <c r="AW150" s="23">
        <f>EXP(-LN(2)/2)*AW149+(1-EXP(-LN(2)/2))/(LN(2)/2)*AQ150*AT150*VLOOKUP('Données projet'!$B$10,Paramètres!$A$1:$I$89,3,0)*0.475*44/12</f>
        <v>3.4502839391481455E-17</v>
      </c>
      <c r="AX150" s="23">
        <f t="shared" si="114"/>
        <v>0.11799411101165658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266</v>
      </c>
      <c r="BE150" s="14">
        <f>BD150*VLOOKUP('Données projet'!$B$11,Paramètres!$A$1:$I$89,3,0)*VLOOKUP('Données projet'!$B$11,Paramètres!$A$1:$I$89,5,0)</f>
        <v>257.27519999999998</v>
      </c>
      <c r="BF150" s="14">
        <f t="shared" si="145"/>
        <v>62.141205057159596</v>
      </c>
      <c r="BG150" s="22">
        <f t="shared" si="115"/>
        <v>556.31690547455287</v>
      </c>
      <c r="BH150" s="62">
        <f t="shared" si="116"/>
        <v>849.65023880788613</v>
      </c>
      <c r="BI150" s="62">
        <f ca="1">AVERAGE(OFFSET($BH$3,0,0,'Données projet'!$E$11+1,1))-AVERAGE(OFFSET($H$3,0,0,'Données projet'!$E$11+1,1))</f>
        <v>387.04070351732537</v>
      </c>
      <c r="BJ150" s="62">
        <f t="shared" si="146"/>
        <v>246.54010105494137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0.11254822896496466</v>
      </c>
      <c r="BR150" s="23">
        <f>EXP(-LN(2)/2)*BR149+(1-EXP(-LN(2)/2))/(LN(2)/2)*BL150*BO150*VLOOKUP('Données projet'!$B$11,Paramètres!$A$1:$I$89,3,0)*0.475*44/12</f>
        <v>3.2910400650336169E-17</v>
      </c>
      <c r="BS150" s="24">
        <f t="shared" si="117"/>
        <v>0.11254822896496469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2.8421709430404007E-14</v>
      </c>
      <c r="BZ150" s="14">
        <f>BY150*VLOOKUP('Données projet'!$B$12,Paramètres!$A$1:$I$89,3,0)*VLOOKUP('Données projet'!$B$12,Paramètres!$A$1:$I$89,5,0)</f>
        <v>2.4829205358400945E-14</v>
      </c>
      <c r="CA150" s="14">
        <f t="shared" si="147"/>
        <v>4.3867331143352915E-13</v>
      </c>
      <c r="CB150" s="22">
        <f t="shared" si="118"/>
        <v>8.0726688341261168E-13</v>
      </c>
      <c r="CC150" s="62">
        <f t="shared" si="119"/>
        <v>293.33333333333411</v>
      </c>
      <c r="CD150" s="62">
        <f ca="1">AVERAGE(OFFSET($CC$3,0,0,'Données projet'!$E$12+1,1))-AVERAGE(OFFSET($H$3,0,0,'Données projet'!$E$12+1,1))</f>
        <v>327.62212115491479</v>
      </c>
      <c r="CE150" s="62">
        <f t="shared" si="148"/>
        <v>348.84706693879735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0.9587506790372512</v>
      </c>
      <c r="CM150" s="23">
        <f>EXP(-LN(2)/2)*CM149+(1-EXP(-LN(2)/2))/(LN(2)/2)*CG150*CJ150*VLOOKUP('Données projet'!$B$12,Paramètres!$A$1:$I$89,3,0)*0.475*44/12</f>
        <v>2.0874408935754174E-16</v>
      </c>
      <c r="CN150" s="24">
        <f t="shared" si="120"/>
        <v>0.95875067903725142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4.1677594708744434E-14</v>
      </c>
      <c r="CV150" s="14">
        <f t="shared" si="149"/>
        <v>6.9326303456159188E-13</v>
      </c>
      <c r="CW150" s="22">
        <f t="shared" si="121"/>
        <v>1.2800215959791691E-12</v>
      </c>
      <c r="CX150" s="62">
        <f t="shared" si="122"/>
        <v>293.33333333333462</v>
      </c>
      <c r="CY150" s="62">
        <f ca="1">AVERAGE(OFFSET($CX$3,0,0,'Données projet'!$E$13+1,1))-AVERAGE(OFFSET($H$3,0,0,'Données projet'!$E$13+1,1))</f>
        <v>277.97613250285963</v>
      </c>
      <c r="CZ150" s="62">
        <f t="shared" si="150"/>
        <v>274.55710362891892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0.79034754165213961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0.79034754165213961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266</v>
      </c>
      <c r="O151" s="14">
        <f>N151*VLOOKUP('Données projet'!$B$9,Paramètres!$A$1:$I$89,3,0)*VLOOKUP('Données projet'!$B$9,Paramètres!$A$1:$I$89,5,0)</f>
        <v>240.67680000000001</v>
      </c>
      <c r="P151" s="14">
        <f t="shared" si="141"/>
        <v>58.585123425001029</v>
      </c>
      <c r="Q151" s="22">
        <f t="shared" si="108"/>
        <v>521.21451663187679</v>
      </c>
      <c r="R151" s="62">
        <f t="shared" si="109"/>
        <v>814.54784996521016</v>
      </c>
      <c r="S151" s="62">
        <f ca="1">AVERAGE(OFFSET($R$3,0,0,'Données projet'!$E$9+1,1))-AVERAGE(OFFSET($H$3,0,0,'Données projet'!$E$9+1,1))</f>
        <v>364.63511534965755</v>
      </c>
      <c r="T151" s="62">
        <f t="shared" si="142"/>
        <v>233.32640143610541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0.1024079729042788</v>
      </c>
      <c r="AB151" s="23">
        <f>EXP(-LN(2)/2)*AB150+(1-EXP(-LN(2)/2))/(LN(2)/2)*V151*Y151*VLOOKUP('Données projet'!$B$9,Paramètres!$A$1:$I$89,3,0)*0.475*44/12</f>
        <v>2.1769801828101513E-17</v>
      </c>
      <c r="AC151" s="24">
        <f t="shared" si="111"/>
        <v>0.10240797290427883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266</v>
      </c>
      <c r="AJ151" s="14">
        <f>AI151*VLOOKUP('Données projet'!$B$10,Paramètres!$A$1:$I$89,3,0)*VLOOKUP('Données projet'!$B$10,Paramètres!$A$1:$I$89,5,0)</f>
        <v>269.72400000000005</v>
      </c>
      <c r="AK151" s="14">
        <f t="shared" si="143"/>
        <v>64.790691635967406</v>
      </c>
      <c r="AL151" s="22">
        <f t="shared" si="112"/>
        <v>582.61308793264323</v>
      </c>
      <c r="AM151" s="62">
        <f t="shared" si="113"/>
        <v>875.9464212659766</v>
      </c>
      <c r="AN151" s="62">
        <f ca="1">AVERAGE(OFFSET($AM$3,0,0,'Données projet'!$E$10+1,1))-AVERAGE(OFFSET($H$3,0,0,'Données projet'!$E$10+1,1))</f>
        <v>403.82490501309815</v>
      </c>
      <c r="AO151" s="62">
        <f t="shared" si="144"/>
        <v>256.4377087753457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0.11476755584100218</v>
      </c>
      <c r="AW151" s="23">
        <f>EXP(-LN(2)/2)*AW150+(1-EXP(-LN(2)/2))/(LN(2)/2)*AQ151*AT151*VLOOKUP('Données projet'!$B$10,Paramètres!$A$1:$I$89,3,0)*0.475*44/12</f>
        <v>2.439719170390687E-17</v>
      </c>
      <c r="AX151" s="23">
        <f t="shared" si="114"/>
        <v>0.11476755584100221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266</v>
      </c>
      <c r="BE151" s="14">
        <f>BD151*VLOOKUP('Données projet'!$B$11,Paramètres!$A$1:$I$89,3,0)*VLOOKUP('Données projet'!$B$11,Paramètres!$A$1:$I$89,5,0)</f>
        <v>257.27519999999998</v>
      </c>
      <c r="BF151" s="14">
        <f t="shared" si="145"/>
        <v>62.141205057159596</v>
      </c>
      <c r="BG151" s="22">
        <f t="shared" si="115"/>
        <v>556.31690547455287</v>
      </c>
      <c r="BH151" s="62">
        <f t="shared" si="116"/>
        <v>849.65023880788613</v>
      </c>
      <c r="BI151" s="62">
        <f ca="1">AVERAGE(OFFSET($BH$3,0,0,'Données projet'!$E$11+1,1))-AVERAGE(OFFSET($H$3,0,0,'Données projet'!$E$11+1,1))</f>
        <v>387.04070351732537</v>
      </c>
      <c r="BJ151" s="62">
        <f t="shared" si="146"/>
        <v>246.54010105494137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0.10947059172526358</v>
      </c>
      <c r="BR151" s="23">
        <f>EXP(-LN(2)/2)*BR150+(1-EXP(-LN(2)/2))/(LN(2)/2)*BL151*BO151*VLOOKUP('Données projet'!$B$11,Paramètres!$A$1:$I$89,3,0)*0.475*44/12</f>
        <v>2.3271167471418869E-17</v>
      </c>
      <c r="BS151" s="24">
        <f t="shared" si="117"/>
        <v>0.10947059172526361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2.8421709430404007E-14</v>
      </c>
      <c r="BZ151" s="14">
        <f>BY151*VLOOKUP('Données projet'!$B$12,Paramètres!$A$1:$I$89,3,0)*VLOOKUP('Données projet'!$B$12,Paramètres!$A$1:$I$89,5,0)</f>
        <v>2.4829205358400945E-14</v>
      </c>
      <c r="CA151" s="14">
        <f t="shared" si="147"/>
        <v>4.3867331143352915E-13</v>
      </c>
      <c r="CB151" s="22">
        <f t="shared" si="118"/>
        <v>8.0726688341261168E-13</v>
      </c>
      <c r="CC151" s="62">
        <f t="shared" si="119"/>
        <v>293.33333333333411</v>
      </c>
      <c r="CD151" s="62">
        <f ca="1">AVERAGE(OFFSET($CC$3,0,0,'Données projet'!$E$12+1,1))-AVERAGE(OFFSET($H$3,0,0,'Données projet'!$E$12+1,1))</f>
        <v>327.62212115491479</v>
      </c>
      <c r="CE151" s="62">
        <f t="shared" si="148"/>
        <v>348.84706693879735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0.93253359130047064</v>
      </c>
      <c r="CM151" s="23">
        <f>EXP(-LN(2)/2)*CM150+(1-EXP(-LN(2)/2))/(LN(2)/2)*CG151*CJ151*VLOOKUP('Données projet'!$B$12,Paramètres!$A$1:$I$89,3,0)*0.475*44/12</f>
        <v>1.4760436111732839E-16</v>
      </c>
      <c r="CN151" s="24">
        <f t="shared" si="120"/>
        <v>0.93253359130047075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4.1677594708744434E-14</v>
      </c>
      <c r="CV151" s="14">
        <f t="shared" si="149"/>
        <v>6.9326303456159188E-13</v>
      </c>
      <c r="CW151" s="22">
        <f t="shared" si="121"/>
        <v>1.2800215959791691E-12</v>
      </c>
      <c r="CX151" s="62">
        <f t="shared" si="122"/>
        <v>293.33333333333462</v>
      </c>
      <c r="CY151" s="62">
        <f ca="1">AVERAGE(OFFSET($CX$3,0,0,'Données projet'!$E$13+1,1))-AVERAGE(OFFSET($H$3,0,0,'Données projet'!$E$13+1,1))</f>
        <v>277.97613250285963</v>
      </c>
      <c r="CZ151" s="62">
        <f t="shared" si="150"/>
        <v>274.55710362891892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0.77484930842474165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0.77484930842474165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266</v>
      </c>
      <c r="O152" s="14">
        <f>N152*VLOOKUP('Données projet'!$B$9,Paramètres!$A$1:$I$89,3,0)*VLOOKUP('Données projet'!$B$9,Paramètres!$A$1:$I$89,5,0)</f>
        <v>240.67680000000001</v>
      </c>
      <c r="P152" s="14">
        <f t="shared" si="141"/>
        <v>58.585123425001029</v>
      </c>
      <c r="Q152" s="22">
        <f t="shared" si="108"/>
        <v>521.21451663187679</v>
      </c>
      <c r="R152" s="62">
        <f t="shared" si="109"/>
        <v>814.54784996521016</v>
      </c>
      <c r="S152" s="62">
        <f ca="1">AVERAGE(OFFSET($R$3,0,0,'Données projet'!$E$9+1,1))-AVERAGE(OFFSET($H$3,0,0,'Données projet'!$E$9+1,1))</f>
        <v>364.63511534965755</v>
      </c>
      <c r="T152" s="62">
        <f t="shared" si="142"/>
        <v>233.32640143610541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9.9607621499810062E-2</v>
      </c>
      <c r="AB152" s="23">
        <f>EXP(-LN(2)/2)*AB151+(1-EXP(-LN(2)/2))/(LN(2)/2)*V152*Y152*VLOOKUP('Données projet'!$B$9,Paramètres!$A$1:$I$89,3,0)*0.475*44/12</f>
        <v>1.5393574497737879E-17</v>
      </c>
      <c r="AC152" s="24">
        <f t="shared" si="111"/>
        <v>9.9607621499810076E-2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266</v>
      </c>
      <c r="AJ152" s="14">
        <f>AI152*VLOOKUP('Données projet'!$B$10,Paramètres!$A$1:$I$89,3,0)*VLOOKUP('Données projet'!$B$10,Paramètres!$A$1:$I$89,5,0)</f>
        <v>269.72400000000005</v>
      </c>
      <c r="AK152" s="14">
        <f t="shared" si="143"/>
        <v>64.790691635967406</v>
      </c>
      <c r="AL152" s="22">
        <f t="shared" si="112"/>
        <v>582.61308793264323</v>
      </c>
      <c r="AM152" s="62">
        <f t="shared" si="113"/>
        <v>875.9464212659766</v>
      </c>
      <c r="AN152" s="62">
        <f ca="1">AVERAGE(OFFSET($AM$3,0,0,'Données projet'!$E$10+1,1))-AVERAGE(OFFSET($H$3,0,0,'Données projet'!$E$10+1,1))</f>
        <v>403.82490501309815</v>
      </c>
      <c r="AO152" s="62">
        <f t="shared" si="144"/>
        <v>256.4377087753457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0.11162923099116652</v>
      </c>
      <c r="AW152" s="23">
        <f>EXP(-LN(2)/2)*AW151+(1-EXP(-LN(2)/2))/(LN(2)/2)*AQ152*AT152*VLOOKUP('Données projet'!$B$10,Paramètres!$A$1:$I$89,3,0)*0.475*44/12</f>
        <v>1.7251419695740728E-17</v>
      </c>
      <c r="AX152" s="23">
        <f t="shared" si="114"/>
        <v>0.11162923099116653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266</v>
      </c>
      <c r="BE152" s="14">
        <f>BD152*VLOOKUP('Données projet'!$B$11,Paramètres!$A$1:$I$89,3,0)*VLOOKUP('Données projet'!$B$11,Paramètres!$A$1:$I$89,5,0)</f>
        <v>257.27519999999998</v>
      </c>
      <c r="BF152" s="14">
        <f t="shared" si="145"/>
        <v>62.141205057159596</v>
      </c>
      <c r="BG152" s="22">
        <f t="shared" si="115"/>
        <v>556.31690547455287</v>
      </c>
      <c r="BH152" s="62">
        <f t="shared" si="116"/>
        <v>849.65023880788613</v>
      </c>
      <c r="BI152" s="62">
        <f ca="1">AVERAGE(OFFSET($BH$3,0,0,'Données projet'!$E$11+1,1))-AVERAGE(OFFSET($H$3,0,0,'Données projet'!$E$11+1,1))</f>
        <v>387.04070351732537</v>
      </c>
      <c r="BJ152" s="62">
        <f t="shared" si="146"/>
        <v>246.54010105494137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0.10647711263772802</v>
      </c>
      <c r="BR152" s="23">
        <f>EXP(-LN(2)/2)*BR151+(1-EXP(-LN(2)/2))/(LN(2)/2)*BL152*BO152*VLOOKUP('Données projet'!$B$11,Paramètres!$A$1:$I$89,3,0)*0.475*44/12</f>
        <v>1.6455200325168085E-17</v>
      </c>
      <c r="BS152" s="24">
        <f t="shared" si="117"/>
        <v>0.10647711263772804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2.8421709430404007E-14</v>
      </c>
      <c r="BZ152" s="14">
        <f>BY152*VLOOKUP('Données projet'!$B$12,Paramètres!$A$1:$I$89,3,0)*VLOOKUP('Données projet'!$B$12,Paramètres!$A$1:$I$89,5,0)</f>
        <v>2.4829205358400945E-14</v>
      </c>
      <c r="CA152" s="14">
        <f t="shared" si="147"/>
        <v>4.3867331143352915E-13</v>
      </c>
      <c r="CB152" s="22">
        <f t="shared" si="118"/>
        <v>8.0726688341261168E-13</v>
      </c>
      <c r="CC152" s="62">
        <f t="shared" si="119"/>
        <v>293.33333333333411</v>
      </c>
      <c r="CD152" s="62">
        <f ca="1">AVERAGE(OFFSET($CC$3,0,0,'Données projet'!$E$12+1,1))-AVERAGE(OFFSET($H$3,0,0,'Données projet'!$E$12+1,1))</f>
        <v>327.62212115491479</v>
      </c>
      <c r="CE152" s="62">
        <f t="shared" si="148"/>
        <v>348.84706693879735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0.90703341120654901</v>
      </c>
      <c r="CM152" s="23">
        <f>EXP(-LN(2)/2)*CM151+(1-EXP(-LN(2)/2))/(LN(2)/2)*CG152*CJ152*VLOOKUP('Données projet'!$B$12,Paramètres!$A$1:$I$89,3,0)*0.475*44/12</f>
        <v>1.0437204467877087E-16</v>
      </c>
      <c r="CN152" s="24">
        <f t="shared" si="120"/>
        <v>0.90703341120654912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4.1677594708744434E-14</v>
      </c>
      <c r="CV152" s="14">
        <f t="shared" si="149"/>
        <v>6.9326303456159188E-13</v>
      </c>
      <c r="CW152" s="22">
        <f t="shared" si="121"/>
        <v>1.2800215959791691E-12</v>
      </c>
      <c r="CX152" s="62">
        <f t="shared" si="122"/>
        <v>293.33333333333462</v>
      </c>
      <c r="CY152" s="62">
        <f ca="1">AVERAGE(OFFSET($CX$3,0,0,'Données projet'!$E$13+1,1))-AVERAGE(OFFSET($H$3,0,0,'Données projet'!$E$13+1,1))</f>
        <v>277.97613250285963</v>
      </c>
      <c r="CZ152" s="62">
        <f t="shared" si="150"/>
        <v>274.55710362891892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0.75965498609794413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0.75965498609794413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266</v>
      </c>
      <c r="O153" s="14">
        <f>N153*VLOOKUP('Données projet'!$B$9,Paramètres!$A$1:$I$89,3,0)*VLOOKUP('Données projet'!$B$9,Paramètres!$A$1:$I$89,5,0)</f>
        <v>240.67680000000001</v>
      </c>
      <c r="P153" s="14">
        <f t="shared" si="141"/>
        <v>58.585123425001029</v>
      </c>
      <c r="Q153" s="22">
        <f t="shared" si="108"/>
        <v>521.21451663187679</v>
      </c>
      <c r="R153" s="62">
        <f t="shared" si="109"/>
        <v>814.54784996521016</v>
      </c>
      <c r="S153" s="62">
        <f ca="1">AVERAGE(OFFSET($R$3,0,0,'Données projet'!$E$9+1,1))-AVERAGE(OFFSET($H$3,0,0,'Données projet'!$E$9+1,1))</f>
        <v>364.63511534965755</v>
      </c>
      <c r="T153" s="62">
        <f t="shared" si="142"/>
        <v>233.32640143610541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9.6883845851760603E-2</v>
      </c>
      <c r="AB153" s="23">
        <f>EXP(-LN(2)/2)*AB152+(1-EXP(-LN(2)/2))/(LN(2)/2)*V153*Y153*VLOOKUP('Données projet'!$B$9,Paramètres!$A$1:$I$89,3,0)*0.475*44/12</f>
        <v>1.0884900914050756E-17</v>
      </c>
      <c r="AC153" s="24">
        <f t="shared" si="111"/>
        <v>9.6883845851760617E-2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266</v>
      </c>
      <c r="AJ153" s="14">
        <f>AI153*VLOOKUP('Données projet'!$B$10,Paramètres!$A$1:$I$89,3,0)*VLOOKUP('Données projet'!$B$10,Paramètres!$A$1:$I$89,5,0)</f>
        <v>269.72400000000005</v>
      </c>
      <c r="AK153" s="14">
        <f t="shared" si="143"/>
        <v>64.790691635967406</v>
      </c>
      <c r="AL153" s="22">
        <f t="shared" si="112"/>
        <v>582.61308793264323</v>
      </c>
      <c r="AM153" s="62">
        <f t="shared" si="113"/>
        <v>875.9464212659766</v>
      </c>
      <c r="AN153" s="62">
        <f ca="1">AVERAGE(OFFSET($AM$3,0,0,'Données projet'!$E$10+1,1))-AVERAGE(OFFSET($H$3,0,0,'Données projet'!$E$10+1,1))</f>
        <v>403.82490501309815</v>
      </c>
      <c r="AO153" s="62">
        <f t="shared" si="144"/>
        <v>256.4377087753457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0.10857672379938695</v>
      </c>
      <c r="AW153" s="23">
        <f>EXP(-LN(2)/2)*AW152+(1-EXP(-LN(2)/2))/(LN(2)/2)*AQ153*AT153*VLOOKUP('Données projet'!$B$10,Paramètres!$A$1:$I$89,3,0)*0.475*44/12</f>
        <v>1.2198595851953435E-17</v>
      </c>
      <c r="AX153" s="23">
        <f t="shared" si="114"/>
        <v>0.10857672379938696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266</v>
      </c>
      <c r="BE153" s="14">
        <f>BD153*VLOOKUP('Données projet'!$B$11,Paramètres!$A$1:$I$89,3,0)*VLOOKUP('Données projet'!$B$11,Paramètres!$A$1:$I$89,5,0)</f>
        <v>257.27519999999998</v>
      </c>
      <c r="BF153" s="14">
        <f t="shared" si="145"/>
        <v>62.141205057159596</v>
      </c>
      <c r="BG153" s="22">
        <f t="shared" si="115"/>
        <v>556.31690547455287</v>
      </c>
      <c r="BH153" s="62">
        <f t="shared" si="116"/>
        <v>849.65023880788613</v>
      </c>
      <c r="BI153" s="62">
        <f ca="1">AVERAGE(OFFSET($BH$3,0,0,'Données projet'!$E$11+1,1))-AVERAGE(OFFSET($H$3,0,0,'Données projet'!$E$11+1,1))</f>
        <v>387.04070351732537</v>
      </c>
      <c r="BJ153" s="62">
        <f t="shared" si="146"/>
        <v>246.54010105494137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0.10356549039326135</v>
      </c>
      <c r="BR153" s="23">
        <f>EXP(-LN(2)/2)*BR152+(1-EXP(-LN(2)/2))/(LN(2)/2)*BL153*BO153*VLOOKUP('Données projet'!$B$11,Paramètres!$A$1:$I$89,3,0)*0.475*44/12</f>
        <v>1.1635583735709435E-17</v>
      </c>
      <c r="BS153" s="24">
        <f t="shared" si="117"/>
        <v>0.10356549039326136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2.8421709430404007E-14</v>
      </c>
      <c r="BZ153" s="14">
        <f>BY153*VLOOKUP('Données projet'!$B$12,Paramètres!$A$1:$I$89,3,0)*VLOOKUP('Données projet'!$B$12,Paramètres!$A$1:$I$89,5,0)</f>
        <v>2.4829205358400945E-14</v>
      </c>
      <c r="CA153" s="14">
        <f t="shared" si="147"/>
        <v>4.3867331143352915E-13</v>
      </c>
      <c r="CB153" s="22">
        <f t="shared" si="118"/>
        <v>8.0726688341261168E-13</v>
      </c>
      <c r="CC153" s="62">
        <f t="shared" si="119"/>
        <v>293.33333333333411</v>
      </c>
      <c r="CD153" s="62">
        <f ca="1">AVERAGE(OFFSET($CC$3,0,0,'Données projet'!$E$12+1,1))-AVERAGE(OFFSET($H$3,0,0,'Données projet'!$E$12+1,1))</f>
        <v>327.62212115491479</v>
      </c>
      <c r="CE153" s="62">
        <f t="shared" si="148"/>
        <v>348.84706693879735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0.88223053487829184</v>
      </c>
      <c r="CM153" s="23">
        <f>EXP(-LN(2)/2)*CM152+(1-EXP(-LN(2)/2))/(LN(2)/2)*CG153*CJ153*VLOOKUP('Données projet'!$B$12,Paramètres!$A$1:$I$89,3,0)*0.475*44/12</f>
        <v>7.3802180558664194E-17</v>
      </c>
      <c r="CN153" s="24">
        <f t="shared" si="120"/>
        <v>0.88223053487829195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4.1677594708744434E-14</v>
      </c>
      <c r="CV153" s="14">
        <f t="shared" si="149"/>
        <v>6.9326303456159188E-13</v>
      </c>
      <c r="CW153" s="22">
        <f t="shared" si="121"/>
        <v>1.2800215959791691E-12</v>
      </c>
      <c r="CX153" s="62">
        <f t="shared" si="122"/>
        <v>293.33333333333462</v>
      </c>
      <c r="CY153" s="62">
        <f ca="1">AVERAGE(OFFSET($CX$3,0,0,'Données projet'!$E$13+1,1))-AVERAGE(OFFSET($H$3,0,0,'Données projet'!$E$13+1,1))</f>
        <v>277.97613250285963</v>
      </c>
      <c r="CZ153" s="62">
        <f t="shared" si="150"/>
        <v>274.55710362891892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0.7447586151643536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0.7447586151643536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266</v>
      </c>
      <c r="O154" s="14">
        <f>N154*VLOOKUP('Données projet'!$B$9,Paramètres!$A$1:$I$89,3,0)*VLOOKUP('Données projet'!$B$9,Paramètres!$A$1:$I$89,5,0)</f>
        <v>240.67680000000001</v>
      </c>
      <c r="P154" s="14">
        <f t="shared" si="141"/>
        <v>58.585123425001029</v>
      </c>
      <c r="Q154" s="22">
        <f t="shared" ref="Q154:Q203" si="162">(O154+P154)*0.475*44/12</f>
        <v>521.21451663187679</v>
      </c>
      <c r="R154" s="62">
        <f t="shared" si="109"/>
        <v>814.54784996521016</v>
      </c>
      <c r="S154" s="62">
        <f ca="1">AVERAGE(OFFSET($R$3,0,0,'Données projet'!$E$9+1,1))-AVERAGE(OFFSET($H$3,0,0,'Données projet'!$E$9+1,1))</f>
        <v>364.63511534965755</v>
      </c>
      <c r="T154" s="62">
        <f t="shared" si="142"/>
        <v>233.32640143610541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9.4234551992044183E-2</v>
      </c>
      <c r="AB154" s="23">
        <f>EXP(-LN(2)/2)*AB153+(1-EXP(-LN(2)/2))/(LN(2)/2)*V154*Y154*VLOOKUP('Données projet'!$B$9,Paramètres!$A$1:$I$89,3,0)*0.475*44/12</f>
        <v>7.6967872488689393E-18</v>
      </c>
      <c r="AC154" s="24">
        <f t="shared" ref="AC154:AC203" si="163">SUM(Z154:AB154)</f>
        <v>9.4234551992044197E-2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266</v>
      </c>
      <c r="AJ154" s="14">
        <f>AI154*VLOOKUP('Données projet'!$B$10,Paramètres!$A$1:$I$89,3,0)*VLOOKUP('Données projet'!$B$10,Paramètres!$A$1:$I$89,5,0)</f>
        <v>269.72400000000005</v>
      </c>
      <c r="AK154" s="14">
        <f t="shared" ref="AK154:AK203" si="164">EXP(-1.0587+0.8836*LN(AJ154)+0.284)</f>
        <v>64.790691635967406</v>
      </c>
      <c r="AL154" s="22">
        <f t="shared" ref="AL154:AL203" si="165">(AJ154+AK154)*0.475*44/12</f>
        <v>582.61308793264323</v>
      </c>
      <c r="AM154" s="62">
        <f t="shared" si="113"/>
        <v>875.9464212659766</v>
      </c>
      <c r="AN154" s="62">
        <f ca="1">AVERAGE(OFFSET($AM$3,0,0,'Données projet'!$E$10+1,1))-AVERAGE(OFFSET($H$3,0,0,'Données projet'!$E$10+1,1))</f>
        <v>403.82490501309815</v>
      </c>
      <c r="AO154" s="62">
        <f t="shared" si="144"/>
        <v>256.4377087753457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0.10560768757729096</v>
      </c>
      <c r="AW154" s="23">
        <f>EXP(-LN(2)/2)*AW153+(1-EXP(-LN(2)/2))/(LN(2)/2)*AQ154*AT154*VLOOKUP('Données projet'!$B$10,Paramètres!$A$1:$I$89,3,0)*0.475*44/12</f>
        <v>8.6257098478703638E-18</v>
      </c>
      <c r="AX154" s="23">
        <f t="shared" ref="AX154:AX203" si="166">SUM(AU154:AW154)</f>
        <v>0.10560768757729097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266</v>
      </c>
      <c r="BE154" s="14">
        <f>BD154*VLOOKUP('Données projet'!$B$11,Paramètres!$A$1:$I$89,3,0)*VLOOKUP('Données projet'!$B$11,Paramètres!$A$1:$I$89,5,0)</f>
        <v>257.27519999999998</v>
      </c>
      <c r="BF154" s="14">
        <f t="shared" ref="BF154:BF203" si="167">EXP(-1.0587+0.8836*LN(BE154)+0.284)</f>
        <v>62.141205057159596</v>
      </c>
      <c r="BG154" s="22">
        <f t="shared" ref="BG154:BG203" si="168">(BE154+BF154)*0.475*44/12</f>
        <v>556.31690547455287</v>
      </c>
      <c r="BH154" s="62">
        <f t="shared" si="116"/>
        <v>849.65023880788613</v>
      </c>
      <c r="BI154" s="62">
        <f ca="1">AVERAGE(OFFSET($BH$3,0,0,'Données projet'!$E$11+1,1))-AVERAGE(OFFSET($H$3,0,0,'Données projet'!$E$11+1,1))</f>
        <v>387.04070351732537</v>
      </c>
      <c r="BJ154" s="62">
        <f t="shared" si="146"/>
        <v>246.54010105494137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0.10073348661218517</v>
      </c>
      <c r="BR154" s="23">
        <f>EXP(-LN(2)/2)*BR153+(1-EXP(-LN(2)/2))/(LN(2)/2)*BL154*BO154*VLOOKUP('Données projet'!$B$11,Paramètres!$A$1:$I$89,3,0)*0.475*44/12</f>
        <v>8.2276001625840423E-18</v>
      </c>
      <c r="BS154" s="24">
        <f t="shared" ref="BS154:BS203" si="169">SUM(BP154:BR154)</f>
        <v>0.10073348661218519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2.8421709430404007E-14</v>
      </c>
      <c r="BZ154" s="14">
        <f>BY154*VLOOKUP('Données projet'!$B$12,Paramètres!$A$1:$I$89,3,0)*VLOOKUP('Données projet'!$B$12,Paramètres!$A$1:$I$89,5,0)</f>
        <v>2.4829205358400945E-14</v>
      </c>
      <c r="CA154" s="14">
        <f t="shared" ref="CA154:CA203" si="170">EXP(-1.0587+0.8836*LN(BZ154)+0.284)</f>
        <v>4.3867331143352915E-13</v>
      </c>
      <c r="CB154" s="22">
        <f t="shared" ref="CB154:CB203" si="171">(BZ154+CA154)*0.475*44/12</f>
        <v>8.0726688341261168E-13</v>
      </c>
      <c r="CC154" s="62">
        <f t="shared" si="119"/>
        <v>293.33333333333411</v>
      </c>
      <c r="CD154" s="62">
        <f ca="1">AVERAGE(OFFSET($CC$3,0,0,'Données projet'!$E$12+1,1))-AVERAGE(OFFSET($H$3,0,0,'Données projet'!$E$12+1,1))</f>
        <v>327.62212115491479</v>
      </c>
      <c r="CE154" s="62">
        <f t="shared" si="148"/>
        <v>348.84706693879735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0.85810589450755748</v>
      </c>
      <c r="CM154" s="23">
        <f>EXP(-LN(2)/2)*CM153+(1-EXP(-LN(2)/2))/(LN(2)/2)*CG154*CJ154*VLOOKUP('Données projet'!$B$12,Paramètres!$A$1:$I$89,3,0)*0.475*44/12</f>
        <v>5.2186022339385435E-17</v>
      </c>
      <c r="CN154" s="24">
        <f t="shared" ref="CN154:CN203" si="172">SUM(CK154:CM154)</f>
        <v>0.85810589450755748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4.1677594708744434E-14</v>
      </c>
      <c r="CV154" s="14">
        <f t="shared" ref="CV154:CV203" si="173">EXP(-1.0587+0.8836*LN(CU154)+0.284)</f>
        <v>6.9326303456159188E-13</v>
      </c>
      <c r="CW154" s="22">
        <f t="shared" ref="CW154:CW203" si="174">(CU154+CV154)*0.475*44/12</f>
        <v>1.2800215959791691E-12</v>
      </c>
      <c r="CX154" s="62">
        <f t="shared" si="122"/>
        <v>293.33333333333462</v>
      </c>
      <c r="CY154" s="62">
        <f ca="1">AVERAGE(OFFSET($CX$3,0,0,'Données projet'!$E$13+1,1))-AVERAGE(OFFSET($H$3,0,0,'Données projet'!$E$13+1,1))</f>
        <v>277.97613250285963</v>
      </c>
      <c r="CZ154" s="62">
        <f t="shared" si="150"/>
        <v>274.55710362891892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0.73015435297888165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0.73015435297888165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266</v>
      </c>
      <c r="O155" s="14">
        <f>N155*VLOOKUP('Données projet'!$B$9,Paramètres!$A$1:$I$89,3,0)*VLOOKUP('Données projet'!$B$9,Paramètres!$A$1:$I$89,5,0)</f>
        <v>240.67680000000001</v>
      </c>
      <c r="P155" s="14">
        <f t="shared" si="141"/>
        <v>58.585123425001029</v>
      </c>
      <c r="Q155" s="22">
        <f t="shared" si="162"/>
        <v>521.21451663187679</v>
      </c>
      <c r="R155" s="62">
        <f t="shared" si="109"/>
        <v>814.54784996521016</v>
      </c>
      <c r="S155" s="62">
        <f ca="1">AVERAGE(OFFSET($R$3,0,0,'Données projet'!$E$9+1,1))-AVERAGE(OFFSET($H$3,0,0,'Données projet'!$E$9+1,1))</f>
        <v>364.63511534965755</v>
      </c>
      <c r="T155" s="62">
        <f t="shared" si="142"/>
        <v>233.32640143610541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9.1657703212242023E-2</v>
      </c>
      <c r="AB155" s="23">
        <f>EXP(-LN(2)/2)*AB154+(1-EXP(-LN(2)/2))/(LN(2)/2)*V155*Y155*VLOOKUP('Données projet'!$B$9,Paramètres!$A$1:$I$89,3,0)*0.475*44/12</f>
        <v>5.4424504570253782E-18</v>
      </c>
      <c r="AC155" s="24">
        <f t="shared" si="163"/>
        <v>9.1657703212242023E-2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266</v>
      </c>
      <c r="AJ155" s="14">
        <f>AI155*VLOOKUP('Données projet'!$B$10,Paramètres!$A$1:$I$89,3,0)*VLOOKUP('Données projet'!$B$10,Paramètres!$A$1:$I$89,5,0)</f>
        <v>269.72400000000005</v>
      </c>
      <c r="AK155" s="14">
        <f t="shared" si="164"/>
        <v>64.790691635967406</v>
      </c>
      <c r="AL155" s="22">
        <f t="shared" si="165"/>
        <v>582.61308793264323</v>
      </c>
      <c r="AM155" s="62">
        <f t="shared" si="113"/>
        <v>875.9464212659766</v>
      </c>
      <c r="AN155" s="62">
        <f ca="1">AVERAGE(OFFSET($AM$3,0,0,'Données projet'!$E$10+1,1))-AVERAGE(OFFSET($H$3,0,0,'Données projet'!$E$10+1,1))</f>
        <v>403.82490501309815</v>
      </c>
      <c r="AO155" s="62">
        <f t="shared" si="144"/>
        <v>256.4377087753457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0.10271983980682302</v>
      </c>
      <c r="AW155" s="23">
        <f>EXP(-LN(2)/2)*AW154+(1-EXP(-LN(2)/2))/(LN(2)/2)*AQ155*AT155*VLOOKUP('Données projet'!$B$10,Paramètres!$A$1:$I$89,3,0)*0.475*44/12</f>
        <v>6.0992979259767175E-18</v>
      </c>
      <c r="AX155" s="23">
        <f t="shared" si="166"/>
        <v>0.10271983980682302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266</v>
      </c>
      <c r="BE155" s="14">
        <f>BD155*VLOOKUP('Données projet'!$B$11,Paramètres!$A$1:$I$89,3,0)*VLOOKUP('Données projet'!$B$11,Paramètres!$A$1:$I$89,5,0)</f>
        <v>257.27519999999998</v>
      </c>
      <c r="BF155" s="14">
        <f t="shared" si="167"/>
        <v>62.141205057159596</v>
      </c>
      <c r="BG155" s="22">
        <f t="shared" si="168"/>
        <v>556.31690547455287</v>
      </c>
      <c r="BH155" s="62">
        <f t="shared" si="116"/>
        <v>849.65023880788613</v>
      </c>
      <c r="BI155" s="62">
        <f ca="1">AVERAGE(OFFSET($BH$3,0,0,'Données projet'!$E$11+1,1))-AVERAGE(OFFSET($H$3,0,0,'Données projet'!$E$11+1,1))</f>
        <v>387.04070351732537</v>
      </c>
      <c r="BJ155" s="62">
        <f t="shared" si="146"/>
        <v>246.54010105494137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9.7978924123431135E-2</v>
      </c>
      <c r="BR155" s="23">
        <f>EXP(-LN(2)/2)*BR154+(1-EXP(-LN(2)/2))/(LN(2)/2)*BL155*BO155*VLOOKUP('Données projet'!$B$11,Paramètres!$A$1:$I$89,3,0)*0.475*44/12</f>
        <v>5.8177918678547174E-18</v>
      </c>
      <c r="BS155" s="24">
        <f t="shared" si="169"/>
        <v>9.7978924123431135E-2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2.8421709430404007E-14</v>
      </c>
      <c r="BZ155" s="14">
        <f>BY155*VLOOKUP('Données projet'!$B$12,Paramètres!$A$1:$I$89,3,0)*VLOOKUP('Données projet'!$B$12,Paramètres!$A$1:$I$89,5,0)</f>
        <v>2.4829205358400945E-14</v>
      </c>
      <c r="CA155" s="14">
        <f t="shared" si="170"/>
        <v>4.3867331143352915E-13</v>
      </c>
      <c r="CB155" s="22">
        <f t="shared" si="171"/>
        <v>8.0726688341261168E-13</v>
      </c>
      <c r="CC155" s="62">
        <f t="shared" si="119"/>
        <v>293.33333333333411</v>
      </c>
      <c r="CD155" s="62">
        <f ca="1">AVERAGE(OFFSET($CC$3,0,0,'Données projet'!$E$12+1,1))-AVERAGE(OFFSET($H$3,0,0,'Données projet'!$E$12+1,1))</f>
        <v>327.62212115491479</v>
      </c>
      <c r="CE155" s="62">
        <f t="shared" si="148"/>
        <v>348.84706693879735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0.8346409436964205</v>
      </c>
      <c r="CM155" s="23">
        <f>EXP(-LN(2)/2)*CM154+(1-EXP(-LN(2)/2))/(LN(2)/2)*CG155*CJ155*VLOOKUP('Données projet'!$B$12,Paramètres!$A$1:$I$89,3,0)*0.475*44/12</f>
        <v>3.6901090279332097E-17</v>
      </c>
      <c r="CN155" s="24">
        <f t="shared" si="172"/>
        <v>0.8346409436964205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4.1677594708744434E-14</v>
      </c>
      <c r="CV155" s="14">
        <f t="shared" si="173"/>
        <v>6.9326303456159188E-13</v>
      </c>
      <c r="CW155" s="22">
        <f t="shared" si="174"/>
        <v>1.2800215959791691E-12</v>
      </c>
      <c r="CX155" s="62">
        <f t="shared" si="122"/>
        <v>293.33333333333462</v>
      </c>
      <c r="CY155" s="62">
        <f ca="1">AVERAGE(OFFSET($CX$3,0,0,'Données projet'!$E$13+1,1))-AVERAGE(OFFSET($H$3,0,0,'Données projet'!$E$13+1,1))</f>
        <v>277.97613250285963</v>
      </c>
      <c r="CZ155" s="62">
        <f t="shared" si="150"/>
        <v>274.55710362891892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0.71583647146714646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0.71583647146714646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266</v>
      </c>
      <c r="O156" s="14">
        <f>N156*VLOOKUP('Données projet'!$B$9,Paramètres!$A$1:$I$89,3,0)*VLOOKUP('Données projet'!$B$9,Paramètres!$A$1:$I$89,5,0)</f>
        <v>240.67680000000001</v>
      </c>
      <c r="P156" s="14">
        <f t="shared" si="141"/>
        <v>58.585123425001029</v>
      </c>
      <c r="Q156" s="22">
        <f t="shared" si="162"/>
        <v>521.21451663187679</v>
      </c>
      <c r="R156" s="62">
        <f t="shared" si="109"/>
        <v>814.54784996521016</v>
      </c>
      <c r="S156" s="62">
        <f ca="1">AVERAGE(OFFSET($R$3,0,0,'Données projet'!$E$9+1,1))-AVERAGE(OFFSET($H$3,0,0,'Données projet'!$E$9+1,1))</f>
        <v>364.63511534965755</v>
      </c>
      <c r="T156" s="62">
        <f t="shared" si="142"/>
        <v>233.32640143610541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8.9151318497834142E-2</v>
      </c>
      <c r="AB156" s="23">
        <f>EXP(-LN(2)/2)*AB155+(1-EXP(-LN(2)/2))/(LN(2)/2)*V156*Y156*VLOOKUP('Données projet'!$B$9,Paramètres!$A$1:$I$89,3,0)*0.475*44/12</f>
        <v>3.8483936244344696E-18</v>
      </c>
      <c r="AC156" s="24">
        <f t="shared" si="163"/>
        <v>8.9151318497834142E-2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266</v>
      </c>
      <c r="AJ156" s="14">
        <f>AI156*VLOOKUP('Données projet'!$B$10,Paramètres!$A$1:$I$89,3,0)*VLOOKUP('Données projet'!$B$10,Paramètres!$A$1:$I$89,5,0)</f>
        <v>269.72400000000005</v>
      </c>
      <c r="AK156" s="14">
        <f t="shared" si="164"/>
        <v>64.790691635967406</v>
      </c>
      <c r="AL156" s="22">
        <f t="shared" si="165"/>
        <v>582.61308793264323</v>
      </c>
      <c r="AM156" s="62">
        <f t="shared" si="113"/>
        <v>875.9464212659766</v>
      </c>
      <c r="AN156" s="62">
        <f ca="1">AVERAGE(OFFSET($AM$3,0,0,'Données projet'!$E$10+1,1))-AVERAGE(OFFSET($H$3,0,0,'Données projet'!$E$10+1,1))</f>
        <v>403.82490501309815</v>
      </c>
      <c r="AO156" s="62">
        <f t="shared" si="144"/>
        <v>256.4377087753457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9.991096038550383E-2</v>
      </c>
      <c r="AW156" s="23">
        <f>EXP(-LN(2)/2)*AW155+(1-EXP(-LN(2)/2))/(LN(2)/2)*AQ156*AT156*VLOOKUP('Données projet'!$B$10,Paramètres!$A$1:$I$89,3,0)*0.475*44/12</f>
        <v>4.3128549239351819E-18</v>
      </c>
      <c r="AX156" s="23">
        <f t="shared" si="166"/>
        <v>9.991096038550383E-2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266</v>
      </c>
      <c r="BE156" s="14">
        <f>BD156*VLOOKUP('Données projet'!$B$11,Paramètres!$A$1:$I$89,3,0)*VLOOKUP('Données projet'!$B$11,Paramètres!$A$1:$I$89,5,0)</f>
        <v>257.27519999999998</v>
      </c>
      <c r="BF156" s="14">
        <f t="shared" si="167"/>
        <v>62.141205057159596</v>
      </c>
      <c r="BG156" s="22">
        <f t="shared" si="168"/>
        <v>556.31690547455287</v>
      </c>
      <c r="BH156" s="62">
        <f t="shared" si="116"/>
        <v>849.65023880788613</v>
      </c>
      <c r="BI156" s="62">
        <f ca="1">AVERAGE(OFFSET($BH$3,0,0,'Données projet'!$E$11+1,1))-AVERAGE(OFFSET($H$3,0,0,'Données projet'!$E$11+1,1))</f>
        <v>387.04070351732537</v>
      </c>
      <c r="BJ156" s="62">
        <f t="shared" si="146"/>
        <v>246.54010105494137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9.5299685290788222E-2</v>
      </c>
      <c r="BR156" s="23">
        <f>EXP(-LN(2)/2)*BR155+(1-EXP(-LN(2)/2))/(LN(2)/2)*BL156*BO156*VLOOKUP('Données projet'!$B$11,Paramètres!$A$1:$I$89,3,0)*0.475*44/12</f>
        <v>4.1138000812920212E-18</v>
      </c>
      <c r="BS156" s="24">
        <f t="shared" si="169"/>
        <v>9.5299685290788222E-2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2.8421709430404007E-14</v>
      </c>
      <c r="BZ156" s="14">
        <f>BY156*VLOOKUP('Données projet'!$B$12,Paramètres!$A$1:$I$89,3,0)*VLOOKUP('Données projet'!$B$12,Paramètres!$A$1:$I$89,5,0)</f>
        <v>2.4829205358400945E-14</v>
      </c>
      <c r="CA156" s="14">
        <f t="shared" si="170"/>
        <v>4.3867331143352915E-13</v>
      </c>
      <c r="CB156" s="22">
        <f t="shared" si="171"/>
        <v>8.0726688341261168E-13</v>
      </c>
      <c r="CC156" s="62">
        <f t="shared" si="119"/>
        <v>293.33333333333411</v>
      </c>
      <c r="CD156" s="62">
        <f ca="1">AVERAGE(OFFSET($CC$3,0,0,'Données projet'!$E$12+1,1))-AVERAGE(OFFSET($H$3,0,0,'Données projet'!$E$12+1,1))</f>
        <v>327.62212115491479</v>
      </c>
      <c r="CE156" s="62">
        <f t="shared" si="148"/>
        <v>348.84706693879735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0.81181764319918226</v>
      </c>
      <c r="CM156" s="23">
        <f>EXP(-LN(2)/2)*CM155+(1-EXP(-LN(2)/2))/(LN(2)/2)*CG156*CJ156*VLOOKUP('Données projet'!$B$12,Paramètres!$A$1:$I$89,3,0)*0.475*44/12</f>
        <v>2.6093011169692717E-17</v>
      </c>
      <c r="CN156" s="24">
        <f t="shared" si="172"/>
        <v>0.81181764319918226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4.1677594708744434E-14</v>
      </c>
      <c r="CV156" s="14">
        <f t="shared" si="173"/>
        <v>6.9326303456159188E-13</v>
      </c>
      <c r="CW156" s="22">
        <f t="shared" si="174"/>
        <v>1.2800215959791691E-12</v>
      </c>
      <c r="CX156" s="62">
        <f t="shared" si="122"/>
        <v>293.33333333333462</v>
      </c>
      <c r="CY156" s="62">
        <f ca="1">AVERAGE(OFFSET($CX$3,0,0,'Données projet'!$E$13+1,1))-AVERAGE(OFFSET($H$3,0,0,'Données projet'!$E$13+1,1))</f>
        <v>277.97613250285963</v>
      </c>
      <c r="CZ156" s="62">
        <f t="shared" si="150"/>
        <v>274.55710362891892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0.70179935487881095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0.70179935487881095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266</v>
      </c>
      <c r="O157" s="14">
        <f>N157*VLOOKUP('Données projet'!$B$9,Paramètres!$A$1:$I$89,3,0)*VLOOKUP('Données projet'!$B$9,Paramètres!$A$1:$I$89,5,0)</f>
        <v>240.67680000000001</v>
      </c>
      <c r="P157" s="14">
        <f t="shared" si="141"/>
        <v>58.585123425001029</v>
      </c>
      <c r="Q157" s="22">
        <f t="shared" si="162"/>
        <v>521.21451663187679</v>
      </c>
      <c r="R157" s="62">
        <f t="shared" si="109"/>
        <v>814.54784996521016</v>
      </c>
      <c r="S157" s="62">
        <f ca="1">AVERAGE(OFFSET($R$3,0,0,'Données projet'!$E$9+1,1))-AVERAGE(OFFSET($H$3,0,0,'Données projet'!$E$9+1,1))</f>
        <v>364.63511534965755</v>
      </c>
      <c r="T157" s="62">
        <f t="shared" si="142"/>
        <v>233.32640143610541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8.6713471005246789E-2</v>
      </c>
      <c r="AB157" s="23">
        <f>EXP(-LN(2)/2)*AB156+(1-EXP(-LN(2)/2))/(LN(2)/2)*V157*Y157*VLOOKUP('Données projet'!$B$9,Paramètres!$A$1:$I$89,3,0)*0.475*44/12</f>
        <v>2.7212252285126891E-18</v>
      </c>
      <c r="AC157" s="24">
        <f t="shared" si="163"/>
        <v>8.6713471005246789E-2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266</v>
      </c>
      <c r="AJ157" s="14">
        <f>AI157*VLOOKUP('Données projet'!$B$10,Paramètres!$A$1:$I$89,3,0)*VLOOKUP('Données projet'!$B$10,Paramètres!$A$1:$I$89,5,0)</f>
        <v>269.72400000000005</v>
      </c>
      <c r="AK157" s="14">
        <f t="shared" si="164"/>
        <v>64.790691635967406</v>
      </c>
      <c r="AL157" s="22">
        <f t="shared" si="165"/>
        <v>582.61308793264323</v>
      </c>
      <c r="AM157" s="62">
        <f t="shared" si="113"/>
        <v>875.9464212659766</v>
      </c>
      <c r="AN157" s="62">
        <f ca="1">AVERAGE(OFFSET($AM$3,0,0,'Données projet'!$E$10+1,1))-AVERAGE(OFFSET($H$3,0,0,'Données projet'!$E$10+1,1))</f>
        <v>403.82490501309815</v>
      </c>
      <c r="AO157" s="62">
        <f t="shared" si="144"/>
        <v>256.4377087753457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9.7178889919673175E-2</v>
      </c>
      <c r="AW157" s="23">
        <f>EXP(-LN(2)/2)*AW156+(1-EXP(-LN(2)/2))/(LN(2)/2)*AQ157*AT157*VLOOKUP('Données projet'!$B$10,Paramètres!$A$1:$I$89,3,0)*0.475*44/12</f>
        <v>3.0496489629883588E-18</v>
      </c>
      <c r="AX157" s="23">
        <f t="shared" si="166"/>
        <v>9.7178889919673175E-2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266</v>
      </c>
      <c r="BE157" s="14">
        <f>BD157*VLOOKUP('Données projet'!$B$11,Paramètres!$A$1:$I$89,3,0)*VLOOKUP('Données projet'!$B$11,Paramètres!$A$1:$I$89,5,0)</f>
        <v>257.27519999999998</v>
      </c>
      <c r="BF157" s="14">
        <f t="shared" si="167"/>
        <v>62.141205057159596</v>
      </c>
      <c r="BG157" s="22">
        <f t="shared" si="168"/>
        <v>556.31690547455287</v>
      </c>
      <c r="BH157" s="62">
        <f t="shared" si="116"/>
        <v>849.65023880788613</v>
      </c>
      <c r="BI157" s="62">
        <f ca="1">AVERAGE(OFFSET($BH$3,0,0,'Données projet'!$E$11+1,1))-AVERAGE(OFFSET($H$3,0,0,'Données projet'!$E$11+1,1))</f>
        <v>387.04070351732537</v>
      </c>
      <c r="BJ157" s="62">
        <f t="shared" si="146"/>
        <v>246.54010105494137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9.2693710384918984E-2</v>
      </c>
      <c r="BR157" s="23">
        <f>EXP(-LN(2)/2)*BR156+(1-EXP(-LN(2)/2))/(LN(2)/2)*BL157*BO157*VLOOKUP('Données projet'!$B$11,Paramètres!$A$1:$I$89,3,0)*0.475*44/12</f>
        <v>2.9088959339273587E-18</v>
      </c>
      <c r="BS157" s="24">
        <f t="shared" si="169"/>
        <v>9.2693710384918984E-2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2.8421709430404007E-14</v>
      </c>
      <c r="BZ157" s="14">
        <f>BY157*VLOOKUP('Données projet'!$B$12,Paramètres!$A$1:$I$89,3,0)*VLOOKUP('Données projet'!$B$12,Paramètres!$A$1:$I$89,5,0)</f>
        <v>2.4829205358400945E-14</v>
      </c>
      <c r="CA157" s="14">
        <f t="shared" si="170"/>
        <v>4.3867331143352915E-13</v>
      </c>
      <c r="CB157" s="22">
        <f t="shared" si="171"/>
        <v>8.0726688341261168E-13</v>
      </c>
      <c r="CC157" s="62">
        <f t="shared" si="119"/>
        <v>293.33333333333411</v>
      </c>
      <c r="CD157" s="62">
        <f ca="1">AVERAGE(OFFSET($CC$3,0,0,'Données projet'!$E$12+1,1))-AVERAGE(OFFSET($H$3,0,0,'Données projet'!$E$12+1,1))</f>
        <v>327.62212115491479</v>
      </c>
      <c r="CE157" s="62">
        <f t="shared" si="148"/>
        <v>348.84706693879735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0.7896184470542662</v>
      </c>
      <c r="CM157" s="23">
        <f>EXP(-LN(2)/2)*CM156+(1-EXP(-LN(2)/2))/(LN(2)/2)*CG157*CJ157*VLOOKUP('Données projet'!$B$12,Paramètres!$A$1:$I$89,3,0)*0.475*44/12</f>
        <v>1.8450545139666048E-17</v>
      </c>
      <c r="CN157" s="24">
        <f t="shared" si="172"/>
        <v>0.7896184470542662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4.1677594708744434E-14</v>
      </c>
      <c r="CV157" s="14">
        <f t="shared" si="173"/>
        <v>6.9326303456159188E-13</v>
      </c>
      <c r="CW157" s="22">
        <f t="shared" si="174"/>
        <v>1.2800215959791691E-12</v>
      </c>
      <c r="CX157" s="62">
        <f t="shared" si="122"/>
        <v>293.33333333333462</v>
      </c>
      <c r="CY157" s="62">
        <f ca="1">AVERAGE(OFFSET($CX$3,0,0,'Données projet'!$E$13+1,1))-AVERAGE(OFFSET($H$3,0,0,'Données projet'!$E$13+1,1))</f>
        <v>277.97613250285963</v>
      </c>
      <c r="CZ157" s="62">
        <f t="shared" si="150"/>
        <v>274.55710362891892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0.68803749758497701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0.68803749758497701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266</v>
      </c>
      <c r="O158" s="14">
        <f>N158*VLOOKUP('Données projet'!$B$9,Paramètres!$A$1:$I$89,3,0)*VLOOKUP('Données projet'!$B$9,Paramètres!$A$1:$I$89,5,0)</f>
        <v>240.67680000000001</v>
      </c>
      <c r="P158" s="14">
        <f t="shared" si="141"/>
        <v>58.585123425001029</v>
      </c>
      <c r="Q158" s="22">
        <f t="shared" si="162"/>
        <v>521.21451663187679</v>
      </c>
      <c r="R158" s="62">
        <f t="shared" si="109"/>
        <v>814.54784996521016</v>
      </c>
      <c r="S158" s="62">
        <f ca="1">AVERAGE(OFFSET($R$3,0,0,'Données projet'!$E$9+1,1))-AVERAGE(OFFSET($H$3,0,0,'Données projet'!$E$9+1,1))</f>
        <v>364.63511534965755</v>
      </c>
      <c r="T158" s="62">
        <f t="shared" si="142"/>
        <v>233.32640143610541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8.4342286580545059E-2</v>
      </c>
      <c r="AB158" s="23">
        <f>EXP(-LN(2)/2)*AB157+(1-EXP(-LN(2)/2))/(LN(2)/2)*V158*Y158*VLOOKUP('Données projet'!$B$9,Paramètres!$A$1:$I$89,3,0)*0.475*44/12</f>
        <v>1.9241968122172348E-18</v>
      </c>
      <c r="AC158" s="24">
        <f t="shared" si="163"/>
        <v>8.4342286580545059E-2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266</v>
      </c>
      <c r="AJ158" s="14">
        <f>AI158*VLOOKUP('Données projet'!$B$10,Paramètres!$A$1:$I$89,3,0)*VLOOKUP('Données projet'!$B$10,Paramètres!$A$1:$I$89,5,0)</f>
        <v>269.72400000000005</v>
      </c>
      <c r="AK158" s="14">
        <f t="shared" si="164"/>
        <v>64.790691635967406</v>
      </c>
      <c r="AL158" s="22">
        <f t="shared" si="165"/>
        <v>582.61308793264323</v>
      </c>
      <c r="AM158" s="62">
        <f t="shared" si="113"/>
        <v>875.9464212659766</v>
      </c>
      <c r="AN158" s="62">
        <f ca="1">AVERAGE(OFFSET($AM$3,0,0,'Données projet'!$E$10+1,1))-AVERAGE(OFFSET($H$3,0,0,'Données projet'!$E$10+1,1))</f>
        <v>403.82490501309815</v>
      </c>
      <c r="AO158" s="62">
        <f t="shared" si="144"/>
        <v>256.4377087753457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9.4521528064404003E-2</v>
      </c>
      <c r="AW158" s="23">
        <f>EXP(-LN(2)/2)*AW157+(1-EXP(-LN(2)/2))/(LN(2)/2)*AQ158*AT158*VLOOKUP('Données projet'!$B$10,Paramètres!$A$1:$I$89,3,0)*0.475*44/12</f>
        <v>2.156427461967591E-18</v>
      </c>
      <c r="AX158" s="23">
        <f t="shared" si="166"/>
        <v>9.4521528064404003E-2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266</v>
      </c>
      <c r="BE158" s="14">
        <f>BD158*VLOOKUP('Données projet'!$B$11,Paramètres!$A$1:$I$89,3,0)*VLOOKUP('Données projet'!$B$11,Paramètres!$A$1:$I$89,5,0)</f>
        <v>257.27519999999998</v>
      </c>
      <c r="BF158" s="14">
        <f t="shared" si="167"/>
        <v>62.141205057159596</v>
      </c>
      <c r="BG158" s="22">
        <f t="shared" si="168"/>
        <v>556.31690547455287</v>
      </c>
      <c r="BH158" s="62">
        <f t="shared" si="116"/>
        <v>849.65023880788613</v>
      </c>
      <c r="BI158" s="62">
        <f ca="1">AVERAGE(OFFSET($BH$3,0,0,'Données projet'!$E$11+1,1))-AVERAGE(OFFSET($H$3,0,0,'Données projet'!$E$11+1,1))</f>
        <v>387.04070351732537</v>
      </c>
      <c r="BJ158" s="62">
        <f t="shared" si="146"/>
        <v>246.54010105494137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9.0158995999892994E-2</v>
      </c>
      <c r="BR158" s="23">
        <f>EXP(-LN(2)/2)*BR157+(1-EXP(-LN(2)/2))/(LN(2)/2)*BL158*BO158*VLOOKUP('Données projet'!$B$11,Paramètres!$A$1:$I$89,3,0)*0.475*44/12</f>
        <v>2.0569000406460106E-18</v>
      </c>
      <c r="BS158" s="24">
        <f t="shared" si="169"/>
        <v>9.0158995999892994E-2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2.8421709430404007E-14</v>
      </c>
      <c r="BZ158" s="14">
        <f>BY158*VLOOKUP('Données projet'!$B$12,Paramètres!$A$1:$I$89,3,0)*VLOOKUP('Données projet'!$B$12,Paramètres!$A$1:$I$89,5,0)</f>
        <v>2.4829205358400945E-14</v>
      </c>
      <c r="CA158" s="14">
        <f t="shared" si="170"/>
        <v>4.3867331143352915E-13</v>
      </c>
      <c r="CB158" s="22">
        <f t="shared" si="171"/>
        <v>8.0726688341261168E-13</v>
      </c>
      <c r="CC158" s="62">
        <f t="shared" si="119"/>
        <v>293.33333333333411</v>
      </c>
      <c r="CD158" s="62">
        <f ca="1">AVERAGE(OFFSET($CC$3,0,0,'Données projet'!$E$12+1,1))-AVERAGE(OFFSET($H$3,0,0,'Données projet'!$E$12+1,1))</f>
        <v>327.62212115491479</v>
      </c>
      <c r="CE158" s="62">
        <f t="shared" si="148"/>
        <v>348.84706693879735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0.76802628909533788</v>
      </c>
      <c r="CM158" s="23">
        <f>EXP(-LN(2)/2)*CM157+(1-EXP(-LN(2)/2))/(LN(2)/2)*CG158*CJ158*VLOOKUP('Données projet'!$B$12,Paramètres!$A$1:$I$89,3,0)*0.475*44/12</f>
        <v>1.3046505584846359E-17</v>
      </c>
      <c r="CN158" s="24">
        <f t="shared" si="172"/>
        <v>0.76802628909533788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4.1677594708744434E-14</v>
      </c>
      <c r="CV158" s="14">
        <f t="shared" si="173"/>
        <v>6.9326303456159188E-13</v>
      </c>
      <c r="CW158" s="22">
        <f t="shared" si="174"/>
        <v>1.2800215959791691E-12</v>
      </c>
      <c r="CX158" s="62">
        <f t="shared" si="122"/>
        <v>293.33333333333462</v>
      </c>
      <c r="CY158" s="62">
        <f ca="1">AVERAGE(OFFSET($CX$3,0,0,'Données projet'!$E$13+1,1))-AVERAGE(OFFSET($H$3,0,0,'Données projet'!$E$13+1,1))</f>
        <v>277.97613250285963</v>
      </c>
      <c r="CZ158" s="62">
        <f t="shared" si="150"/>
        <v>274.55710362891892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0.67454550191877105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0.67454550191877105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266</v>
      </c>
      <c r="O159" s="14">
        <f>N159*VLOOKUP('Données projet'!$B$9,Paramètres!$A$1:$I$89,3,0)*VLOOKUP('Données projet'!$B$9,Paramètres!$A$1:$I$89,5,0)</f>
        <v>240.67680000000001</v>
      </c>
      <c r="P159" s="14">
        <f t="shared" si="141"/>
        <v>58.585123425001029</v>
      </c>
      <c r="Q159" s="22">
        <f t="shared" si="162"/>
        <v>521.21451663187679</v>
      </c>
      <c r="R159" s="62">
        <f t="shared" si="109"/>
        <v>814.54784996521016</v>
      </c>
      <c r="S159" s="62">
        <f ca="1">AVERAGE(OFFSET($R$3,0,0,'Données projet'!$E$9+1,1))-AVERAGE(OFFSET($H$3,0,0,'Données projet'!$E$9+1,1))</f>
        <v>364.63511534965755</v>
      </c>
      <c r="T159" s="62">
        <f t="shared" si="142"/>
        <v>233.32640143610541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8.2035942318631969E-2</v>
      </c>
      <c r="AB159" s="23">
        <f>EXP(-LN(2)/2)*AB158+(1-EXP(-LN(2)/2))/(LN(2)/2)*V159*Y159*VLOOKUP('Données projet'!$B$9,Paramètres!$A$1:$I$89,3,0)*0.475*44/12</f>
        <v>1.3606126142563445E-18</v>
      </c>
      <c r="AC159" s="24">
        <f t="shared" si="163"/>
        <v>8.2035942318631969E-2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266</v>
      </c>
      <c r="AJ159" s="14">
        <f>AI159*VLOOKUP('Données projet'!$B$10,Paramètres!$A$1:$I$89,3,0)*VLOOKUP('Données projet'!$B$10,Paramètres!$A$1:$I$89,5,0)</f>
        <v>269.72400000000005</v>
      </c>
      <c r="AK159" s="14">
        <f t="shared" si="164"/>
        <v>64.790691635967406</v>
      </c>
      <c r="AL159" s="22">
        <f t="shared" si="165"/>
        <v>582.61308793264323</v>
      </c>
      <c r="AM159" s="62">
        <f t="shared" si="113"/>
        <v>875.9464212659766</v>
      </c>
      <c r="AN159" s="62">
        <f ca="1">AVERAGE(OFFSET($AM$3,0,0,'Données projet'!$E$10+1,1))-AVERAGE(OFFSET($H$3,0,0,'Données projet'!$E$10+1,1))</f>
        <v>403.82490501309815</v>
      </c>
      <c r="AO159" s="62">
        <f t="shared" si="144"/>
        <v>256.4377087753457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9.1936831908811745E-2</v>
      </c>
      <c r="AW159" s="23">
        <f>EXP(-LN(2)/2)*AW158+(1-EXP(-LN(2)/2))/(LN(2)/2)*AQ159*AT159*VLOOKUP('Données projet'!$B$10,Paramètres!$A$1:$I$89,3,0)*0.475*44/12</f>
        <v>1.5248244814941794E-18</v>
      </c>
      <c r="AX159" s="23">
        <f t="shared" si="166"/>
        <v>9.1936831908811745E-2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266</v>
      </c>
      <c r="BE159" s="14">
        <f>BD159*VLOOKUP('Données projet'!$B$11,Paramètres!$A$1:$I$89,3,0)*VLOOKUP('Données projet'!$B$11,Paramètres!$A$1:$I$89,5,0)</f>
        <v>257.27519999999998</v>
      </c>
      <c r="BF159" s="14">
        <f t="shared" si="167"/>
        <v>62.141205057159596</v>
      </c>
      <c r="BG159" s="22">
        <f t="shared" si="168"/>
        <v>556.31690547455287</v>
      </c>
      <c r="BH159" s="62">
        <f t="shared" si="116"/>
        <v>849.65023880788613</v>
      </c>
      <c r="BI159" s="62">
        <f ca="1">AVERAGE(OFFSET($BH$3,0,0,'Données projet'!$E$11+1,1))-AVERAGE(OFFSET($H$3,0,0,'Données projet'!$E$11+1,1))</f>
        <v>387.04070351732537</v>
      </c>
      <c r="BJ159" s="62">
        <f t="shared" si="146"/>
        <v>246.54010105494137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8.7693593513020376E-2</v>
      </c>
      <c r="BR159" s="23">
        <f>EXP(-LN(2)/2)*BR158+(1-EXP(-LN(2)/2))/(LN(2)/2)*BL159*BO159*VLOOKUP('Données projet'!$B$11,Paramètres!$A$1:$I$89,3,0)*0.475*44/12</f>
        <v>1.4544479669636793E-18</v>
      </c>
      <c r="BS159" s="24">
        <f t="shared" si="169"/>
        <v>8.7693593513020376E-2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2.8421709430404007E-14</v>
      </c>
      <c r="BZ159" s="14">
        <f>BY159*VLOOKUP('Données projet'!$B$12,Paramètres!$A$1:$I$89,3,0)*VLOOKUP('Données projet'!$B$12,Paramètres!$A$1:$I$89,5,0)</f>
        <v>2.4829205358400945E-14</v>
      </c>
      <c r="CA159" s="14">
        <f t="shared" si="170"/>
        <v>4.3867331143352915E-13</v>
      </c>
      <c r="CB159" s="22">
        <f t="shared" si="171"/>
        <v>8.0726688341261168E-13</v>
      </c>
      <c r="CC159" s="62">
        <f t="shared" si="119"/>
        <v>293.33333333333411</v>
      </c>
      <c r="CD159" s="62">
        <f ca="1">AVERAGE(OFFSET($CC$3,0,0,'Données projet'!$E$12+1,1))-AVERAGE(OFFSET($H$3,0,0,'Données projet'!$E$12+1,1))</f>
        <v>327.62212115491479</v>
      </c>
      <c r="CE159" s="62">
        <f t="shared" si="148"/>
        <v>348.84706693879735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0.74702456983127863</v>
      </c>
      <c r="CM159" s="23">
        <f>EXP(-LN(2)/2)*CM158+(1-EXP(-LN(2)/2))/(LN(2)/2)*CG159*CJ159*VLOOKUP('Données projet'!$B$12,Paramètres!$A$1:$I$89,3,0)*0.475*44/12</f>
        <v>9.2252725698330242E-18</v>
      </c>
      <c r="CN159" s="24">
        <f t="shared" si="172"/>
        <v>0.74702456983127863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4.1677594708744434E-14</v>
      </c>
      <c r="CV159" s="14">
        <f t="shared" si="173"/>
        <v>6.9326303456159188E-13</v>
      </c>
      <c r="CW159" s="22">
        <f t="shared" si="174"/>
        <v>1.2800215959791691E-12</v>
      </c>
      <c r="CX159" s="62">
        <f t="shared" si="122"/>
        <v>293.33333333333462</v>
      </c>
      <c r="CY159" s="62">
        <f ca="1">AVERAGE(OFFSET($CX$3,0,0,'Données projet'!$E$13+1,1))-AVERAGE(OFFSET($H$3,0,0,'Données projet'!$E$13+1,1))</f>
        <v>277.97613250285963</v>
      </c>
      <c r="CZ159" s="62">
        <f t="shared" si="150"/>
        <v>274.55710362891892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0.66131807605827453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0.66131807605827453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266</v>
      </c>
      <c r="O160" s="14">
        <f>N160*VLOOKUP('Données projet'!$B$9,Paramètres!$A$1:$I$89,3,0)*VLOOKUP('Données projet'!$B$9,Paramètres!$A$1:$I$89,5,0)</f>
        <v>240.67680000000001</v>
      </c>
      <c r="P160" s="14">
        <f t="shared" si="141"/>
        <v>58.585123425001029</v>
      </c>
      <c r="Q160" s="22">
        <f t="shared" si="162"/>
        <v>521.21451663187679</v>
      </c>
      <c r="R160" s="62">
        <f t="shared" si="109"/>
        <v>814.54784996521016</v>
      </c>
      <c r="S160" s="62">
        <f ca="1">AVERAGE(OFFSET($R$3,0,0,'Données projet'!$E$9+1,1))-AVERAGE(OFFSET($H$3,0,0,'Données projet'!$E$9+1,1))</f>
        <v>364.63511534965755</v>
      </c>
      <c r="T160" s="62">
        <f t="shared" si="142"/>
        <v>233.32640143610541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7.9792665161846271E-2</v>
      </c>
      <c r="AB160" s="23">
        <f>EXP(-LN(2)/2)*AB159+(1-EXP(-LN(2)/2))/(LN(2)/2)*V160*Y160*VLOOKUP('Données projet'!$B$9,Paramètres!$A$1:$I$89,3,0)*0.475*44/12</f>
        <v>9.6209840610861741E-19</v>
      </c>
      <c r="AC160" s="24">
        <f t="shared" si="163"/>
        <v>7.9792665161846271E-2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266</v>
      </c>
      <c r="AJ160" s="14">
        <f>AI160*VLOOKUP('Données projet'!$B$10,Paramètres!$A$1:$I$89,3,0)*VLOOKUP('Données projet'!$B$10,Paramètres!$A$1:$I$89,5,0)</f>
        <v>269.72400000000005</v>
      </c>
      <c r="AK160" s="14">
        <f t="shared" si="164"/>
        <v>64.790691635967406</v>
      </c>
      <c r="AL160" s="22">
        <f t="shared" si="165"/>
        <v>582.61308793264323</v>
      </c>
      <c r="AM160" s="62">
        <f t="shared" si="113"/>
        <v>875.9464212659766</v>
      </c>
      <c r="AN160" s="62">
        <f ca="1">AVERAGE(OFFSET($AM$3,0,0,'Données projet'!$E$10+1,1))-AVERAGE(OFFSET($H$3,0,0,'Données projet'!$E$10+1,1))</f>
        <v>403.82490501309815</v>
      </c>
      <c r="AO160" s="62">
        <f t="shared" si="144"/>
        <v>256.4377087753457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8.9422814405517428E-2</v>
      </c>
      <c r="AW160" s="23">
        <f>EXP(-LN(2)/2)*AW159+(1-EXP(-LN(2)/2))/(LN(2)/2)*AQ160*AT160*VLOOKUP('Données projet'!$B$10,Paramètres!$A$1:$I$89,3,0)*0.475*44/12</f>
        <v>1.0782137309837955E-18</v>
      </c>
      <c r="AX160" s="23">
        <f t="shared" si="166"/>
        <v>8.9422814405517428E-2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266</v>
      </c>
      <c r="BE160" s="14">
        <f>BD160*VLOOKUP('Données projet'!$B$11,Paramètres!$A$1:$I$89,3,0)*VLOOKUP('Données projet'!$B$11,Paramètres!$A$1:$I$89,5,0)</f>
        <v>257.27519999999998</v>
      </c>
      <c r="BF160" s="14">
        <f t="shared" si="167"/>
        <v>62.141205057159596</v>
      </c>
      <c r="BG160" s="22">
        <f t="shared" si="168"/>
        <v>556.31690547455287</v>
      </c>
      <c r="BH160" s="62">
        <f t="shared" si="116"/>
        <v>849.65023880788613</v>
      </c>
      <c r="BI160" s="62">
        <f ca="1">AVERAGE(OFFSET($BH$3,0,0,'Données projet'!$E$11+1,1))-AVERAGE(OFFSET($H$3,0,0,'Données projet'!$E$11+1,1))</f>
        <v>387.04070351732537</v>
      </c>
      <c r="BJ160" s="62">
        <f t="shared" si="146"/>
        <v>246.54010105494137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8.5295607586801173E-2</v>
      </c>
      <c r="BR160" s="23">
        <f>EXP(-LN(2)/2)*BR159+(1-EXP(-LN(2)/2))/(LN(2)/2)*BL160*BO160*VLOOKUP('Données projet'!$B$11,Paramètres!$A$1:$I$89,3,0)*0.475*44/12</f>
        <v>1.0284500203230053E-18</v>
      </c>
      <c r="BS160" s="24">
        <f t="shared" si="169"/>
        <v>8.5295607586801173E-2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2.8421709430404007E-14</v>
      </c>
      <c r="BZ160" s="14">
        <f>BY160*VLOOKUP('Données projet'!$B$12,Paramètres!$A$1:$I$89,3,0)*VLOOKUP('Données projet'!$B$12,Paramètres!$A$1:$I$89,5,0)</f>
        <v>2.4829205358400945E-14</v>
      </c>
      <c r="CA160" s="14">
        <f t="shared" si="170"/>
        <v>4.3867331143352915E-13</v>
      </c>
      <c r="CB160" s="22">
        <f t="shared" si="171"/>
        <v>8.0726688341261168E-13</v>
      </c>
      <c r="CC160" s="62">
        <f t="shared" si="119"/>
        <v>293.33333333333411</v>
      </c>
      <c r="CD160" s="62">
        <f ca="1">AVERAGE(OFFSET($CC$3,0,0,'Données projet'!$E$12+1,1))-AVERAGE(OFFSET($H$3,0,0,'Données projet'!$E$12+1,1))</f>
        <v>327.62212115491479</v>
      </c>
      <c r="CE160" s="62">
        <f t="shared" si="148"/>
        <v>348.84706693879735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0.72659714368492756</v>
      </c>
      <c r="CM160" s="23">
        <f>EXP(-LN(2)/2)*CM159+(1-EXP(-LN(2)/2))/(LN(2)/2)*CG160*CJ160*VLOOKUP('Données projet'!$B$12,Paramètres!$A$1:$I$89,3,0)*0.475*44/12</f>
        <v>6.5232527924231793E-18</v>
      </c>
      <c r="CN160" s="24">
        <f t="shared" si="172"/>
        <v>0.72659714368492756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4.1677594708744434E-14</v>
      </c>
      <c r="CV160" s="14">
        <f t="shared" si="173"/>
        <v>6.9326303456159188E-13</v>
      </c>
      <c r="CW160" s="22">
        <f t="shared" si="174"/>
        <v>1.2800215959791691E-12</v>
      </c>
      <c r="CX160" s="62">
        <f t="shared" si="122"/>
        <v>293.33333333333462</v>
      </c>
      <c r="CY160" s="62">
        <f ca="1">AVERAGE(OFFSET($CX$3,0,0,'Données projet'!$E$13+1,1))-AVERAGE(OFFSET($H$3,0,0,'Données projet'!$E$13+1,1))</f>
        <v>277.97613250285963</v>
      </c>
      <c r="CZ160" s="62">
        <f t="shared" si="150"/>
        <v>274.55710362891892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0.6483500319509693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0.6483500319509693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266</v>
      </c>
      <c r="O161" s="14">
        <f>N161*VLOOKUP('Données projet'!$B$9,Paramètres!$A$1:$I$89,3,0)*VLOOKUP('Données projet'!$B$9,Paramètres!$A$1:$I$89,5,0)</f>
        <v>240.67680000000001</v>
      </c>
      <c r="P161" s="14">
        <f t="shared" si="141"/>
        <v>58.585123425001029</v>
      </c>
      <c r="Q161" s="22">
        <f t="shared" si="162"/>
        <v>521.21451663187679</v>
      </c>
      <c r="R161" s="62">
        <f t="shared" si="109"/>
        <v>814.54784996521016</v>
      </c>
      <c r="S161" s="62">
        <f ca="1">AVERAGE(OFFSET($R$3,0,0,'Données projet'!$E$9+1,1))-AVERAGE(OFFSET($H$3,0,0,'Données projet'!$E$9+1,1))</f>
        <v>364.63511534965755</v>
      </c>
      <c r="T161" s="62">
        <f t="shared" si="142"/>
        <v>233.32640143610541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7.7610730536881695E-2</v>
      </c>
      <c r="AB161" s="23">
        <f>EXP(-LN(2)/2)*AB160+(1-EXP(-LN(2)/2))/(LN(2)/2)*V161*Y161*VLOOKUP('Données projet'!$B$9,Paramètres!$A$1:$I$89,3,0)*0.475*44/12</f>
        <v>6.8030630712817227E-19</v>
      </c>
      <c r="AC161" s="24">
        <f t="shared" si="163"/>
        <v>7.7610730536881695E-2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266</v>
      </c>
      <c r="AJ161" s="14">
        <f>AI161*VLOOKUP('Données projet'!$B$10,Paramètres!$A$1:$I$89,3,0)*VLOOKUP('Données projet'!$B$10,Paramètres!$A$1:$I$89,5,0)</f>
        <v>269.72400000000005</v>
      </c>
      <c r="AK161" s="14">
        <f t="shared" si="164"/>
        <v>64.790691635967406</v>
      </c>
      <c r="AL161" s="22">
        <f t="shared" si="165"/>
        <v>582.61308793264323</v>
      </c>
      <c r="AM161" s="62">
        <f t="shared" si="113"/>
        <v>875.9464212659766</v>
      </c>
      <c r="AN161" s="62">
        <f ca="1">AVERAGE(OFFSET($AM$3,0,0,'Données projet'!$E$10+1,1))-AVERAGE(OFFSET($H$3,0,0,'Données projet'!$E$10+1,1))</f>
        <v>403.82490501309815</v>
      </c>
      <c r="AO161" s="62">
        <f t="shared" si="144"/>
        <v>256.4377087753457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8.6977542843057129E-2</v>
      </c>
      <c r="AW161" s="23">
        <f>EXP(-LN(2)/2)*AW160+(1-EXP(-LN(2)/2))/(LN(2)/2)*AQ161*AT161*VLOOKUP('Données projet'!$B$10,Paramètres!$A$1:$I$89,3,0)*0.475*44/12</f>
        <v>7.6241224074708969E-19</v>
      </c>
      <c r="AX161" s="23">
        <f t="shared" si="166"/>
        <v>8.6977542843057129E-2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266</v>
      </c>
      <c r="BE161" s="14">
        <f>BD161*VLOOKUP('Données projet'!$B$11,Paramètres!$A$1:$I$89,3,0)*VLOOKUP('Données projet'!$B$11,Paramètres!$A$1:$I$89,5,0)</f>
        <v>257.27519999999998</v>
      </c>
      <c r="BF161" s="14">
        <f t="shared" si="167"/>
        <v>62.141205057159596</v>
      </c>
      <c r="BG161" s="22">
        <f t="shared" si="168"/>
        <v>556.31690547455287</v>
      </c>
      <c r="BH161" s="62">
        <f t="shared" si="116"/>
        <v>849.65023880788613</v>
      </c>
      <c r="BI161" s="62">
        <f ca="1">AVERAGE(OFFSET($BH$3,0,0,'Données projet'!$E$11+1,1))-AVERAGE(OFFSET($H$3,0,0,'Données projet'!$E$11+1,1))</f>
        <v>387.04070351732537</v>
      </c>
      <c r="BJ161" s="62">
        <f t="shared" si="146"/>
        <v>246.54010105494137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8.2963194711839036E-2</v>
      </c>
      <c r="BR161" s="23">
        <f>EXP(-LN(2)/2)*BR160+(1-EXP(-LN(2)/2))/(LN(2)/2)*BL161*BO161*VLOOKUP('Données projet'!$B$11,Paramètres!$A$1:$I$89,3,0)*0.475*44/12</f>
        <v>7.2722398348183967E-19</v>
      </c>
      <c r="BS161" s="24">
        <f t="shared" si="169"/>
        <v>8.2963194711839036E-2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2.8421709430404007E-14</v>
      </c>
      <c r="BZ161" s="14">
        <f>BY161*VLOOKUP('Données projet'!$B$12,Paramètres!$A$1:$I$89,3,0)*VLOOKUP('Données projet'!$B$12,Paramètres!$A$1:$I$89,5,0)</f>
        <v>2.4829205358400945E-14</v>
      </c>
      <c r="CA161" s="14">
        <f t="shared" si="170"/>
        <v>4.3867331143352915E-13</v>
      </c>
      <c r="CB161" s="22">
        <f t="shared" si="171"/>
        <v>8.0726688341261168E-13</v>
      </c>
      <c r="CC161" s="62">
        <f t="shared" si="119"/>
        <v>293.33333333333411</v>
      </c>
      <c r="CD161" s="62">
        <f ca="1">AVERAGE(OFFSET($CC$3,0,0,'Données projet'!$E$12+1,1))-AVERAGE(OFFSET($H$3,0,0,'Données projet'!$E$12+1,1))</f>
        <v>327.62212115491479</v>
      </c>
      <c r="CE161" s="62">
        <f t="shared" si="148"/>
        <v>348.84706693879735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0.70672830658078012</v>
      </c>
      <c r="CM161" s="23">
        <f>EXP(-LN(2)/2)*CM160+(1-EXP(-LN(2)/2))/(LN(2)/2)*CG161*CJ161*VLOOKUP('Données projet'!$B$12,Paramètres!$A$1:$I$89,3,0)*0.475*44/12</f>
        <v>4.6126362849165121E-18</v>
      </c>
      <c r="CN161" s="24">
        <f t="shared" si="172"/>
        <v>0.70672830658078012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4.1677594708744434E-14</v>
      </c>
      <c r="CV161" s="14">
        <f t="shared" si="173"/>
        <v>6.9326303456159188E-13</v>
      </c>
      <c r="CW161" s="22">
        <f t="shared" si="174"/>
        <v>1.2800215959791691E-12</v>
      </c>
      <c r="CX161" s="62">
        <f t="shared" si="122"/>
        <v>293.33333333333462</v>
      </c>
      <c r="CY161" s="62">
        <f ca="1">AVERAGE(OFFSET($CX$3,0,0,'Données projet'!$E$13+1,1))-AVERAGE(OFFSET($H$3,0,0,'Données projet'!$E$13+1,1))</f>
        <v>277.97613250285963</v>
      </c>
      <c r="CZ161" s="62">
        <f t="shared" si="150"/>
        <v>274.55710362891892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0.63563628327888244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0.63563628327888244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266</v>
      </c>
      <c r="O162" s="14">
        <f>N162*VLOOKUP('Données projet'!$B$9,Paramètres!$A$1:$I$89,3,0)*VLOOKUP('Données projet'!$B$9,Paramètres!$A$1:$I$89,5,0)</f>
        <v>240.67680000000001</v>
      </c>
      <c r="P162" s="14">
        <f t="shared" si="141"/>
        <v>58.585123425001029</v>
      </c>
      <c r="Q162" s="22">
        <f t="shared" si="162"/>
        <v>521.21451663187679</v>
      </c>
      <c r="R162" s="62">
        <f t="shared" si="109"/>
        <v>814.54784996521016</v>
      </c>
      <c r="S162" s="62">
        <f ca="1">AVERAGE(OFFSET($R$3,0,0,'Données projet'!$E$9+1,1))-AVERAGE(OFFSET($H$3,0,0,'Données projet'!$E$9+1,1))</f>
        <v>364.63511534965755</v>
      </c>
      <c r="T162" s="62">
        <f t="shared" si="142"/>
        <v>233.32640143610541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7.5488461028979728E-2</v>
      </c>
      <c r="AB162" s="23">
        <f>EXP(-LN(2)/2)*AB161+(1-EXP(-LN(2)/2))/(LN(2)/2)*V162*Y162*VLOOKUP('Données projet'!$B$9,Paramètres!$A$1:$I$89,3,0)*0.475*44/12</f>
        <v>4.8104920305430871E-19</v>
      </c>
      <c r="AC162" s="24">
        <f t="shared" si="163"/>
        <v>7.5488461028979728E-2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266</v>
      </c>
      <c r="AJ162" s="14">
        <f>AI162*VLOOKUP('Données projet'!$B$10,Paramètres!$A$1:$I$89,3,0)*VLOOKUP('Données projet'!$B$10,Paramètres!$A$1:$I$89,5,0)</f>
        <v>269.72400000000005</v>
      </c>
      <c r="AK162" s="14">
        <f t="shared" si="164"/>
        <v>64.790691635967406</v>
      </c>
      <c r="AL162" s="22">
        <f t="shared" si="165"/>
        <v>582.61308793264323</v>
      </c>
      <c r="AM162" s="62">
        <f t="shared" si="113"/>
        <v>875.9464212659766</v>
      </c>
      <c r="AN162" s="62">
        <f ca="1">AVERAGE(OFFSET($AM$3,0,0,'Données projet'!$E$10+1,1))-AVERAGE(OFFSET($H$3,0,0,'Données projet'!$E$10+1,1))</f>
        <v>403.82490501309815</v>
      </c>
      <c r="AO162" s="62">
        <f t="shared" si="144"/>
        <v>256.4377087753457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8.4599137360063539E-2</v>
      </c>
      <c r="AW162" s="23">
        <f>EXP(-LN(2)/2)*AW161+(1-EXP(-LN(2)/2))/(LN(2)/2)*AQ162*AT162*VLOOKUP('Données projet'!$B$10,Paramètres!$A$1:$I$89,3,0)*0.475*44/12</f>
        <v>5.3910686549189774E-19</v>
      </c>
      <c r="AX162" s="23">
        <f t="shared" si="166"/>
        <v>8.4599137360063539E-2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266</v>
      </c>
      <c r="BE162" s="14">
        <f>BD162*VLOOKUP('Données projet'!$B$11,Paramètres!$A$1:$I$89,3,0)*VLOOKUP('Données projet'!$B$11,Paramètres!$A$1:$I$89,5,0)</f>
        <v>257.27519999999998</v>
      </c>
      <c r="BF162" s="14">
        <f t="shared" si="167"/>
        <v>62.141205057159596</v>
      </c>
      <c r="BG162" s="22">
        <f t="shared" si="168"/>
        <v>556.31690547455287</v>
      </c>
      <c r="BH162" s="62">
        <f t="shared" si="116"/>
        <v>849.65023880788613</v>
      </c>
      <c r="BI162" s="62">
        <f ca="1">AVERAGE(OFFSET($BH$3,0,0,'Données projet'!$E$11+1,1))-AVERAGE(OFFSET($H$3,0,0,'Données projet'!$E$11+1,1))</f>
        <v>387.04070351732537</v>
      </c>
      <c r="BJ162" s="62">
        <f t="shared" si="146"/>
        <v>246.54010105494137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8.0694561789599009E-2</v>
      </c>
      <c r="BR162" s="23">
        <f>EXP(-LN(2)/2)*BR161+(1-EXP(-LN(2)/2))/(LN(2)/2)*BL162*BO162*VLOOKUP('Données projet'!$B$11,Paramètres!$A$1:$I$89,3,0)*0.475*44/12</f>
        <v>5.1422501016150265E-19</v>
      </c>
      <c r="BS162" s="24">
        <f t="shared" si="169"/>
        <v>8.0694561789599009E-2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2.8421709430404007E-14</v>
      </c>
      <c r="BZ162" s="14">
        <f>BY162*VLOOKUP('Données projet'!$B$12,Paramètres!$A$1:$I$89,3,0)*VLOOKUP('Données projet'!$B$12,Paramètres!$A$1:$I$89,5,0)</f>
        <v>2.4829205358400945E-14</v>
      </c>
      <c r="CA162" s="14">
        <f t="shared" si="170"/>
        <v>4.3867331143352915E-13</v>
      </c>
      <c r="CB162" s="22">
        <f t="shared" si="171"/>
        <v>8.0726688341261168E-13</v>
      </c>
      <c r="CC162" s="62">
        <f t="shared" si="119"/>
        <v>293.33333333333411</v>
      </c>
      <c r="CD162" s="62">
        <f ca="1">AVERAGE(OFFSET($CC$3,0,0,'Données projet'!$E$12+1,1))-AVERAGE(OFFSET($H$3,0,0,'Données projet'!$E$12+1,1))</f>
        <v>327.62212115491479</v>
      </c>
      <c r="CE162" s="62">
        <f t="shared" si="148"/>
        <v>348.84706693879735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0.6874027838721023</v>
      </c>
      <c r="CM162" s="23">
        <f>EXP(-LN(2)/2)*CM161+(1-EXP(-LN(2)/2))/(LN(2)/2)*CG162*CJ162*VLOOKUP('Données projet'!$B$12,Paramètres!$A$1:$I$89,3,0)*0.475*44/12</f>
        <v>3.2616263962115897E-18</v>
      </c>
      <c r="CN162" s="24">
        <f t="shared" si="172"/>
        <v>0.6874027838721023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4.1677594708744434E-14</v>
      </c>
      <c r="CV162" s="14">
        <f t="shared" si="173"/>
        <v>6.9326303456159188E-13</v>
      </c>
      <c r="CW162" s="22">
        <f t="shared" si="174"/>
        <v>1.2800215959791691E-12</v>
      </c>
      <c r="CX162" s="62">
        <f t="shared" si="122"/>
        <v>293.33333333333462</v>
      </c>
      <c r="CY162" s="62">
        <f ca="1">AVERAGE(OFFSET($CX$3,0,0,'Données projet'!$E$13+1,1))-AVERAGE(OFFSET($H$3,0,0,'Données projet'!$E$13+1,1))</f>
        <v>277.97613250285963</v>
      </c>
      <c r="CZ162" s="62">
        <f t="shared" si="150"/>
        <v>274.55710362891892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0.62317184346363419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0.62317184346363419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266</v>
      </c>
      <c r="O163" s="14">
        <f>N163*VLOOKUP('Données projet'!$B$9,Paramètres!$A$1:$I$89,3,0)*VLOOKUP('Données projet'!$B$9,Paramètres!$A$1:$I$89,5,0)</f>
        <v>240.67680000000001</v>
      </c>
      <c r="P163" s="14">
        <f t="shared" si="141"/>
        <v>58.585123425001029</v>
      </c>
      <c r="Q163" s="22">
        <f t="shared" si="162"/>
        <v>521.21451663187679</v>
      </c>
      <c r="R163" s="62">
        <f t="shared" si="109"/>
        <v>814.54784996521016</v>
      </c>
      <c r="S163" s="62">
        <f ca="1">AVERAGE(OFFSET($R$3,0,0,'Données projet'!$E$9+1,1))-AVERAGE(OFFSET($H$3,0,0,'Données projet'!$E$9+1,1))</f>
        <v>364.63511534965755</v>
      </c>
      <c r="T163" s="62">
        <f t="shared" si="142"/>
        <v>233.32640143610541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7.3424225092376644E-2</v>
      </c>
      <c r="AB163" s="23">
        <f>EXP(-LN(2)/2)*AB162+(1-EXP(-LN(2)/2))/(LN(2)/2)*V163*Y163*VLOOKUP('Données projet'!$B$9,Paramètres!$A$1:$I$89,3,0)*0.475*44/12</f>
        <v>3.4015315356408614E-19</v>
      </c>
      <c r="AC163" s="24">
        <f t="shared" si="163"/>
        <v>7.3424225092376644E-2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266</v>
      </c>
      <c r="AJ163" s="14">
        <f>AI163*VLOOKUP('Données projet'!$B$10,Paramètres!$A$1:$I$89,3,0)*VLOOKUP('Données projet'!$B$10,Paramètres!$A$1:$I$89,5,0)</f>
        <v>269.72400000000005</v>
      </c>
      <c r="AK163" s="14">
        <f t="shared" si="164"/>
        <v>64.790691635967406</v>
      </c>
      <c r="AL163" s="22">
        <f t="shared" si="165"/>
        <v>582.61308793264323</v>
      </c>
      <c r="AM163" s="62">
        <f t="shared" si="113"/>
        <v>875.9464212659766</v>
      </c>
      <c r="AN163" s="62">
        <f ca="1">AVERAGE(OFFSET($AM$3,0,0,'Données projet'!$E$10+1,1))-AVERAGE(OFFSET($H$3,0,0,'Données projet'!$E$10+1,1))</f>
        <v>403.82490501309815</v>
      </c>
      <c r="AO163" s="62">
        <f t="shared" si="144"/>
        <v>256.4377087753457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8.2285769500077321E-2</v>
      </c>
      <c r="AW163" s="23">
        <f>EXP(-LN(2)/2)*AW162+(1-EXP(-LN(2)/2))/(LN(2)/2)*AQ163*AT163*VLOOKUP('Données projet'!$B$10,Paramètres!$A$1:$I$89,3,0)*0.475*44/12</f>
        <v>3.8120612037354484E-19</v>
      </c>
      <c r="AX163" s="23">
        <f t="shared" si="166"/>
        <v>8.2285769500077321E-2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266</v>
      </c>
      <c r="BE163" s="14">
        <f>BD163*VLOOKUP('Données projet'!$B$11,Paramètres!$A$1:$I$89,3,0)*VLOOKUP('Données projet'!$B$11,Paramètres!$A$1:$I$89,5,0)</f>
        <v>257.27519999999998</v>
      </c>
      <c r="BF163" s="14">
        <f t="shared" si="167"/>
        <v>62.141205057159596</v>
      </c>
      <c r="BG163" s="22">
        <f t="shared" si="168"/>
        <v>556.31690547455287</v>
      </c>
      <c r="BH163" s="62">
        <f t="shared" si="116"/>
        <v>849.65023880788613</v>
      </c>
      <c r="BI163" s="62">
        <f ca="1">AVERAGE(OFFSET($BH$3,0,0,'Données projet'!$E$11+1,1))-AVERAGE(OFFSET($H$3,0,0,'Données projet'!$E$11+1,1))</f>
        <v>387.04070351732537</v>
      </c>
      <c r="BJ163" s="62">
        <f t="shared" si="146"/>
        <v>246.54010105494137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7.8487964753919851E-2</v>
      </c>
      <c r="BR163" s="23">
        <f>EXP(-LN(2)/2)*BR162+(1-EXP(-LN(2)/2))/(LN(2)/2)*BL163*BO163*VLOOKUP('Données projet'!$B$11,Paramètres!$A$1:$I$89,3,0)*0.475*44/12</f>
        <v>3.6361199174091984E-19</v>
      </c>
      <c r="BS163" s="24">
        <f t="shared" si="169"/>
        <v>7.8487964753919851E-2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2.8421709430404007E-14</v>
      </c>
      <c r="BZ163" s="14">
        <f>BY163*VLOOKUP('Données projet'!$B$12,Paramètres!$A$1:$I$89,3,0)*VLOOKUP('Données projet'!$B$12,Paramètres!$A$1:$I$89,5,0)</f>
        <v>2.4829205358400945E-14</v>
      </c>
      <c r="CA163" s="14">
        <f t="shared" si="170"/>
        <v>4.3867331143352915E-13</v>
      </c>
      <c r="CB163" s="22">
        <f t="shared" si="171"/>
        <v>8.0726688341261168E-13</v>
      </c>
      <c r="CC163" s="62">
        <f t="shared" si="119"/>
        <v>293.33333333333411</v>
      </c>
      <c r="CD163" s="62">
        <f ca="1">AVERAGE(OFFSET($CC$3,0,0,'Données projet'!$E$12+1,1))-AVERAGE(OFFSET($H$3,0,0,'Données projet'!$E$12+1,1))</f>
        <v>327.62212115491479</v>
      </c>
      <c r="CE163" s="62">
        <f t="shared" si="148"/>
        <v>348.84706693879735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0.6686057185981783</v>
      </c>
      <c r="CM163" s="23">
        <f>EXP(-LN(2)/2)*CM162+(1-EXP(-LN(2)/2))/(LN(2)/2)*CG163*CJ163*VLOOKUP('Données projet'!$B$12,Paramètres!$A$1:$I$89,3,0)*0.475*44/12</f>
        <v>2.3063181424582561E-18</v>
      </c>
      <c r="CN163" s="24">
        <f t="shared" si="172"/>
        <v>0.6686057185981783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4.1677594708744434E-14</v>
      </c>
      <c r="CV163" s="14">
        <f t="shared" si="173"/>
        <v>6.9326303456159188E-13</v>
      </c>
      <c r="CW163" s="22">
        <f t="shared" si="174"/>
        <v>1.2800215959791691E-12</v>
      </c>
      <c r="CX163" s="62">
        <f t="shared" si="122"/>
        <v>293.33333333333462</v>
      </c>
      <c r="CY163" s="62">
        <f ca="1">AVERAGE(OFFSET($CX$3,0,0,'Données projet'!$E$13+1,1))-AVERAGE(OFFSET($H$3,0,0,'Données projet'!$E$13+1,1))</f>
        <v>277.97613250285963</v>
      </c>
      <c r="CZ163" s="62">
        <f t="shared" si="150"/>
        <v>274.55710362891892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0.6109518237106053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0.6109518237106053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266</v>
      </c>
      <c r="O164" s="14">
        <f>N164*VLOOKUP('Données projet'!$B$9,Paramètres!$A$1:$I$89,3,0)*VLOOKUP('Données projet'!$B$9,Paramètres!$A$1:$I$89,5,0)</f>
        <v>240.67680000000001</v>
      </c>
      <c r="P164" s="14">
        <f t="shared" si="141"/>
        <v>58.585123425001029</v>
      </c>
      <c r="Q164" s="22">
        <f t="shared" si="162"/>
        <v>521.21451663187679</v>
      </c>
      <c r="R164" s="62">
        <f t="shared" si="109"/>
        <v>814.54784996521016</v>
      </c>
      <c r="S164" s="62">
        <f ca="1">AVERAGE(OFFSET($R$3,0,0,'Données projet'!$E$9+1,1))-AVERAGE(OFFSET($H$3,0,0,'Données projet'!$E$9+1,1))</f>
        <v>364.63511534965755</v>
      </c>
      <c r="T164" s="62">
        <f t="shared" si="142"/>
        <v>233.32640143610541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7.1416435796013422E-2</v>
      </c>
      <c r="AB164" s="23">
        <f>EXP(-LN(2)/2)*AB163+(1-EXP(-LN(2)/2))/(LN(2)/2)*V164*Y164*VLOOKUP('Données projet'!$B$9,Paramètres!$A$1:$I$89,3,0)*0.475*44/12</f>
        <v>2.4052460152715435E-19</v>
      </c>
      <c r="AC164" s="24">
        <f t="shared" si="163"/>
        <v>7.1416435796013422E-2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266</v>
      </c>
      <c r="AJ164" s="14">
        <f>AI164*VLOOKUP('Données projet'!$B$10,Paramètres!$A$1:$I$89,3,0)*VLOOKUP('Données projet'!$B$10,Paramètres!$A$1:$I$89,5,0)</f>
        <v>269.72400000000005</v>
      </c>
      <c r="AK164" s="14">
        <f t="shared" si="164"/>
        <v>64.790691635967406</v>
      </c>
      <c r="AL164" s="22">
        <f t="shared" si="165"/>
        <v>582.61308793264323</v>
      </c>
      <c r="AM164" s="62">
        <f t="shared" si="113"/>
        <v>875.9464212659766</v>
      </c>
      <c r="AN164" s="62">
        <f ca="1">AVERAGE(OFFSET($AM$3,0,0,'Données projet'!$E$10+1,1))-AVERAGE(OFFSET($H$3,0,0,'Données projet'!$E$10+1,1))</f>
        <v>403.82490501309815</v>
      </c>
      <c r="AO164" s="62">
        <f t="shared" si="144"/>
        <v>256.4377087753457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8.0035660805877151E-2</v>
      </c>
      <c r="AW164" s="23">
        <f>EXP(-LN(2)/2)*AW163+(1-EXP(-LN(2)/2))/(LN(2)/2)*AQ164*AT164*VLOOKUP('Données projet'!$B$10,Paramètres!$A$1:$I$89,3,0)*0.475*44/12</f>
        <v>2.6955343274594887E-19</v>
      </c>
      <c r="AX164" s="23">
        <f t="shared" si="166"/>
        <v>8.0035660805877151E-2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266</v>
      </c>
      <c r="BE164" s="14">
        <f>BD164*VLOOKUP('Données projet'!$B$11,Paramètres!$A$1:$I$89,3,0)*VLOOKUP('Données projet'!$B$11,Paramètres!$A$1:$I$89,5,0)</f>
        <v>257.27519999999998</v>
      </c>
      <c r="BF164" s="14">
        <f t="shared" si="167"/>
        <v>62.141205057159596</v>
      </c>
      <c r="BG164" s="22">
        <f t="shared" si="168"/>
        <v>556.31690547455287</v>
      </c>
      <c r="BH164" s="62">
        <f t="shared" si="116"/>
        <v>849.65023880788613</v>
      </c>
      <c r="BI164" s="62">
        <f ca="1">AVERAGE(OFFSET($BH$3,0,0,'Données projet'!$E$11+1,1))-AVERAGE(OFFSET($H$3,0,0,'Données projet'!$E$11+1,1))</f>
        <v>387.04070351732537</v>
      </c>
      <c r="BJ164" s="62">
        <f t="shared" si="146"/>
        <v>246.54010105494137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7.6341707230221226E-2</v>
      </c>
      <c r="BR164" s="23">
        <f>EXP(-LN(2)/2)*BR163+(1-EXP(-LN(2)/2))/(LN(2)/2)*BL164*BO164*VLOOKUP('Données projet'!$B$11,Paramètres!$A$1:$I$89,3,0)*0.475*44/12</f>
        <v>2.5711250508075132E-19</v>
      </c>
      <c r="BS164" s="24">
        <f t="shared" si="169"/>
        <v>7.6341707230221226E-2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2.8421709430404007E-14</v>
      </c>
      <c r="BZ164" s="14">
        <f>BY164*VLOOKUP('Données projet'!$B$12,Paramètres!$A$1:$I$89,3,0)*VLOOKUP('Données projet'!$B$12,Paramètres!$A$1:$I$89,5,0)</f>
        <v>2.4829205358400945E-14</v>
      </c>
      <c r="CA164" s="14">
        <f t="shared" si="170"/>
        <v>4.3867331143352915E-13</v>
      </c>
      <c r="CB164" s="22">
        <f t="shared" si="171"/>
        <v>8.0726688341261168E-13</v>
      </c>
      <c r="CC164" s="62">
        <f t="shared" si="119"/>
        <v>293.33333333333411</v>
      </c>
      <c r="CD164" s="62">
        <f ca="1">AVERAGE(OFFSET($CC$3,0,0,'Données projet'!$E$12+1,1))-AVERAGE(OFFSET($H$3,0,0,'Données projet'!$E$12+1,1))</f>
        <v>327.62212115491479</v>
      </c>
      <c r="CE164" s="62">
        <f t="shared" si="148"/>
        <v>348.84706693879735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0.65032266006266448</v>
      </c>
      <c r="CM164" s="23">
        <f>EXP(-LN(2)/2)*CM163+(1-EXP(-LN(2)/2))/(LN(2)/2)*CG164*CJ164*VLOOKUP('Données projet'!$B$12,Paramètres!$A$1:$I$89,3,0)*0.475*44/12</f>
        <v>1.6308131981057948E-18</v>
      </c>
      <c r="CN164" s="24">
        <f t="shared" si="172"/>
        <v>0.65032266006266448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4.1677594708744434E-14</v>
      </c>
      <c r="CV164" s="14">
        <f t="shared" si="173"/>
        <v>6.9326303456159188E-13</v>
      </c>
      <c r="CW164" s="22">
        <f t="shared" si="174"/>
        <v>1.2800215959791691E-12</v>
      </c>
      <c r="CX164" s="62">
        <f t="shared" si="122"/>
        <v>293.33333333333462</v>
      </c>
      <c r="CY164" s="62">
        <f ca="1">AVERAGE(OFFSET($CX$3,0,0,'Données projet'!$E$13+1,1))-AVERAGE(OFFSET($H$3,0,0,'Données projet'!$E$13+1,1))</f>
        <v>277.97613250285963</v>
      </c>
      <c r="CZ164" s="62">
        <f t="shared" si="150"/>
        <v>274.55710362891892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0.59897143109145723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0.59897143109145723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266</v>
      </c>
      <c r="O165" s="14">
        <f>N165*VLOOKUP('Données projet'!$B$9,Paramètres!$A$1:$I$89,3,0)*VLOOKUP('Données projet'!$B$9,Paramètres!$A$1:$I$89,5,0)</f>
        <v>240.67680000000001</v>
      </c>
      <c r="P165" s="14">
        <f t="shared" si="141"/>
        <v>58.585123425001029</v>
      </c>
      <c r="Q165" s="22">
        <f t="shared" si="162"/>
        <v>521.21451663187679</v>
      </c>
      <c r="R165" s="62">
        <f t="shared" si="109"/>
        <v>814.54784996521016</v>
      </c>
      <c r="S165" s="62">
        <f ca="1">AVERAGE(OFFSET($R$3,0,0,'Données projet'!$E$9+1,1))-AVERAGE(OFFSET($H$3,0,0,'Données projet'!$E$9+1,1))</f>
        <v>364.63511534965755</v>
      </c>
      <c r="T165" s="62">
        <f t="shared" si="142"/>
        <v>233.32640143610541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6.9463549603544297E-2</v>
      </c>
      <c r="AB165" s="23">
        <f>EXP(-LN(2)/2)*AB164+(1-EXP(-LN(2)/2))/(LN(2)/2)*V165*Y165*VLOOKUP('Données projet'!$B$9,Paramètres!$A$1:$I$89,3,0)*0.475*44/12</f>
        <v>1.7007657678204307E-19</v>
      </c>
      <c r="AC165" s="24">
        <f t="shared" si="163"/>
        <v>6.9463549603544297E-2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266</v>
      </c>
      <c r="AJ165" s="14">
        <f>AI165*VLOOKUP('Données projet'!$B$10,Paramètres!$A$1:$I$89,3,0)*VLOOKUP('Données projet'!$B$10,Paramètres!$A$1:$I$89,5,0)</f>
        <v>269.72400000000005</v>
      </c>
      <c r="AK165" s="14">
        <f t="shared" si="164"/>
        <v>64.790691635967406</v>
      </c>
      <c r="AL165" s="22">
        <f t="shared" si="165"/>
        <v>582.61308793264323</v>
      </c>
      <c r="AM165" s="62">
        <f t="shared" si="113"/>
        <v>875.9464212659766</v>
      </c>
      <c r="AN165" s="62">
        <f ca="1">AVERAGE(OFFSET($AM$3,0,0,'Données projet'!$E$10+1,1))-AVERAGE(OFFSET($H$3,0,0,'Données projet'!$E$10+1,1))</f>
        <v>403.82490501309815</v>
      </c>
      <c r="AO165" s="62">
        <f t="shared" si="144"/>
        <v>256.4377087753457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7.784708145224796E-2</v>
      </c>
      <c r="AW165" s="23">
        <f>EXP(-LN(2)/2)*AW164+(1-EXP(-LN(2)/2))/(LN(2)/2)*AQ165*AT165*VLOOKUP('Données projet'!$B$10,Paramètres!$A$1:$I$89,3,0)*0.475*44/12</f>
        <v>1.9060306018677242E-19</v>
      </c>
      <c r="AX165" s="23">
        <f t="shared" si="166"/>
        <v>7.784708145224796E-2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266</v>
      </c>
      <c r="BE165" s="14">
        <f>BD165*VLOOKUP('Données projet'!$B$11,Paramètres!$A$1:$I$89,3,0)*VLOOKUP('Données projet'!$B$11,Paramètres!$A$1:$I$89,5,0)</f>
        <v>257.27519999999998</v>
      </c>
      <c r="BF165" s="14">
        <f t="shared" si="167"/>
        <v>62.141205057159596</v>
      </c>
      <c r="BG165" s="22">
        <f t="shared" si="168"/>
        <v>556.31690547455287</v>
      </c>
      <c r="BH165" s="62">
        <f t="shared" si="116"/>
        <v>849.65023880788613</v>
      </c>
      <c r="BI165" s="62">
        <f ca="1">AVERAGE(OFFSET($BH$3,0,0,'Données projet'!$E$11+1,1))-AVERAGE(OFFSET($H$3,0,0,'Données projet'!$E$11+1,1))</f>
        <v>387.04070351732537</v>
      </c>
      <c r="BJ165" s="62">
        <f t="shared" si="146"/>
        <v>246.54010105494137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7.425413923137493E-2</v>
      </c>
      <c r="BR165" s="23">
        <f>EXP(-LN(2)/2)*BR164+(1-EXP(-LN(2)/2))/(LN(2)/2)*BL165*BO165*VLOOKUP('Données projet'!$B$11,Paramètres!$A$1:$I$89,3,0)*0.475*44/12</f>
        <v>1.8180599587045992E-19</v>
      </c>
      <c r="BS165" s="24">
        <f t="shared" si="169"/>
        <v>7.425413923137493E-2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2.8421709430404007E-14</v>
      </c>
      <c r="BZ165" s="14">
        <f>BY165*VLOOKUP('Données projet'!$B$12,Paramètres!$A$1:$I$89,3,0)*VLOOKUP('Données projet'!$B$12,Paramètres!$A$1:$I$89,5,0)</f>
        <v>2.4829205358400945E-14</v>
      </c>
      <c r="CA165" s="14">
        <f t="shared" si="170"/>
        <v>4.3867331143352915E-13</v>
      </c>
      <c r="CB165" s="22">
        <f t="shared" si="171"/>
        <v>8.0726688341261168E-13</v>
      </c>
      <c r="CC165" s="62">
        <f t="shared" si="119"/>
        <v>293.33333333333411</v>
      </c>
      <c r="CD165" s="62">
        <f ca="1">AVERAGE(OFFSET($CC$3,0,0,'Données projet'!$E$12+1,1))-AVERAGE(OFFSET($H$3,0,0,'Données projet'!$E$12+1,1))</f>
        <v>327.62212115491479</v>
      </c>
      <c r="CE165" s="62">
        <f t="shared" si="148"/>
        <v>348.84706693879735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0.63253955272426854</v>
      </c>
      <c r="CM165" s="23">
        <f>EXP(-LN(2)/2)*CM164+(1-EXP(-LN(2)/2))/(LN(2)/2)*CG165*CJ165*VLOOKUP('Données projet'!$B$12,Paramètres!$A$1:$I$89,3,0)*0.475*44/12</f>
        <v>1.153159071229128E-18</v>
      </c>
      <c r="CN165" s="24">
        <f t="shared" si="172"/>
        <v>0.63253955272426854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4.1677594708744434E-14</v>
      </c>
      <c r="CV165" s="14">
        <f t="shared" si="173"/>
        <v>6.9326303456159188E-13</v>
      </c>
      <c r="CW165" s="22">
        <f t="shared" si="174"/>
        <v>1.2800215959791691E-12</v>
      </c>
      <c r="CX165" s="62">
        <f t="shared" si="122"/>
        <v>293.33333333333462</v>
      </c>
      <c r="CY165" s="62">
        <f ca="1">AVERAGE(OFFSET($CX$3,0,0,'Données projet'!$E$13+1,1))-AVERAGE(OFFSET($H$3,0,0,'Données projet'!$E$13+1,1))</f>
        <v>277.97613250285963</v>
      </c>
      <c r="CZ165" s="62">
        <f t="shared" si="150"/>
        <v>274.55710362891892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0.58722596666425275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0.58722596666425275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266</v>
      </c>
      <c r="O166" s="14">
        <f>N166*VLOOKUP('Données projet'!$B$9,Paramètres!$A$1:$I$89,3,0)*VLOOKUP('Données projet'!$B$9,Paramètres!$A$1:$I$89,5,0)</f>
        <v>240.67680000000001</v>
      </c>
      <c r="P166" s="14">
        <f t="shared" si="141"/>
        <v>58.585123425001029</v>
      </c>
      <c r="Q166" s="22">
        <f t="shared" si="162"/>
        <v>521.21451663187679</v>
      </c>
      <c r="R166" s="62">
        <f t="shared" si="109"/>
        <v>814.54784996521016</v>
      </c>
      <c r="S166" s="62">
        <f ca="1">AVERAGE(OFFSET($R$3,0,0,'Données projet'!$E$9+1,1))-AVERAGE(OFFSET($H$3,0,0,'Données projet'!$E$9+1,1))</f>
        <v>364.63511534965755</v>
      </c>
      <c r="T166" s="62">
        <f t="shared" si="142"/>
        <v>233.32640143610541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6.756406518670606E-2</v>
      </c>
      <c r="AB166" s="23">
        <f>EXP(-LN(2)/2)*AB165+(1-EXP(-LN(2)/2))/(LN(2)/2)*V166*Y166*VLOOKUP('Données projet'!$B$9,Paramètres!$A$1:$I$89,3,0)*0.475*44/12</f>
        <v>1.2026230076357718E-19</v>
      </c>
      <c r="AC166" s="24">
        <f t="shared" si="163"/>
        <v>6.756406518670606E-2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266</v>
      </c>
      <c r="AJ166" s="14">
        <f>AI166*VLOOKUP('Données projet'!$B$10,Paramètres!$A$1:$I$89,3,0)*VLOOKUP('Données projet'!$B$10,Paramètres!$A$1:$I$89,5,0)</f>
        <v>269.72400000000005</v>
      </c>
      <c r="AK166" s="14">
        <f t="shared" si="164"/>
        <v>64.790691635967406</v>
      </c>
      <c r="AL166" s="22">
        <f t="shared" si="165"/>
        <v>582.61308793264323</v>
      </c>
      <c r="AM166" s="62">
        <f t="shared" si="113"/>
        <v>875.9464212659766</v>
      </c>
      <c r="AN166" s="62">
        <f ca="1">AVERAGE(OFFSET($AM$3,0,0,'Données projet'!$E$10+1,1))-AVERAGE(OFFSET($H$3,0,0,'Données projet'!$E$10+1,1))</f>
        <v>403.82490501309815</v>
      </c>
      <c r="AO166" s="62">
        <f t="shared" si="144"/>
        <v>256.4377087753457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7.5718348916136144E-2</v>
      </c>
      <c r="AW166" s="23">
        <f>EXP(-LN(2)/2)*AW165+(1-EXP(-LN(2)/2))/(LN(2)/2)*AQ166*AT166*VLOOKUP('Données projet'!$B$10,Paramètres!$A$1:$I$89,3,0)*0.475*44/12</f>
        <v>1.3477671637297443E-19</v>
      </c>
      <c r="AX166" s="23">
        <f t="shared" si="166"/>
        <v>7.5718348916136144E-2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266</v>
      </c>
      <c r="BE166" s="14">
        <f>BD166*VLOOKUP('Données projet'!$B$11,Paramètres!$A$1:$I$89,3,0)*VLOOKUP('Données projet'!$B$11,Paramètres!$A$1:$I$89,5,0)</f>
        <v>257.27519999999998</v>
      </c>
      <c r="BF166" s="14">
        <f t="shared" si="167"/>
        <v>62.141205057159596</v>
      </c>
      <c r="BG166" s="22">
        <f t="shared" si="168"/>
        <v>556.31690547455287</v>
      </c>
      <c r="BH166" s="62">
        <f t="shared" si="116"/>
        <v>849.65023880788613</v>
      </c>
      <c r="BI166" s="62">
        <f ca="1">AVERAGE(OFFSET($BH$3,0,0,'Données projet'!$E$11+1,1))-AVERAGE(OFFSET($H$3,0,0,'Données projet'!$E$11+1,1))</f>
        <v>387.04070351732537</v>
      </c>
      <c r="BJ166" s="62">
        <f t="shared" si="146"/>
        <v>246.54010105494137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7.2223655889237515E-2</v>
      </c>
      <c r="BR166" s="23">
        <f>EXP(-LN(2)/2)*BR165+(1-EXP(-LN(2)/2))/(LN(2)/2)*BL166*BO166*VLOOKUP('Données projet'!$B$11,Paramètres!$A$1:$I$89,3,0)*0.475*44/12</f>
        <v>1.2855625254037566E-19</v>
      </c>
      <c r="BS166" s="24">
        <f t="shared" si="169"/>
        <v>7.2223655889237515E-2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2.8421709430404007E-14</v>
      </c>
      <c r="BZ166" s="14">
        <f>BY166*VLOOKUP('Données projet'!$B$12,Paramètres!$A$1:$I$89,3,0)*VLOOKUP('Données projet'!$B$12,Paramètres!$A$1:$I$89,5,0)</f>
        <v>2.4829205358400945E-14</v>
      </c>
      <c r="CA166" s="14">
        <f t="shared" si="170"/>
        <v>4.3867331143352915E-13</v>
      </c>
      <c r="CB166" s="22">
        <f t="shared" si="171"/>
        <v>8.0726688341261168E-13</v>
      </c>
      <c r="CC166" s="62">
        <f t="shared" si="119"/>
        <v>293.33333333333411</v>
      </c>
      <c r="CD166" s="62">
        <f ca="1">AVERAGE(OFFSET($CC$3,0,0,'Données projet'!$E$12+1,1))-AVERAGE(OFFSET($H$3,0,0,'Données projet'!$E$12+1,1))</f>
        <v>327.62212115491479</v>
      </c>
      <c r="CE166" s="62">
        <f t="shared" si="148"/>
        <v>348.84706693879735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0.61524272539121405</v>
      </c>
      <c r="CM166" s="23">
        <f>EXP(-LN(2)/2)*CM165+(1-EXP(-LN(2)/2))/(LN(2)/2)*CG166*CJ166*VLOOKUP('Données projet'!$B$12,Paramètres!$A$1:$I$89,3,0)*0.475*44/12</f>
        <v>8.1540659905289741E-19</v>
      </c>
      <c r="CN166" s="24">
        <f t="shared" si="172"/>
        <v>0.61524272539121405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4.1677594708744434E-14</v>
      </c>
      <c r="CV166" s="14">
        <f t="shared" si="173"/>
        <v>6.9326303456159188E-13</v>
      </c>
      <c r="CW166" s="22">
        <f t="shared" si="174"/>
        <v>1.2800215959791691E-12</v>
      </c>
      <c r="CX166" s="62">
        <f t="shared" si="122"/>
        <v>293.33333333333462</v>
      </c>
      <c r="CY166" s="62">
        <f ca="1">AVERAGE(OFFSET($CX$3,0,0,'Données projet'!$E$13+1,1))-AVERAGE(OFFSET($H$3,0,0,'Données projet'!$E$13+1,1))</f>
        <v>277.97613250285963</v>
      </c>
      <c r="CZ166" s="62">
        <f t="shared" si="150"/>
        <v>274.55710362891892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0.57571082363043979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0.57571082363043979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266</v>
      </c>
      <c r="O167" s="14">
        <f>N167*VLOOKUP('Données projet'!$B$9,Paramètres!$A$1:$I$89,3,0)*VLOOKUP('Données projet'!$B$9,Paramètres!$A$1:$I$89,5,0)</f>
        <v>240.67680000000001</v>
      </c>
      <c r="P167" s="14">
        <f t="shared" si="141"/>
        <v>58.585123425001029</v>
      </c>
      <c r="Q167" s="22">
        <f t="shared" si="162"/>
        <v>521.21451663187679</v>
      </c>
      <c r="R167" s="62">
        <f t="shared" si="109"/>
        <v>814.54784996521016</v>
      </c>
      <c r="S167" s="62">
        <f ca="1">AVERAGE(OFFSET($R$3,0,0,'Données projet'!$E$9+1,1))-AVERAGE(OFFSET($H$3,0,0,'Données projet'!$E$9+1,1))</f>
        <v>364.63511534965755</v>
      </c>
      <c r="T167" s="62">
        <f t="shared" si="142"/>
        <v>233.32640143610541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6.5716522271135808E-2</v>
      </c>
      <c r="AB167" s="23">
        <f>EXP(-LN(2)/2)*AB166+(1-EXP(-LN(2)/2))/(LN(2)/2)*V167*Y167*VLOOKUP('Données projet'!$B$9,Paramètres!$A$1:$I$89,3,0)*0.475*44/12</f>
        <v>8.5038288391021534E-20</v>
      </c>
      <c r="AC167" s="24">
        <f t="shared" si="163"/>
        <v>6.5716522271135808E-2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266</v>
      </c>
      <c r="AJ167" s="14">
        <f>AI167*VLOOKUP('Données projet'!$B$10,Paramètres!$A$1:$I$89,3,0)*VLOOKUP('Données projet'!$B$10,Paramètres!$A$1:$I$89,5,0)</f>
        <v>269.72400000000005</v>
      </c>
      <c r="AK167" s="14">
        <f t="shared" si="164"/>
        <v>64.790691635967406</v>
      </c>
      <c r="AL167" s="22">
        <f t="shared" si="165"/>
        <v>582.61308793264323</v>
      </c>
      <c r="AM167" s="62">
        <f t="shared" si="113"/>
        <v>875.9464212659766</v>
      </c>
      <c r="AN167" s="62">
        <f ca="1">AVERAGE(OFFSET($AM$3,0,0,'Données projet'!$E$10+1,1))-AVERAGE(OFFSET($H$3,0,0,'Données projet'!$E$10+1,1))</f>
        <v>403.82490501309815</v>
      </c>
      <c r="AO167" s="62">
        <f t="shared" si="144"/>
        <v>256.4377087753457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7.3647826683169493E-2</v>
      </c>
      <c r="AW167" s="23">
        <f>EXP(-LN(2)/2)*AW166+(1-EXP(-LN(2)/2))/(LN(2)/2)*AQ167*AT167*VLOOKUP('Données projet'!$B$10,Paramètres!$A$1:$I$89,3,0)*0.475*44/12</f>
        <v>9.5301530093386211E-20</v>
      </c>
      <c r="AX167" s="23">
        <f t="shared" si="166"/>
        <v>7.3647826683169493E-2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266</v>
      </c>
      <c r="BE167" s="14">
        <f>BD167*VLOOKUP('Données projet'!$B$11,Paramètres!$A$1:$I$89,3,0)*VLOOKUP('Données projet'!$B$11,Paramètres!$A$1:$I$89,5,0)</f>
        <v>257.27519999999998</v>
      </c>
      <c r="BF167" s="14">
        <f t="shared" si="167"/>
        <v>62.141205057159596</v>
      </c>
      <c r="BG167" s="22">
        <f t="shared" si="168"/>
        <v>556.31690547455287</v>
      </c>
      <c r="BH167" s="62">
        <f t="shared" si="116"/>
        <v>849.65023880788613</v>
      </c>
      <c r="BI167" s="62">
        <f ca="1">AVERAGE(OFFSET($BH$3,0,0,'Données projet'!$E$11+1,1))-AVERAGE(OFFSET($H$3,0,0,'Données projet'!$E$11+1,1))</f>
        <v>387.04070351732537</v>
      </c>
      <c r="BJ167" s="62">
        <f t="shared" si="146"/>
        <v>246.54010105494137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7.0248696220869322E-2</v>
      </c>
      <c r="BR167" s="23">
        <f>EXP(-LN(2)/2)*BR166+(1-EXP(-LN(2)/2))/(LN(2)/2)*BL167*BO167*VLOOKUP('Données projet'!$B$11,Paramètres!$A$1:$I$89,3,0)*0.475*44/12</f>
        <v>9.0902997935229959E-20</v>
      </c>
      <c r="BS167" s="24">
        <f t="shared" si="169"/>
        <v>7.0248696220869322E-2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2.8421709430404007E-14</v>
      </c>
      <c r="BZ167" s="14">
        <f>BY167*VLOOKUP('Données projet'!$B$12,Paramètres!$A$1:$I$89,3,0)*VLOOKUP('Données projet'!$B$12,Paramètres!$A$1:$I$89,5,0)</f>
        <v>2.4829205358400945E-14</v>
      </c>
      <c r="CA167" s="14">
        <f t="shared" si="170"/>
        <v>4.3867331143352915E-13</v>
      </c>
      <c r="CB167" s="22">
        <f t="shared" si="171"/>
        <v>8.0726688341261168E-13</v>
      </c>
      <c r="CC167" s="62">
        <f t="shared" si="119"/>
        <v>293.33333333333411</v>
      </c>
      <c r="CD167" s="62">
        <f ca="1">AVERAGE(OFFSET($CC$3,0,0,'Données projet'!$E$12+1,1))-AVERAGE(OFFSET($H$3,0,0,'Données projet'!$E$12+1,1))</f>
        <v>327.62212115491479</v>
      </c>
      <c r="CE167" s="62">
        <f t="shared" si="148"/>
        <v>348.84706693879735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0.59841888071118254</v>
      </c>
      <c r="CM167" s="23">
        <f>EXP(-LN(2)/2)*CM166+(1-EXP(-LN(2)/2))/(LN(2)/2)*CG167*CJ167*VLOOKUP('Données projet'!$B$12,Paramètres!$A$1:$I$89,3,0)*0.475*44/12</f>
        <v>5.7657953561456402E-19</v>
      </c>
      <c r="CN167" s="24">
        <f t="shared" si="172"/>
        <v>0.59841888071118254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4.1677594708744434E-14</v>
      </c>
      <c r="CV167" s="14">
        <f t="shared" si="173"/>
        <v>6.9326303456159188E-13</v>
      </c>
      <c r="CW167" s="22">
        <f t="shared" si="174"/>
        <v>1.2800215959791691E-12</v>
      </c>
      <c r="CX167" s="62">
        <f t="shared" si="122"/>
        <v>293.33333333333462</v>
      </c>
      <c r="CY167" s="62">
        <f ca="1">AVERAGE(OFFSET($CX$3,0,0,'Données projet'!$E$13+1,1))-AVERAGE(OFFSET($H$3,0,0,'Données projet'!$E$13+1,1))</f>
        <v>277.97613250285963</v>
      </c>
      <c r="CZ167" s="62">
        <f t="shared" si="150"/>
        <v>274.55710362891892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0.56442148552797622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0.56442148552797622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266</v>
      </c>
      <c r="O168" s="14">
        <f>N168*VLOOKUP('Données projet'!$B$9,Paramètres!$A$1:$I$89,3,0)*VLOOKUP('Données projet'!$B$9,Paramètres!$A$1:$I$89,5,0)</f>
        <v>240.67680000000001</v>
      </c>
      <c r="P168" s="14">
        <f t="shared" si="141"/>
        <v>58.585123425001029</v>
      </c>
      <c r="Q168" s="22">
        <f t="shared" si="162"/>
        <v>521.21451663187679</v>
      </c>
      <c r="R168" s="62">
        <f t="shared" si="109"/>
        <v>814.54784996521016</v>
      </c>
      <c r="S168" s="62">
        <f ca="1">AVERAGE(OFFSET($R$3,0,0,'Données projet'!$E$9+1,1))-AVERAGE(OFFSET($H$3,0,0,'Données projet'!$E$9+1,1))</f>
        <v>364.63511534965755</v>
      </c>
      <c r="T168" s="62">
        <f t="shared" si="142"/>
        <v>233.32640143610541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6.3919500513749894E-2</v>
      </c>
      <c r="AB168" s="23">
        <f>EXP(-LN(2)/2)*AB167+(1-EXP(-LN(2)/2))/(LN(2)/2)*V168*Y168*VLOOKUP('Données projet'!$B$9,Paramètres!$A$1:$I$89,3,0)*0.475*44/12</f>
        <v>6.0131150381788588E-20</v>
      </c>
      <c r="AC168" s="24">
        <f t="shared" si="163"/>
        <v>6.3919500513749894E-2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266</v>
      </c>
      <c r="AJ168" s="14">
        <f>AI168*VLOOKUP('Données projet'!$B$10,Paramètres!$A$1:$I$89,3,0)*VLOOKUP('Données projet'!$B$10,Paramètres!$A$1:$I$89,5,0)</f>
        <v>269.72400000000005</v>
      </c>
      <c r="AK168" s="14">
        <f t="shared" si="164"/>
        <v>64.790691635967406</v>
      </c>
      <c r="AL168" s="22">
        <f t="shared" si="165"/>
        <v>582.61308793264323</v>
      </c>
      <c r="AM168" s="62">
        <f t="shared" si="113"/>
        <v>875.9464212659766</v>
      </c>
      <c r="AN168" s="62">
        <f ca="1">AVERAGE(OFFSET($AM$3,0,0,'Données projet'!$E$10+1,1))-AVERAGE(OFFSET($H$3,0,0,'Données projet'!$E$10+1,1))</f>
        <v>403.82490501309815</v>
      </c>
      <c r="AO168" s="62">
        <f t="shared" si="144"/>
        <v>256.4377087753457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7.1633922989547336E-2</v>
      </c>
      <c r="AW168" s="23">
        <f>EXP(-LN(2)/2)*AW167+(1-EXP(-LN(2)/2))/(LN(2)/2)*AQ168*AT168*VLOOKUP('Données projet'!$B$10,Paramètres!$A$1:$I$89,3,0)*0.475*44/12</f>
        <v>6.7388358186487217E-20</v>
      </c>
      <c r="AX168" s="23">
        <f t="shared" si="166"/>
        <v>7.1633922989547336E-2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266</v>
      </c>
      <c r="BE168" s="14">
        <f>BD168*VLOOKUP('Données projet'!$B$11,Paramètres!$A$1:$I$89,3,0)*VLOOKUP('Données projet'!$B$11,Paramètres!$A$1:$I$89,5,0)</f>
        <v>257.27519999999998</v>
      </c>
      <c r="BF168" s="14">
        <f t="shared" si="167"/>
        <v>62.141205057159596</v>
      </c>
      <c r="BG168" s="22">
        <f t="shared" si="168"/>
        <v>556.31690547455287</v>
      </c>
      <c r="BH168" s="62">
        <f t="shared" si="116"/>
        <v>849.65023880788613</v>
      </c>
      <c r="BI168" s="62">
        <f ca="1">AVERAGE(OFFSET($BH$3,0,0,'Données projet'!$E$11+1,1))-AVERAGE(OFFSET($H$3,0,0,'Données projet'!$E$11+1,1))</f>
        <v>387.04070351732537</v>
      </c>
      <c r="BJ168" s="62">
        <f t="shared" si="146"/>
        <v>246.54010105494137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6.8327741928491267E-2</v>
      </c>
      <c r="BR168" s="23">
        <f>EXP(-LN(2)/2)*BR167+(1-EXP(-LN(2)/2))/(LN(2)/2)*BL168*BO168*VLOOKUP('Données projet'!$B$11,Paramètres!$A$1:$I$89,3,0)*0.475*44/12</f>
        <v>6.4278126270187831E-20</v>
      </c>
      <c r="BS168" s="24">
        <f t="shared" si="169"/>
        <v>6.8327741928491267E-2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2.8421709430404007E-14</v>
      </c>
      <c r="BZ168" s="14">
        <f>BY168*VLOOKUP('Données projet'!$B$12,Paramètres!$A$1:$I$89,3,0)*VLOOKUP('Données projet'!$B$12,Paramètres!$A$1:$I$89,5,0)</f>
        <v>2.4829205358400945E-14</v>
      </c>
      <c r="CA168" s="14">
        <f t="shared" si="170"/>
        <v>4.3867331143352915E-13</v>
      </c>
      <c r="CB168" s="22">
        <f t="shared" si="171"/>
        <v>8.0726688341261168E-13</v>
      </c>
      <c r="CC168" s="62">
        <f t="shared" si="119"/>
        <v>293.33333333333411</v>
      </c>
      <c r="CD168" s="62">
        <f ca="1">AVERAGE(OFFSET($CC$3,0,0,'Données projet'!$E$12+1,1))-AVERAGE(OFFSET($H$3,0,0,'Données projet'!$E$12+1,1))</f>
        <v>327.62212115491479</v>
      </c>
      <c r="CE168" s="62">
        <f t="shared" si="148"/>
        <v>348.84706693879735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0.58205508494865399</v>
      </c>
      <c r="CM168" s="23">
        <f>EXP(-LN(2)/2)*CM167+(1-EXP(-LN(2)/2))/(LN(2)/2)*CG168*CJ168*VLOOKUP('Données projet'!$B$12,Paramètres!$A$1:$I$89,3,0)*0.475*44/12</f>
        <v>4.0770329952644871E-19</v>
      </c>
      <c r="CN168" s="24">
        <f t="shared" si="172"/>
        <v>0.58205508494865399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4.1677594708744434E-14</v>
      </c>
      <c r="CV168" s="14">
        <f t="shared" si="173"/>
        <v>6.9326303456159188E-13</v>
      </c>
      <c r="CW168" s="22">
        <f t="shared" si="174"/>
        <v>1.2800215959791691E-12</v>
      </c>
      <c r="CX168" s="62">
        <f t="shared" si="122"/>
        <v>293.33333333333462</v>
      </c>
      <c r="CY168" s="62">
        <f ca="1">AVERAGE(OFFSET($CX$3,0,0,'Données projet'!$E$13+1,1))-AVERAGE(OFFSET($H$3,0,0,'Données projet'!$E$13+1,1))</f>
        <v>277.97613250285963</v>
      </c>
      <c r="CZ168" s="62">
        <f t="shared" si="150"/>
        <v>274.55710362891892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0.55335352445988562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0.55335352445988562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266</v>
      </c>
      <c r="O169" s="14">
        <f>N169*VLOOKUP('Données projet'!$B$9,Paramètres!$A$1:$I$89,3,0)*VLOOKUP('Données projet'!$B$9,Paramètres!$A$1:$I$89,5,0)</f>
        <v>240.67680000000001</v>
      </c>
      <c r="P169" s="14">
        <f t="shared" si="141"/>
        <v>58.585123425001029</v>
      </c>
      <c r="Q169" s="22">
        <f t="shared" si="162"/>
        <v>521.21451663187679</v>
      </c>
      <c r="R169" s="62">
        <f t="shared" si="109"/>
        <v>814.54784996521016</v>
      </c>
      <c r="S169" s="62">
        <f ca="1">AVERAGE(OFFSET($R$3,0,0,'Données projet'!$E$9+1,1))-AVERAGE(OFFSET($H$3,0,0,'Données projet'!$E$9+1,1))</f>
        <v>364.63511534965755</v>
      </c>
      <c r="T169" s="62">
        <f t="shared" si="142"/>
        <v>233.32640143610541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6.2171618410820959E-2</v>
      </c>
      <c r="AB169" s="23">
        <f>EXP(-LN(2)/2)*AB168+(1-EXP(-LN(2)/2))/(LN(2)/2)*V169*Y169*VLOOKUP('Données projet'!$B$9,Paramètres!$A$1:$I$89,3,0)*0.475*44/12</f>
        <v>4.2519144195510767E-20</v>
      </c>
      <c r="AC169" s="24">
        <f t="shared" si="163"/>
        <v>6.2171618410820959E-2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266</v>
      </c>
      <c r="AJ169" s="14">
        <f>AI169*VLOOKUP('Données projet'!$B$10,Paramètres!$A$1:$I$89,3,0)*VLOOKUP('Données projet'!$B$10,Paramètres!$A$1:$I$89,5,0)</f>
        <v>269.72400000000005</v>
      </c>
      <c r="AK169" s="14">
        <f t="shared" si="164"/>
        <v>64.790691635967406</v>
      </c>
      <c r="AL169" s="22">
        <f t="shared" si="165"/>
        <v>582.61308793264323</v>
      </c>
      <c r="AM169" s="62">
        <f t="shared" si="113"/>
        <v>875.9464212659766</v>
      </c>
      <c r="AN169" s="62">
        <f ca="1">AVERAGE(OFFSET($AM$3,0,0,'Données projet'!$E$10+1,1))-AVERAGE(OFFSET($H$3,0,0,'Données projet'!$E$10+1,1))</f>
        <v>403.82490501309815</v>
      </c>
      <c r="AO169" s="62">
        <f t="shared" si="144"/>
        <v>256.4377087753457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6.9675089598333878E-2</v>
      </c>
      <c r="AW169" s="23">
        <f>EXP(-LN(2)/2)*AW168+(1-EXP(-LN(2)/2))/(LN(2)/2)*AQ169*AT169*VLOOKUP('Données projet'!$B$10,Paramètres!$A$1:$I$89,3,0)*0.475*44/12</f>
        <v>4.7650765046693106E-20</v>
      </c>
      <c r="AX169" s="23">
        <f t="shared" si="166"/>
        <v>6.9675089598333878E-2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266</v>
      </c>
      <c r="BE169" s="14">
        <f>BD169*VLOOKUP('Données projet'!$B$11,Paramètres!$A$1:$I$89,3,0)*VLOOKUP('Données projet'!$B$11,Paramètres!$A$1:$I$89,5,0)</f>
        <v>257.27519999999998</v>
      </c>
      <c r="BF169" s="14">
        <f t="shared" si="167"/>
        <v>62.141205057159596</v>
      </c>
      <c r="BG169" s="22">
        <f t="shared" si="168"/>
        <v>556.31690547455287</v>
      </c>
      <c r="BH169" s="62">
        <f t="shared" si="116"/>
        <v>849.65023880788613</v>
      </c>
      <c r="BI169" s="62">
        <f ca="1">AVERAGE(OFFSET($BH$3,0,0,'Données projet'!$E$11+1,1))-AVERAGE(OFFSET($H$3,0,0,'Données projet'!$E$11+1,1))</f>
        <v>387.04070351732537</v>
      </c>
      <c r="BJ169" s="62">
        <f t="shared" si="146"/>
        <v>246.54010105494137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6.6459316232256885E-2</v>
      </c>
      <c r="BR169" s="23">
        <f>EXP(-LN(2)/2)*BR168+(1-EXP(-LN(2)/2))/(LN(2)/2)*BL169*BO169*VLOOKUP('Données projet'!$B$11,Paramètres!$A$1:$I$89,3,0)*0.475*44/12</f>
        <v>4.5451498967614979E-20</v>
      </c>
      <c r="BS169" s="24">
        <f t="shared" si="169"/>
        <v>6.6459316232256885E-2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2.8421709430404007E-14</v>
      </c>
      <c r="BZ169" s="14">
        <f>BY169*VLOOKUP('Données projet'!$B$12,Paramètres!$A$1:$I$89,3,0)*VLOOKUP('Données projet'!$B$12,Paramètres!$A$1:$I$89,5,0)</f>
        <v>2.4829205358400945E-14</v>
      </c>
      <c r="CA169" s="14">
        <f t="shared" si="170"/>
        <v>4.3867331143352915E-13</v>
      </c>
      <c r="CB169" s="22">
        <f t="shared" si="171"/>
        <v>8.0726688341261168E-13</v>
      </c>
      <c r="CC169" s="62">
        <f t="shared" si="119"/>
        <v>293.33333333333411</v>
      </c>
      <c r="CD169" s="62">
        <f ca="1">AVERAGE(OFFSET($CC$3,0,0,'Données projet'!$E$12+1,1))-AVERAGE(OFFSET($H$3,0,0,'Données projet'!$E$12+1,1))</f>
        <v>327.62212115491479</v>
      </c>
      <c r="CE169" s="62">
        <f t="shared" si="148"/>
        <v>348.84706693879735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0.56613875804178648</v>
      </c>
      <c r="CM169" s="23">
        <f>EXP(-LN(2)/2)*CM168+(1-EXP(-LN(2)/2))/(LN(2)/2)*CG169*CJ169*VLOOKUP('Données projet'!$B$12,Paramètres!$A$1:$I$89,3,0)*0.475*44/12</f>
        <v>2.8828976780728201E-19</v>
      </c>
      <c r="CN169" s="24">
        <f t="shared" si="172"/>
        <v>0.56613875804178648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4.1677594708744434E-14</v>
      </c>
      <c r="CV169" s="14">
        <f t="shared" si="173"/>
        <v>6.9326303456159188E-13</v>
      </c>
      <c r="CW169" s="22">
        <f t="shared" si="174"/>
        <v>1.2800215959791691E-12</v>
      </c>
      <c r="CX169" s="62">
        <f t="shared" si="122"/>
        <v>293.33333333333462</v>
      </c>
      <c r="CY169" s="62">
        <f ca="1">AVERAGE(OFFSET($CX$3,0,0,'Données projet'!$E$13+1,1))-AVERAGE(OFFSET($H$3,0,0,'Données projet'!$E$13+1,1))</f>
        <v>277.97613250285963</v>
      </c>
      <c r="CZ169" s="62">
        <f t="shared" si="150"/>
        <v>274.55710362891892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0.54250259935755063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0.54250259935755063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266</v>
      </c>
      <c r="O170" s="14">
        <f>N170*VLOOKUP('Données projet'!$B$9,Paramètres!$A$1:$I$89,3,0)*VLOOKUP('Données projet'!$B$9,Paramètres!$A$1:$I$89,5,0)</f>
        <v>240.67680000000001</v>
      </c>
      <c r="P170" s="14">
        <f t="shared" si="141"/>
        <v>58.585123425001029</v>
      </c>
      <c r="Q170" s="22">
        <f t="shared" si="162"/>
        <v>521.21451663187679</v>
      </c>
      <c r="R170" s="62">
        <f t="shared" si="109"/>
        <v>814.54784996521016</v>
      </c>
      <c r="S170" s="62">
        <f ca="1">AVERAGE(OFFSET($R$3,0,0,'Données projet'!$E$9+1,1))-AVERAGE(OFFSET($H$3,0,0,'Données projet'!$E$9+1,1))</f>
        <v>364.63511534965755</v>
      </c>
      <c r="T170" s="62">
        <f t="shared" si="142"/>
        <v>233.32640143610541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6.0471532235913741E-2</v>
      </c>
      <c r="AB170" s="23">
        <f>EXP(-LN(2)/2)*AB169+(1-EXP(-LN(2)/2))/(LN(2)/2)*V170*Y170*VLOOKUP('Données projet'!$B$9,Paramètres!$A$1:$I$89,3,0)*0.475*44/12</f>
        <v>3.0065575190894294E-20</v>
      </c>
      <c r="AC170" s="24">
        <f t="shared" si="163"/>
        <v>6.0471532235913741E-2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266</v>
      </c>
      <c r="AJ170" s="14">
        <f>AI170*VLOOKUP('Données projet'!$B$10,Paramètres!$A$1:$I$89,3,0)*VLOOKUP('Données projet'!$B$10,Paramètres!$A$1:$I$89,5,0)</f>
        <v>269.72400000000005</v>
      </c>
      <c r="AK170" s="14">
        <f t="shared" si="164"/>
        <v>64.790691635967406</v>
      </c>
      <c r="AL170" s="22">
        <f t="shared" si="165"/>
        <v>582.61308793264323</v>
      </c>
      <c r="AM170" s="62">
        <f t="shared" si="113"/>
        <v>875.9464212659766</v>
      </c>
      <c r="AN170" s="62">
        <f ca="1">AVERAGE(OFFSET($AM$3,0,0,'Données projet'!$E$10+1,1))-AVERAGE(OFFSET($H$3,0,0,'Données projet'!$E$10+1,1))</f>
        <v>403.82490501309815</v>
      </c>
      <c r="AO170" s="62">
        <f t="shared" si="144"/>
        <v>256.4377087753457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6.7769820609213716E-2</v>
      </c>
      <c r="AW170" s="23">
        <f>EXP(-LN(2)/2)*AW169+(1-EXP(-LN(2)/2))/(LN(2)/2)*AQ170*AT170*VLOOKUP('Données projet'!$B$10,Paramètres!$A$1:$I$89,3,0)*0.475*44/12</f>
        <v>3.3694179093243609E-20</v>
      </c>
      <c r="AX170" s="23">
        <f t="shared" si="166"/>
        <v>6.7769820609213716E-2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266</v>
      </c>
      <c r="BE170" s="14">
        <f>BD170*VLOOKUP('Données projet'!$B$11,Paramètres!$A$1:$I$89,3,0)*VLOOKUP('Données projet'!$B$11,Paramètres!$A$1:$I$89,5,0)</f>
        <v>257.27519999999998</v>
      </c>
      <c r="BF170" s="14">
        <f t="shared" si="167"/>
        <v>62.141205057159596</v>
      </c>
      <c r="BG170" s="22">
        <f t="shared" si="168"/>
        <v>556.31690547455287</v>
      </c>
      <c r="BH170" s="62">
        <f t="shared" si="116"/>
        <v>849.65023880788613</v>
      </c>
      <c r="BI170" s="62">
        <f ca="1">AVERAGE(OFFSET($BH$3,0,0,'Données projet'!$E$11+1,1))-AVERAGE(OFFSET($H$3,0,0,'Données projet'!$E$11+1,1))</f>
        <v>387.04070351732537</v>
      </c>
      <c r="BJ170" s="62">
        <f t="shared" si="146"/>
        <v>246.54010105494137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6.4641982734942274E-2</v>
      </c>
      <c r="BR170" s="23">
        <f>EXP(-LN(2)/2)*BR169+(1-EXP(-LN(2)/2))/(LN(2)/2)*BL170*BO170*VLOOKUP('Données projet'!$B$11,Paramètres!$A$1:$I$89,3,0)*0.475*44/12</f>
        <v>3.2139063135093915E-20</v>
      </c>
      <c r="BS170" s="24">
        <f t="shared" si="169"/>
        <v>6.4641982734942274E-2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2.8421709430404007E-14</v>
      </c>
      <c r="BZ170" s="14">
        <f>BY170*VLOOKUP('Données projet'!$B$12,Paramètres!$A$1:$I$89,3,0)*VLOOKUP('Données projet'!$B$12,Paramètres!$A$1:$I$89,5,0)</f>
        <v>2.4829205358400945E-14</v>
      </c>
      <c r="CA170" s="14">
        <f t="shared" si="170"/>
        <v>4.3867331143352915E-13</v>
      </c>
      <c r="CB170" s="22">
        <f t="shared" si="171"/>
        <v>8.0726688341261168E-13</v>
      </c>
      <c r="CC170" s="62">
        <f t="shared" si="119"/>
        <v>293.33333333333411</v>
      </c>
      <c r="CD170" s="62">
        <f ca="1">AVERAGE(OFFSET($CC$3,0,0,'Données projet'!$E$12+1,1))-AVERAGE(OFFSET($H$3,0,0,'Données projet'!$E$12+1,1))</f>
        <v>327.62212115491479</v>
      </c>
      <c r="CE170" s="62">
        <f t="shared" si="148"/>
        <v>348.84706693879735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0.55065766393119042</v>
      </c>
      <c r="CM170" s="23">
        <f>EXP(-LN(2)/2)*CM169+(1-EXP(-LN(2)/2))/(LN(2)/2)*CG170*CJ170*VLOOKUP('Données projet'!$B$12,Paramètres!$A$1:$I$89,3,0)*0.475*44/12</f>
        <v>2.0385164976322435E-19</v>
      </c>
      <c r="CN170" s="24">
        <f t="shared" si="172"/>
        <v>0.55065766393119042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4.1677594708744434E-14</v>
      </c>
      <c r="CV170" s="14">
        <f t="shared" si="173"/>
        <v>6.9326303456159188E-13</v>
      </c>
      <c r="CW170" s="22">
        <f t="shared" si="174"/>
        <v>1.2800215959791691E-12</v>
      </c>
      <c r="CX170" s="62">
        <f t="shared" si="122"/>
        <v>293.33333333333462</v>
      </c>
      <c r="CY170" s="62">
        <f ca="1">AVERAGE(OFFSET($CX$3,0,0,'Données projet'!$E$13+1,1))-AVERAGE(OFFSET($H$3,0,0,'Données projet'!$E$13+1,1))</f>
        <v>277.97613250285963</v>
      </c>
      <c r="CZ170" s="62">
        <f t="shared" si="150"/>
        <v>274.55710362891892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0.53186445427806162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0.53186445427806162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266</v>
      </c>
      <c r="O171" s="14">
        <f>N171*VLOOKUP('Données projet'!$B$9,Paramètres!$A$1:$I$89,3,0)*VLOOKUP('Données projet'!$B$9,Paramètres!$A$1:$I$89,5,0)</f>
        <v>240.67680000000001</v>
      </c>
      <c r="P171" s="14">
        <f t="shared" si="141"/>
        <v>58.585123425001029</v>
      </c>
      <c r="Q171" s="22">
        <f t="shared" si="162"/>
        <v>521.21451663187679</v>
      </c>
      <c r="R171" s="62">
        <f t="shared" si="109"/>
        <v>814.54784996521016</v>
      </c>
      <c r="S171" s="62">
        <f ca="1">AVERAGE(OFFSET($R$3,0,0,'Données projet'!$E$9+1,1))-AVERAGE(OFFSET($H$3,0,0,'Données projet'!$E$9+1,1))</f>
        <v>364.63511534965755</v>
      </c>
      <c r="T171" s="62">
        <f t="shared" si="142"/>
        <v>233.32640143610541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5.8817935006863012E-2</v>
      </c>
      <c r="AB171" s="23">
        <f>EXP(-LN(2)/2)*AB170+(1-EXP(-LN(2)/2))/(LN(2)/2)*V171*Y171*VLOOKUP('Données projet'!$B$9,Paramètres!$A$1:$I$89,3,0)*0.475*44/12</f>
        <v>2.1259572097755383E-20</v>
      </c>
      <c r="AC171" s="24">
        <f t="shared" si="163"/>
        <v>5.8817935006863012E-2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266</v>
      </c>
      <c r="AJ171" s="14">
        <f>AI171*VLOOKUP('Données projet'!$B$10,Paramètres!$A$1:$I$89,3,0)*VLOOKUP('Données projet'!$B$10,Paramètres!$A$1:$I$89,5,0)</f>
        <v>269.72400000000005</v>
      </c>
      <c r="AK171" s="14">
        <f t="shared" si="164"/>
        <v>64.790691635967406</v>
      </c>
      <c r="AL171" s="22">
        <f t="shared" si="165"/>
        <v>582.61308793264323</v>
      </c>
      <c r="AM171" s="62">
        <f t="shared" si="113"/>
        <v>875.9464212659766</v>
      </c>
      <c r="AN171" s="62">
        <f ca="1">AVERAGE(OFFSET($AM$3,0,0,'Données projet'!$E$10+1,1))-AVERAGE(OFFSET($H$3,0,0,'Données projet'!$E$10+1,1))</f>
        <v>403.82490501309815</v>
      </c>
      <c r="AO171" s="62">
        <f t="shared" si="144"/>
        <v>256.4377087753457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6.5916651300794785E-2</v>
      </c>
      <c r="AW171" s="23">
        <f>EXP(-LN(2)/2)*AW170+(1-EXP(-LN(2)/2))/(LN(2)/2)*AQ171*AT171*VLOOKUP('Données projet'!$B$10,Paramètres!$A$1:$I$89,3,0)*0.475*44/12</f>
        <v>2.3825382523346553E-20</v>
      </c>
      <c r="AX171" s="23">
        <f t="shared" si="166"/>
        <v>6.5916651300794785E-2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266</v>
      </c>
      <c r="BE171" s="14">
        <f>BD171*VLOOKUP('Données projet'!$B$11,Paramètres!$A$1:$I$89,3,0)*VLOOKUP('Données projet'!$B$11,Paramètres!$A$1:$I$89,5,0)</f>
        <v>257.27519999999998</v>
      </c>
      <c r="BF171" s="14">
        <f t="shared" si="167"/>
        <v>62.141205057159596</v>
      </c>
      <c r="BG171" s="22">
        <f t="shared" si="168"/>
        <v>556.31690547455287</v>
      </c>
      <c r="BH171" s="62">
        <f t="shared" si="116"/>
        <v>849.65023880788613</v>
      </c>
      <c r="BI171" s="62">
        <f ca="1">AVERAGE(OFFSET($BH$3,0,0,'Données projet'!$E$11+1,1))-AVERAGE(OFFSET($H$3,0,0,'Données projet'!$E$11+1,1))</f>
        <v>387.04070351732537</v>
      </c>
      <c r="BJ171" s="62">
        <f t="shared" si="146"/>
        <v>246.54010105494137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6.2874344317681144E-2</v>
      </c>
      <c r="BR171" s="23">
        <f>EXP(-LN(2)/2)*BR170+(1-EXP(-LN(2)/2))/(LN(2)/2)*BL171*BO171*VLOOKUP('Données projet'!$B$11,Paramètres!$A$1:$I$89,3,0)*0.475*44/12</f>
        <v>2.272574948380749E-20</v>
      </c>
      <c r="BS171" s="24">
        <f t="shared" si="169"/>
        <v>6.2874344317681144E-2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2.8421709430404007E-14</v>
      </c>
      <c r="BZ171" s="14">
        <f>BY171*VLOOKUP('Données projet'!$B$12,Paramètres!$A$1:$I$89,3,0)*VLOOKUP('Données projet'!$B$12,Paramètres!$A$1:$I$89,5,0)</f>
        <v>2.4829205358400945E-14</v>
      </c>
      <c r="CA171" s="14">
        <f t="shared" si="170"/>
        <v>4.3867331143352915E-13</v>
      </c>
      <c r="CB171" s="22">
        <f t="shared" si="171"/>
        <v>8.0726688341261168E-13</v>
      </c>
      <c r="CC171" s="62">
        <f t="shared" si="119"/>
        <v>293.33333333333411</v>
      </c>
      <c r="CD171" s="62">
        <f ca="1">AVERAGE(OFFSET($CC$3,0,0,'Données projet'!$E$12+1,1))-AVERAGE(OFFSET($H$3,0,0,'Données projet'!$E$12+1,1))</f>
        <v>327.62212115491479</v>
      </c>
      <c r="CE171" s="62">
        <f t="shared" si="148"/>
        <v>348.84706693879735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0.53559990115316403</v>
      </c>
      <c r="CM171" s="23">
        <f>EXP(-LN(2)/2)*CM170+(1-EXP(-LN(2)/2))/(LN(2)/2)*CG171*CJ171*VLOOKUP('Données projet'!$B$12,Paramètres!$A$1:$I$89,3,0)*0.475*44/12</f>
        <v>1.44144883903641E-19</v>
      </c>
      <c r="CN171" s="24">
        <f t="shared" si="172"/>
        <v>0.53559990115316403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4.1677594708744434E-14</v>
      </c>
      <c r="CV171" s="14">
        <f t="shared" si="173"/>
        <v>6.9326303456159188E-13</v>
      </c>
      <c r="CW171" s="22">
        <f t="shared" si="174"/>
        <v>1.2800215959791691E-12</v>
      </c>
      <c r="CX171" s="62">
        <f t="shared" si="122"/>
        <v>293.33333333333462</v>
      </c>
      <c r="CY171" s="62">
        <f ca="1">AVERAGE(OFFSET($CX$3,0,0,'Données projet'!$E$13+1,1))-AVERAGE(OFFSET($H$3,0,0,'Données projet'!$E$13+1,1))</f>
        <v>277.97613250285963</v>
      </c>
      <c r="CZ171" s="62">
        <f t="shared" si="150"/>
        <v>274.55710362891892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0.52143491673495357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0.52143491673495357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266</v>
      </c>
      <c r="O172" s="14">
        <f>N172*VLOOKUP('Données projet'!$B$9,Paramètres!$A$1:$I$89,3,0)*VLOOKUP('Données projet'!$B$9,Paramètres!$A$1:$I$89,5,0)</f>
        <v>240.67680000000001</v>
      </c>
      <c r="P172" s="14">
        <f t="shared" si="141"/>
        <v>58.585123425001029</v>
      </c>
      <c r="Q172" s="22">
        <f t="shared" si="162"/>
        <v>521.21451663187679</v>
      </c>
      <c r="R172" s="62">
        <f t="shared" si="109"/>
        <v>814.54784996521016</v>
      </c>
      <c r="S172" s="62">
        <f ca="1">AVERAGE(OFFSET($R$3,0,0,'Données projet'!$E$9+1,1))-AVERAGE(OFFSET($H$3,0,0,'Données projet'!$E$9+1,1))</f>
        <v>364.63511534965755</v>
      </c>
      <c r="T172" s="62">
        <f t="shared" si="142"/>
        <v>233.32640143610541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5.7209555480999569E-2</v>
      </c>
      <c r="AB172" s="23">
        <f>EXP(-LN(2)/2)*AB171+(1-EXP(-LN(2)/2))/(LN(2)/2)*V172*Y172*VLOOKUP('Données projet'!$B$9,Paramètres!$A$1:$I$89,3,0)*0.475*44/12</f>
        <v>1.5032787595447147E-20</v>
      </c>
      <c r="AC172" s="24">
        <f t="shared" si="163"/>
        <v>5.7209555480999569E-2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266</v>
      </c>
      <c r="AJ172" s="14">
        <f>AI172*VLOOKUP('Données projet'!$B$10,Paramètres!$A$1:$I$89,3,0)*VLOOKUP('Données projet'!$B$10,Paramètres!$A$1:$I$89,5,0)</f>
        <v>269.72400000000005</v>
      </c>
      <c r="AK172" s="14">
        <f t="shared" si="164"/>
        <v>64.790691635967406</v>
      </c>
      <c r="AL172" s="22">
        <f t="shared" si="165"/>
        <v>582.61308793264323</v>
      </c>
      <c r="AM172" s="62">
        <f t="shared" si="113"/>
        <v>875.9464212659766</v>
      </c>
      <c r="AN172" s="62">
        <f ca="1">AVERAGE(OFFSET($AM$3,0,0,'Données projet'!$E$10+1,1))-AVERAGE(OFFSET($H$3,0,0,'Données projet'!$E$10+1,1))</f>
        <v>403.82490501309815</v>
      </c>
      <c r="AO172" s="62">
        <f t="shared" si="144"/>
        <v>256.4377087753457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6.4114157004568517E-2</v>
      </c>
      <c r="AW172" s="23">
        <f>EXP(-LN(2)/2)*AW171+(1-EXP(-LN(2)/2))/(LN(2)/2)*AQ172*AT172*VLOOKUP('Données projet'!$B$10,Paramètres!$A$1:$I$89,3,0)*0.475*44/12</f>
        <v>1.6847089546621804E-20</v>
      </c>
      <c r="AX172" s="23">
        <f t="shared" si="166"/>
        <v>6.4114157004568517E-2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266</v>
      </c>
      <c r="BE172" s="14">
        <f>BD172*VLOOKUP('Données projet'!$B$11,Paramètres!$A$1:$I$89,3,0)*VLOOKUP('Données projet'!$B$11,Paramètres!$A$1:$I$89,5,0)</f>
        <v>257.27519999999998</v>
      </c>
      <c r="BF172" s="14">
        <f t="shared" si="167"/>
        <v>62.141205057159596</v>
      </c>
      <c r="BG172" s="22">
        <f t="shared" si="168"/>
        <v>556.31690547455287</v>
      </c>
      <c r="BH172" s="62">
        <f t="shared" si="116"/>
        <v>849.65023880788613</v>
      </c>
      <c r="BI172" s="62">
        <f ca="1">AVERAGE(OFFSET($BH$3,0,0,'Données projet'!$E$11+1,1))-AVERAGE(OFFSET($H$3,0,0,'Données projet'!$E$11+1,1))</f>
        <v>387.04070351732537</v>
      </c>
      <c r="BJ172" s="62">
        <f t="shared" si="146"/>
        <v>246.54010105494137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6.1155042065896087E-2</v>
      </c>
      <c r="BR172" s="23">
        <f>EXP(-LN(2)/2)*BR171+(1-EXP(-LN(2)/2))/(LN(2)/2)*BL172*BO172*VLOOKUP('Données projet'!$B$11,Paramètres!$A$1:$I$89,3,0)*0.475*44/12</f>
        <v>1.6069531567546958E-20</v>
      </c>
      <c r="BS172" s="24">
        <f t="shared" si="169"/>
        <v>6.1155042065896087E-2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2.8421709430404007E-14</v>
      </c>
      <c r="BZ172" s="14">
        <f>BY172*VLOOKUP('Données projet'!$B$12,Paramètres!$A$1:$I$89,3,0)*VLOOKUP('Données projet'!$B$12,Paramètres!$A$1:$I$89,5,0)</f>
        <v>2.4829205358400945E-14</v>
      </c>
      <c r="CA172" s="14">
        <f t="shared" si="170"/>
        <v>4.3867331143352915E-13</v>
      </c>
      <c r="CB172" s="22">
        <f t="shared" si="171"/>
        <v>8.0726688341261168E-13</v>
      </c>
      <c r="CC172" s="62">
        <f t="shared" si="119"/>
        <v>293.33333333333411</v>
      </c>
      <c r="CD172" s="62">
        <f ca="1">AVERAGE(OFFSET($CC$3,0,0,'Données projet'!$E$12+1,1))-AVERAGE(OFFSET($H$3,0,0,'Données projet'!$E$12+1,1))</f>
        <v>327.62212115491479</v>
      </c>
      <c r="CE172" s="62">
        <f t="shared" si="148"/>
        <v>348.84706693879735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0.5209538936901561</v>
      </c>
      <c r="CM172" s="23">
        <f>EXP(-LN(2)/2)*CM171+(1-EXP(-LN(2)/2))/(LN(2)/2)*CG172*CJ172*VLOOKUP('Données projet'!$B$12,Paramètres!$A$1:$I$89,3,0)*0.475*44/12</f>
        <v>1.0192582488161218E-19</v>
      </c>
      <c r="CN172" s="24">
        <f t="shared" si="172"/>
        <v>0.5209538936901561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4.1677594708744434E-14</v>
      </c>
      <c r="CV172" s="14">
        <f t="shared" si="173"/>
        <v>6.9326303456159188E-13</v>
      </c>
      <c r="CW172" s="22">
        <f t="shared" si="174"/>
        <v>1.2800215959791691E-12</v>
      </c>
      <c r="CX172" s="62">
        <f t="shared" si="122"/>
        <v>293.33333333333462</v>
      </c>
      <c r="CY172" s="62">
        <f ca="1">AVERAGE(OFFSET($CX$3,0,0,'Données projet'!$E$13+1,1))-AVERAGE(OFFSET($H$3,0,0,'Données projet'!$E$13+1,1))</f>
        <v>277.97613250285963</v>
      </c>
      <c r="CZ172" s="62">
        <f t="shared" si="150"/>
        <v>274.55710362891892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0.51120989606167611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0.51120989606167611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266</v>
      </c>
      <c r="O173" s="14">
        <f>N173*VLOOKUP('Données projet'!$B$9,Paramètres!$A$1:$I$89,3,0)*VLOOKUP('Données projet'!$B$9,Paramètres!$A$1:$I$89,5,0)</f>
        <v>240.67680000000001</v>
      </c>
      <c r="P173" s="14">
        <f t="shared" si="141"/>
        <v>58.585123425001029</v>
      </c>
      <c r="Q173" s="22">
        <f t="shared" si="162"/>
        <v>521.21451663187679</v>
      </c>
      <c r="R173" s="62">
        <f t="shared" si="109"/>
        <v>814.54784996521016</v>
      </c>
      <c r="S173" s="62">
        <f ca="1">AVERAGE(OFFSET($R$3,0,0,'Données projet'!$E$9+1,1))-AVERAGE(OFFSET($H$3,0,0,'Données projet'!$E$9+1,1))</f>
        <v>364.63511534965755</v>
      </c>
      <c r="T173" s="62">
        <f t="shared" si="142"/>
        <v>233.32640143610541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5.5645157177851866E-2</v>
      </c>
      <c r="AB173" s="23">
        <f>EXP(-LN(2)/2)*AB172+(1-EXP(-LN(2)/2))/(LN(2)/2)*V173*Y173*VLOOKUP('Données projet'!$B$9,Paramètres!$A$1:$I$89,3,0)*0.475*44/12</f>
        <v>1.0629786048877692E-20</v>
      </c>
      <c r="AC173" s="24">
        <f t="shared" si="163"/>
        <v>5.5645157177851866E-2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266</v>
      </c>
      <c r="AJ173" s="14">
        <f>AI173*VLOOKUP('Données projet'!$B$10,Paramètres!$A$1:$I$89,3,0)*VLOOKUP('Données projet'!$B$10,Paramètres!$A$1:$I$89,5,0)</f>
        <v>269.72400000000005</v>
      </c>
      <c r="AK173" s="14">
        <f t="shared" si="164"/>
        <v>64.790691635967406</v>
      </c>
      <c r="AL173" s="22">
        <f t="shared" si="165"/>
        <v>582.61308793264323</v>
      </c>
      <c r="AM173" s="62">
        <f t="shared" si="113"/>
        <v>875.9464212659766</v>
      </c>
      <c r="AN173" s="62">
        <f ca="1">AVERAGE(OFFSET($AM$3,0,0,'Données projet'!$E$10+1,1))-AVERAGE(OFFSET($H$3,0,0,'Données projet'!$E$10+1,1))</f>
        <v>403.82490501309815</v>
      </c>
      <c r="AO173" s="62">
        <f t="shared" si="144"/>
        <v>256.4377087753457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6.2360952009661609E-2</v>
      </c>
      <c r="AW173" s="23">
        <f>EXP(-LN(2)/2)*AW172+(1-EXP(-LN(2)/2))/(LN(2)/2)*AQ173*AT173*VLOOKUP('Données projet'!$B$10,Paramètres!$A$1:$I$89,3,0)*0.475*44/12</f>
        <v>1.1912691261673276E-20</v>
      </c>
      <c r="AX173" s="23">
        <f t="shared" si="166"/>
        <v>6.2360952009661609E-2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266</v>
      </c>
      <c r="BE173" s="14">
        <f>BD173*VLOOKUP('Données projet'!$B$11,Paramètres!$A$1:$I$89,3,0)*VLOOKUP('Données projet'!$B$11,Paramètres!$A$1:$I$89,5,0)</f>
        <v>257.27519999999998</v>
      </c>
      <c r="BF173" s="14">
        <f t="shared" si="167"/>
        <v>62.141205057159596</v>
      </c>
      <c r="BG173" s="22">
        <f t="shared" si="168"/>
        <v>556.31690547455287</v>
      </c>
      <c r="BH173" s="62">
        <f t="shared" si="116"/>
        <v>849.65023880788613</v>
      </c>
      <c r="BI173" s="62">
        <f ca="1">AVERAGE(OFFSET($BH$3,0,0,'Données projet'!$E$11+1,1))-AVERAGE(OFFSET($H$3,0,0,'Données projet'!$E$11+1,1))</f>
        <v>387.04070351732537</v>
      </c>
      <c r="BJ173" s="62">
        <f t="shared" si="146"/>
        <v>246.54010105494137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5.9482754224600268E-2</v>
      </c>
      <c r="BR173" s="23">
        <f>EXP(-LN(2)/2)*BR172+(1-EXP(-LN(2)/2))/(LN(2)/2)*BL173*BO173*VLOOKUP('Données projet'!$B$11,Paramètres!$A$1:$I$89,3,0)*0.475*44/12</f>
        <v>1.1362874741903745E-20</v>
      </c>
      <c r="BS173" s="24">
        <f t="shared" si="169"/>
        <v>5.9482754224600268E-2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2.8421709430404007E-14</v>
      </c>
      <c r="BZ173" s="14">
        <f>BY173*VLOOKUP('Données projet'!$B$12,Paramètres!$A$1:$I$89,3,0)*VLOOKUP('Données projet'!$B$12,Paramètres!$A$1:$I$89,5,0)</f>
        <v>2.4829205358400945E-14</v>
      </c>
      <c r="CA173" s="14">
        <f t="shared" si="170"/>
        <v>4.3867331143352915E-13</v>
      </c>
      <c r="CB173" s="22">
        <f t="shared" si="171"/>
        <v>8.0726688341261168E-13</v>
      </c>
      <c r="CC173" s="62">
        <f t="shared" si="119"/>
        <v>293.33333333333411</v>
      </c>
      <c r="CD173" s="62">
        <f ca="1">AVERAGE(OFFSET($CC$3,0,0,'Données projet'!$E$12+1,1))-AVERAGE(OFFSET($H$3,0,0,'Données projet'!$E$12+1,1))</f>
        <v>327.62212115491479</v>
      </c>
      <c r="CE173" s="62">
        <f t="shared" si="148"/>
        <v>348.84706693879735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0.50670838207142421</v>
      </c>
      <c r="CM173" s="23">
        <f>EXP(-LN(2)/2)*CM172+(1-EXP(-LN(2)/2))/(LN(2)/2)*CG173*CJ173*VLOOKUP('Données projet'!$B$12,Paramètres!$A$1:$I$89,3,0)*0.475*44/12</f>
        <v>7.2072441951820502E-20</v>
      </c>
      <c r="CN173" s="24">
        <f t="shared" si="172"/>
        <v>0.50670838207142421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4.1677594708744434E-14</v>
      </c>
      <c r="CV173" s="14">
        <f t="shared" si="173"/>
        <v>6.9326303456159188E-13</v>
      </c>
      <c r="CW173" s="22">
        <f t="shared" si="174"/>
        <v>1.2800215959791691E-12</v>
      </c>
      <c r="CX173" s="62">
        <f t="shared" si="122"/>
        <v>293.33333333333462</v>
      </c>
      <c r="CY173" s="62">
        <f ca="1">AVERAGE(OFFSET($CX$3,0,0,'Données projet'!$E$13+1,1))-AVERAGE(OFFSET($H$3,0,0,'Données projet'!$E$13+1,1))</f>
        <v>277.97613250285963</v>
      </c>
      <c r="CZ173" s="62">
        <f t="shared" si="150"/>
        <v>274.55710362891892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0.50118538180715477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0.50118538180715477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266</v>
      </c>
      <c r="O174" s="14">
        <f>N174*VLOOKUP('Données projet'!$B$9,Paramètres!$A$1:$I$89,3,0)*VLOOKUP('Données projet'!$B$9,Paramètres!$A$1:$I$89,5,0)</f>
        <v>240.67680000000001</v>
      </c>
      <c r="P174" s="14">
        <f t="shared" si="141"/>
        <v>58.585123425001029</v>
      </c>
      <c r="Q174" s="22">
        <f t="shared" si="162"/>
        <v>521.21451663187679</v>
      </c>
      <c r="R174" s="62">
        <f t="shared" si="109"/>
        <v>814.54784996521016</v>
      </c>
      <c r="S174" s="62">
        <f ca="1">AVERAGE(OFFSET($R$3,0,0,'Données projet'!$E$9+1,1))-AVERAGE(OFFSET($H$3,0,0,'Données projet'!$E$9+1,1))</f>
        <v>364.63511534965755</v>
      </c>
      <c r="T174" s="62">
        <f t="shared" si="142"/>
        <v>233.32640143610541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5.4123537428571872E-2</v>
      </c>
      <c r="AB174" s="23">
        <f>EXP(-LN(2)/2)*AB173+(1-EXP(-LN(2)/2))/(LN(2)/2)*V174*Y174*VLOOKUP('Données projet'!$B$9,Paramètres!$A$1:$I$89,3,0)*0.475*44/12</f>
        <v>7.5163937977235735E-21</v>
      </c>
      <c r="AC174" s="24">
        <f t="shared" si="163"/>
        <v>5.4123537428571872E-2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266</v>
      </c>
      <c r="AJ174" s="14">
        <f>AI174*VLOOKUP('Données projet'!$B$10,Paramètres!$A$1:$I$89,3,0)*VLOOKUP('Données projet'!$B$10,Paramètres!$A$1:$I$89,5,0)</f>
        <v>269.72400000000005</v>
      </c>
      <c r="AK174" s="14">
        <f t="shared" si="164"/>
        <v>64.790691635967406</v>
      </c>
      <c r="AL174" s="22">
        <f t="shared" si="165"/>
        <v>582.61308793264323</v>
      </c>
      <c r="AM174" s="62">
        <f t="shared" si="113"/>
        <v>875.9464212659766</v>
      </c>
      <c r="AN174" s="62">
        <f ca="1">AVERAGE(OFFSET($AM$3,0,0,'Données projet'!$E$10+1,1))-AVERAGE(OFFSET($H$3,0,0,'Données projet'!$E$10+1,1))</f>
        <v>403.82490501309815</v>
      </c>
      <c r="AO174" s="62">
        <f t="shared" si="144"/>
        <v>256.4377087753457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6.0655688497537476E-2</v>
      </c>
      <c r="AW174" s="23">
        <f>EXP(-LN(2)/2)*AW173+(1-EXP(-LN(2)/2))/(LN(2)/2)*AQ174*AT174*VLOOKUP('Données projet'!$B$10,Paramètres!$A$1:$I$89,3,0)*0.475*44/12</f>
        <v>8.4235447733109022E-21</v>
      </c>
      <c r="AX174" s="23">
        <f t="shared" si="166"/>
        <v>6.0655688497537476E-2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266</v>
      </c>
      <c r="BE174" s="14">
        <f>BD174*VLOOKUP('Données projet'!$B$11,Paramètres!$A$1:$I$89,3,0)*VLOOKUP('Données projet'!$B$11,Paramètres!$A$1:$I$89,5,0)</f>
        <v>257.27519999999998</v>
      </c>
      <c r="BF174" s="14">
        <f t="shared" si="167"/>
        <v>62.141205057159596</v>
      </c>
      <c r="BG174" s="22">
        <f t="shared" si="168"/>
        <v>556.31690547455287</v>
      </c>
      <c r="BH174" s="62">
        <f t="shared" si="116"/>
        <v>849.65023880788613</v>
      </c>
      <c r="BI174" s="62">
        <f ca="1">AVERAGE(OFFSET($BH$3,0,0,'Données projet'!$E$11+1,1))-AVERAGE(OFFSET($H$3,0,0,'Données projet'!$E$11+1,1))</f>
        <v>387.04070351732537</v>
      </c>
      <c r="BJ174" s="62">
        <f t="shared" si="146"/>
        <v>246.54010105494137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5.7856195182266479E-2</v>
      </c>
      <c r="BR174" s="23">
        <f>EXP(-LN(2)/2)*BR173+(1-EXP(-LN(2)/2))/(LN(2)/2)*BL174*BO174*VLOOKUP('Données projet'!$B$11,Paramètres!$A$1:$I$89,3,0)*0.475*44/12</f>
        <v>8.0347657837734788E-21</v>
      </c>
      <c r="BS174" s="24">
        <f t="shared" si="169"/>
        <v>5.7856195182266479E-2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2.8421709430404007E-14</v>
      </c>
      <c r="BZ174" s="14">
        <f>BY174*VLOOKUP('Données projet'!$B$12,Paramètres!$A$1:$I$89,3,0)*VLOOKUP('Données projet'!$B$12,Paramètres!$A$1:$I$89,5,0)</f>
        <v>2.4829205358400945E-14</v>
      </c>
      <c r="CA174" s="14">
        <f t="shared" si="170"/>
        <v>4.3867331143352915E-13</v>
      </c>
      <c r="CB174" s="22">
        <f t="shared" si="171"/>
        <v>8.0726688341261168E-13</v>
      </c>
      <c r="CC174" s="62">
        <f t="shared" si="119"/>
        <v>293.33333333333411</v>
      </c>
      <c r="CD174" s="62">
        <f ca="1">AVERAGE(OFFSET($CC$3,0,0,'Données projet'!$E$12+1,1))-AVERAGE(OFFSET($H$3,0,0,'Données projet'!$E$12+1,1))</f>
        <v>327.62212115491479</v>
      </c>
      <c r="CE174" s="62">
        <f t="shared" si="148"/>
        <v>348.84706693879735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0.49285241471704538</v>
      </c>
      <c r="CM174" s="23">
        <f>EXP(-LN(2)/2)*CM173+(1-EXP(-LN(2)/2))/(LN(2)/2)*CG174*CJ174*VLOOKUP('Données projet'!$B$12,Paramètres!$A$1:$I$89,3,0)*0.475*44/12</f>
        <v>5.0962912440806088E-20</v>
      </c>
      <c r="CN174" s="24">
        <f t="shared" si="172"/>
        <v>0.49285241471704538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4.1677594708744434E-14</v>
      </c>
      <c r="CV174" s="14">
        <f t="shared" si="173"/>
        <v>6.9326303456159188E-13</v>
      </c>
      <c r="CW174" s="22">
        <f t="shared" si="174"/>
        <v>1.2800215959791691E-12</v>
      </c>
      <c r="CX174" s="62">
        <f t="shared" si="122"/>
        <v>293.33333333333462</v>
      </c>
      <c r="CY174" s="62">
        <f ca="1">AVERAGE(OFFSET($CX$3,0,0,'Données projet'!$E$13+1,1))-AVERAGE(OFFSET($H$3,0,0,'Données projet'!$E$13+1,1))</f>
        <v>277.97613250285963</v>
      </c>
      <c r="CZ174" s="62">
        <f t="shared" si="150"/>
        <v>274.55710362891892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0.49135744216281468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0.49135744216281468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266</v>
      </c>
      <c r="O175" s="14">
        <f>N175*VLOOKUP('Données projet'!$B$9,Paramètres!$A$1:$I$89,3,0)*VLOOKUP('Données projet'!$B$9,Paramètres!$A$1:$I$89,5,0)</f>
        <v>240.67680000000001</v>
      </c>
      <c r="P175" s="14">
        <f t="shared" si="141"/>
        <v>58.585123425001029</v>
      </c>
      <c r="Q175" s="22">
        <f t="shared" si="162"/>
        <v>521.21451663187679</v>
      </c>
      <c r="R175" s="62">
        <f t="shared" si="109"/>
        <v>814.54784996521016</v>
      </c>
      <c r="S175" s="62">
        <f ca="1">AVERAGE(OFFSET($R$3,0,0,'Données projet'!$E$9+1,1))-AVERAGE(OFFSET($H$3,0,0,'Données projet'!$E$9+1,1))</f>
        <v>364.63511534965755</v>
      </c>
      <c r="T175" s="62">
        <f t="shared" si="142"/>
        <v>233.32640143610541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5.2643526451354443E-2</v>
      </c>
      <c r="AB175" s="23">
        <f>EXP(-LN(2)/2)*AB174+(1-EXP(-LN(2)/2))/(LN(2)/2)*V175*Y175*VLOOKUP('Données projet'!$B$9,Paramètres!$A$1:$I$89,3,0)*0.475*44/12</f>
        <v>5.3148930244388459E-21</v>
      </c>
      <c r="AC175" s="24">
        <f t="shared" si="163"/>
        <v>5.2643526451354443E-2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266</v>
      </c>
      <c r="AJ175" s="14">
        <f>AI175*VLOOKUP('Données projet'!$B$10,Paramètres!$A$1:$I$89,3,0)*VLOOKUP('Données projet'!$B$10,Paramètres!$A$1:$I$89,5,0)</f>
        <v>269.72400000000005</v>
      </c>
      <c r="AK175" s="14">
        <f t="shared" si="164"/>
        <v>64.790691635967406</v>
      </c>
      <c r="AL175" s="22">
        <f t="shared" si="165"/>
        <v>582.61308793264323</v>
      </c>
      <c r="AM175" s="62">
        <f t="shared" si="113"/>
        <v>875.9464212659766</v>
      </c>
      <c r="AN175" s="62">
        <f ca="1">AVERAGE(OFFSET($AM$3,0,0,'Données projet'!$E$10+1,1))-AVERAGE(OFFSET($H$3,0,0,'Données projet'!$E$10+1,1))</f>
        <v>403.82490501309815</v>
      </c>
      <c r="AO175" s="62">
        <f t="shared" si="144"/>
        <v>256.4377087753457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5.8997055505828289E-2</v>
      </c>
      <c r="AW175" s="23">
        <f>EXP(-LN(2)/2)*AW174+(1-EXP(-LN(2)/2))/(LN(2)/2)*AQ175*AT175*VLOOKUP('Données projet'!$B$10,Paramètres!$A$1:$I$89,3,0)*0.475*44/12</f>
        <v>5.9563456308366382E-21</v>
      </c>
      <c r="AX175" s="23">
        <f t="shared" si="166"/>
        <v>5.8997055505828289E-2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266</v>
      </c>
      <c r="BE175" s="14">
        <f>BD175*VLOOKUP('Données projet'!$B$11,Paramètres!$A$1:$I$89,3,0)*VLOOKUP('Données projet'!$B$11,Paramètres!$A$1:$I$89,5,0)</f>
        <v>257.27519999999998</v>
      </c>
      <c r="BF175" s="14">
        <f t="shared" si="167"/>
        <v>62.141205057159596</v>
      </c>
      <c r="BG175" s="22">
        <f t="shared" si="168"/>
        <v>556.31690547455287</v>
      </c>
      <c r="BH175" s="62">
        <f t="shared" si="116"/>
        <v>849.65023880788613</v>
      </c>
      <c r="BI175" s="62">
        <f ca="1">AVERAGE(OFFSET($BH$3,0,0,'Données projet'!$E$11+1,1))-AVERAGE(OFFSET($H$3,0,0,'Données projet'!$E$11+1,1))</f>
        <v>387.04070351732537</v>
      </c>
      <c r="BJ175" s="62">
        <f t="shared" si="146"/>
        <v>246.54010105494137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5.6274114482482332E-2</v>
      </c>
      <c r="BR175" s="23">
        <f>EXP(-LN(2)/2)*BR174+(1-EXP(-LN(2)/2))/(LN(2)/2)*BL175*BO175*VLOOKUP('Données projet'!$B$11,Paramètres!$A$1:$I$89,3,0)*0.475*44/12</f>
        <v>5.6814373709518724E-21</v>
      </c>
      <c r="BS175" s="24">
        <f t="shared" si="169"/>
        <v>5.6274114482482332E-2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2.8421709430404007E-14</v>
      </c>
      <c r="BZ175" s="14">
        <f>BY175*VLOOKUP('Données projet'!$B$12,Paramètres!$A$1:$I$89,3,0)*VLOOKUP('Données projet'!$B$12,Paramètres!$A$1:$I$89,5,0)</f>
        <v>2.4829205358400945E-14</v>
      </c>
      <c r="CA175" s="14">
        <f t="shared" si="170"/>
        <v>4.3867331143352915E-13</v>
      </c>
      <c r="CB175" s="22">
        <f t="shared" si="171"/>
        <v>8.0726688341261168E-13</v>
      </c>
      <c r="CC175" s="62">
        <f t="shared" si="119"/>
        <v>293.33333333333411</v>
      </c>
      <c r="CD175" s="62">
        <f ca="1">AVERAGE(OFFSET($CC$3,0,0,'Données projet'!$E$12+1,1))-AVERAGE(OFFSET($H$3,0,0,'Données projet'!$E$12+1,1))</f>
        <v>327.62212115491479</v>
      </c>
      <c r="CE175" s="62">
        <f t="shared" si="148"/>
        <v>348.84706693879735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0.47937533951862571</v>
      </c>
      <c r="CM175" s="23">
        <f>EXP(-LN(2)/2)*CM174+(1-EXP(-LN(2)/2))/(LN(2)/2)*CG175*CJ175*VLOOKUP('Données projet'!$B$12,Paramètres!$A$1:$I$89,3,0)*0.475*44/12</f>
        <v>3.6036220975910251E-20</v>
      </c>
      <c r="CN175" s="24">
        <f t="shared" si="172"/>
        <v>0.47937533951862571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4.1677594708744434E-14</v>
      </c>
      <c r="CV175" s="14">
        <f t="shared" si="173"/>
        <v>6.9326303456159188E-13</v>
      </c>
      <c r="CW175" s="22">
        <f t="shared" si="174"/>
        <v>1.2800215959791691E-12</v>
      </c>
      <c r="CX175" s="62">
        <f t="shared" si="122"/>
        <v>293.33333333333462</v>
      </c>
      <c r="CY175" s="62">
        <f ca="1">AVERAGE(OFFSET($CX$3,0,0,'Données projet'!$E$13+1,1))-AVERAGE(OFFSET($H$3,0,0,'Données projet'!$E$13+1,1))</f>
        <v>277.97613250285963</v>
      </c>
      <c r="CZ175" s="62">
        <f t="shared" si="150"/>
        <v>274.55710362891892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0.48172222242044882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0.48172222242044882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266</v>
      </c>
      <c r="O176" s="14">
        <f>N176*VLOOKUP('Données projet'!$B$9,Paramètres!$A$1:$I$89,3,0)*VLOOKUP('Données projet'!$B$9,Paramètres!$A$1:$I$89,5,0)</f>
        <v>240.67680000000001</v>
      </c>
      <c r="P176" s="14">
        <f t="shared" si="141"/>
        <v>58.585123425001029</v>
      </c>
      <c r="Q176" s="22">
        <f t="shared" si="162"/>
        <v>521.21451663187679</v>
      </c>
      <c r="R176" s="62">
        <f t="shared" si="109"/>
        <v>814.54784996521016</v>
      </c>
      <c r="S176" s="62">
        <f ca="1">AVERAGE(OFFSET($R$3,0,0,'Données projet'!$E$9+1,1))-AVERAGE(OFFSET($H$3,0,0,'Données projet'!$E$9+1,1))</f>
        <v>364.63511534965755</v>
      </c>
      <c r="T176" s="62">
        <f t="shared" si="142"/>
        <v>233.32640143610541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5.1203986452139416E-2</v>
      </c>
      <c r="AB176" s="23">
        <f>EXP(-LN(2)/2)*AB175+(1-EXP(-LN(2)/2))/(LN(2)/2)*V176*Y176*VLOOKUP('Données projet'!$B$9,Paramètres!$A$1:$I$89,3,0)*0.475*44/12</f>
        <v>3.7581968988617868E-21</v>
      </c>
      <c r="AC176" s="24">
        <f t="shared" si="163"/>
        <v>5.1203986452139416E-2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266</v>
      </c>
      <c r="AJ176" s="14">
        <f>AI176*VLOOKUP('Données projet'!$B$10,Paramètres!$A$1:$I$89,3,0)*VLOOKUP('Données projet'!$B$10,Paramètres!$A$1:$I$89,5,0)</f>
        <v>269.72400000000005</v>
      </c>
      <c r="AK176" s="14">
        <f t="shared" si="164"/>
        <v>64.790691635967406</v>
      </c>
      <c r="AL176" s="22">
        <f t="shared" si="165"/>
        <v>582.61308793264323</v>
      </c>
      <c r="AM176" s="62">
        <f t="shared" si="113"/>
        <v>875.9464212659766</v>
      </c>
      <c r="AN176" s="62">
        <f ca="1">AVERAGE(OFFSET($AM$3,0,0,'Données projet'!$E$10+1,1))-AVERAGE(OFFSET($H$3,0,0,'Données projet'!$E$10+1,1))</f>
        <v>403.82490501309815</v>
      </c>
      <c r="AO176" s="62">
        <f t="shared" si="144"/>
        <v>256.4377087753457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5.7383777920501103E-2</v>
      </c>
      <c r="AW176" s="23">
        <f>EXP(-LN(2)/2)*AW175+(1-EXP(-LN(2)/2))/(LN(2)/2)*AQ176*AT176*VLOOKUP('Données projet'!$B$10,Paramètres!$A$1:$I$89,3,0)*0.475*44/12</f>
        <v>4.2117723866554511E-21</v>
      </c>
      <c r="AX176" s="23">
        <f t="shared" si="166"/>
        <v>5.7383777920501103E-2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266</v>
      </c>
      <c r="BE176" s="14">
        <f>BD176*VLOOKUP('Données projet'!$B$11,Paramètres!$A$1:$I$89,3,0)*VLOOKUP('Données projet'!$B$11,Paramètres!$A$1:$I$89,5,0)</f>
        <v>257.27519999999998</v>
      </c>
      <c r="BF176" s="14">
        <f t="shared" si="167"/>
        <v>62.141205057159596</v>
      </c>
      <c r="BG176" s="22">
        <f t="shared" si="168"/>
        <v>556.31690547455287</v>
      </c>
      <c r="BH176" s="62">
        <f t="shared" si="116"/>
        <v>849.65023880788613</v>
      </c>
      <c r="BI176" s="62">
        <f ca="1">AVERAGE(OFFSET($BH$3,0,0,'Données projet'!$E$11+1,1))-AVERAGE(OFFSET($H$3,0,0,'Données projet'!$E$11+1,1))</f>
        <v>387.04070351732537</v>
      </c>
      <c r="BJ176" s="62">
        <f t="shared" si="146"/>
        <v>246.54010105494137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5.4735295862631789E-2</v>
      </c>
      <c r="BR176" s="23">
        <f>EXP(-LN(2)/2)*BR175+(1-EXP(-LN(2)/2))/(LN(2)/2)*BL176*BO176*VLOOKUP('Données projet'!$B$11,Paramètres!$A$1:$I$89,3,0)*0.475*44/12</f>
        <v>4.0173828918867394E-21</v>
      </c>
      <c r="BS176" s="24">
        <f t="shared" si="169"/>
        <v>5.4735295862631789E-2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2.8421709430404007E-14</v>
      </c>
      <c r="BZ176" s="14">
        <f>BY176*VLOOKUP('Données projet'!$B$12,Paramètres!$A$1:$I$89,3,0)*VLOOKUP('Données projet'!$B$12,Paramètres!$A$1:$I$89,5,0)</f>
        <v>2.4829205358400945E-14</v>
      </c>
      <c r="CA176" s="14">
        <f t="shared" si="170"/>
        <v>4.3867331143352915E-13</v>
      </c>
      <c r="CB176" s="22">
        <f t="shared" si="171"/>
        <v>8.0726688341261168E-13</v>
      </c>
      <c r="CC176" s="62">
        <f t="shared" si="119"/>
        <v>293.33333333333411</v>
      </c>
      <c r="CD176" s="62">
        <f ca="1">AVERAGE(OFFSET($CC$3,0,0,'Données projet'!$E$12+1,1))-AVERAGE(OFFSET($H$3,0,0,'Données projet'!$E$12+1,1))</f>
        <v>327.62212115491479</v>
      </c>
      <c r="CE176" s="62">
        <f t="shared" si="148"/>
        <v>348.84706693879735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0.46626679565023543</v>
      </c>
      <c r="CM176" s="23">
        <f>EXP(-LN(2)/2)*CM175+(1-EXP(-LN(2)/2))/(LN(2)/2)*CG176*CJ176*VLOOKUP('Données projet'!$B$12,Paramètres!$A$1:$I$89,3,0)*0.475*44/12</f>
        <v>2.5481456220403044E-20</v>
      </c>
      <c r="CN176" s="24">
        <f t="shared" si="172"/>
        <v>0.46626679565023543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4.1677594708744434E-14</v>
      </c>
      <c r="CV176" s="14">
        <f t="shared" si="173"/>
        <v>6.9326303456159188E-13</v>
      </c>
      <c r="CW176" s="22">
        <f t="shared" si="174"/>
        <v>1.2800215959791691E-12</v>
      </c>
      <c r="CX176" s="62">
        <f t="shared" si="122"/>
        <v>293.33333333333462</v>
      </c>
      <c r="CY176" s="62">
        <f ca="1">AVERAGE(OFFSET($CX$3,0,0,'Données projet'!$E$13+1,1))-AVERAGE(OFFSET($H$3,0,0,'Données projet'!$E$13+1,1))</f>
        <v>277.97613250285963</v>
      </c>
      <c r="CZ176" s="62">
        <f t="shared" si="150"/>
        <v>274.55710362891892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0.47227594346032703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0.47227594346032703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266</v>
      </c>
      <c r="O177" s="14">
        <f>N177*VLOOKUP('Données projet'!$B$9,Paramètres!$A$1:$I$89,3,0)*VLOOKUP('Données projet'!$B$9,Paramètres!$A$1:$I$89,5,0)</f>
        <v>240.67680000000001</v>
      </c>
      <c r="P177" s="14">
        <f t="shared" si="141"/>
        <v>58.585123425001029</v>
      </c>
      <c r="Q177" s="22">
        <f t="shared" si="162"/>
        <v>521.21451663187679</v>
      </c>
      <c r="R177" s="62">
        <f t="shared" si="109"/>
        <v>814.54784996521016</v>
      </c>
      <c r="S177" s="62">
        <f ca="1">AVERAGE(OFFSET($R$3,0,0,'Données projet'!$E$9+1,1))-AVERAGE(OFFSET($H$3,0,0,'Données projet'!$E$9+1,1))</f>
        <v>364.63511534965755</v>
      </c>
      <c r="T177" s="62">
        <f t="shared" si="142"/>
        <v>233.32640143610541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4.9803810749905045E-2</v>
      </c>
      <c r="AB177" s="23">
        <f>EXP(-LN(2)/2)*AB176+(1-EXP(-LN(2)/2))/(LN(2)/2)*V177*Y177*VLOOKUP('Données projet'!$B$9,Paramètres!$A$1:$I$89,3,0)*0.475*44/12</f>
        <v>2.6574465122194229E-21</v>
      </c>
      <c r="AC177" s="24">
        <f t="shared" si="163"/>
        <v>4.9803810749905045E-2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266</v>
      </c>
      <c r="AJ177" s="14">
        <f>AI177*VLOOKUP('Données projet'!$B$10,Paramètres!$A$1:$I$89,3,0)*VLOOKUP('Données projet'!$B$10,Paramètres!$A$1:$I$89,5,0)</f>
        <v>269.72400000000005</v>
      </c>
      <c r="AK177" s="14">
        <f t="shared" si="164"/>
        <v>64.790691635967406</v>
      </c>
      <c r="AL177" s="22">
        <f t="shared" si="165"/>
        <v>582.61308793264323</v>
      </c>
      <c r="AM177" s="62">
        <f t="shared" si="113"/>
        <v>875.9464212659766</v>
      </c>
      <c r="AN177" s="62">
        <f ca="1">AVERAGE(OFFSET($AM$3,0,0,'Données projet'!$E$10+1,1))-AVERAGE(OFFSET($H$3,0,0,'Données projet'!$E$10+1,1))</f>
        <v>403.82490501309815</v>
      </c>
      <c r="AO177" s="62">
        <f t="shared" si="144"/>
        <v>256.4377087753457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5.5814615495583274E-2</v>
      </c>
      <c r="AW177" s="23">
        <f>EXP(-LN(2)/2)*AW176+(1-EXP(-LN(2)/2))/(LN(2)/2)*AQ177*AT177*VLOOKUP('Données projet'!$B$10,Paramètres!$A$1:$I$89,3,0)*0.475*44/12</f>
        <v>2.9781728154183191E-21</v>
      </c>
      <c r="AX177" s="23">
        <f t="shared" si="166"/>
        <v>5.5814615495583274E-2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266</v>
      </c>
      <c r="BE177" s="14">
        <f>BD177*VLOOKUP('Données projet'!$B$11,Paramètres!$A$1:$I$89,3,0)*VLOOKUP('Données projet'!$B$11,Paramètres!$A$1:$I$89,5,0)</f>
        <v>257.27519999999998</v>
      </c>
      <c r="BF177" s="14">
        <f t="shared" si="167"/>
        <v>62.141205057159596</v>
      </c>
      <c r="BG177" s="22">
        <f t="shared" si="168"/>
        <v>556.31690547455287</v>
      </c>
      <c r="BH177" s="62">
        <f t="shared" si="116"/>
        <v>849.65023880788613</v>
      </c>
      <c r="BI177" s="62">
        <f ca="1">AVERAGE(OFFSET($BH$3,0,0,'Données projet'!$E$11+1,1))-AVERAGE(OFFSET($H$3,0,0,'Données projet'!$E$11+1,1))</f>
        <v>387.04070351732537</v>
      </c>
      <c r="BJ177" s="62">
        <f t="shared" si="146"/>
        <v>246.54010105494137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5.3238556318864011E-2</v>
      </c>
      <c r="BR177" s="23">
        <f>EXP(-LN(2)/2)*BR176+(1-EXP(-LN(2)/2))/(LN(2)/2)*BL177*BO177*VLOOKUP('Données projet'!$B$11,Paramètres!$A$1:$I$89,3,0)*0.475*44/12</f>
        <v>2.8407186854759362E-21</v>
      </c>
      <c r="BS177" s="24">
        <f t="shared" si="169"/>
        <v>5.3238556318864011E-2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2.8421709430404007E-14</v>
      </c>
      <c r="BZ177" s="14">
        <f>BY177*VLOOKUP('Données projet'!$B$12,Paramètres!$A$1:$I$89,3,0)*VLOOKUP('Données projet'!$B$12,Paramètres!$A$1:$I$89,5,0)</f>
        <v>2.4829205358400945E-14</v>
      </c>
      <c r="CA177" s="14">
        <f t="shared" si="170"/>
        <v>4.3867331143352915E-13</v>
      </c>
      <c r="CB177" s="22">
        <f t="shared" si="171"/>
        <v>8.0726688341261168E-13</v>
      </c>
      <c r="CC177" s="62">
        <f t="shared" si="119"/>
        <v>293.33333333333411</v>
      </c>
      <c r="CD177" s="62">
        <f ca="1">AVERAGE(OFFSET($CC$3,0,0,'Données projet'!$E$12+1,1))-AVERAGE(OFFSET($H$3,0,0,'Données projet'!$E$12+1,1))</f>
        <v>327.62212115491479</v>
      </c>
      <c r="CE177" s="62">
        <f t="shared" si="148"/>
        <v>348.84706693879735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0.45351670560327462</v>
      </c>
      <c r="CM177" s="23">
        <f>EXP(-LN(2)/2)*CM176+(1-EXP(-LN(2)/2))/(LN(2)/2)*CG177*CJ177*VLOOKUP('Données projet'!$B$12,Paramètres!$A$1:$I$89,3,0)*0.475*44/12</f>
        <v>1.8018110487955125E-20</v>
      </c>
      <c r="CN177" s="24">
        <f t="shared" si="172"/>
        <v>0.45351670560327462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4.1677594708744434E-14</v>
      </c>
      <c r="CV177" s="14">
        <f t="shared" si="173"/>
        <v>6.9326303456159188E-13</v>
      </c>
      <c r="CW177" s="22">
        <f t="shared" si="174"/>
        <v>1.2800215959791691E-12</v>
      </c>
      <c r="CX177" s="62">
        <f t="shared" si="122"/>
        <v>293.33333333333462</v>
      </c>
      <c r="CY177" s="62">
        <f ca="1">AVERAGE(OFFSET($CX$3,0,0,'Données projet'!$E$13+1,1))-AVERAGE(OFFSET($H$3,0,0,'Données projet'!$E$13+1,1))</f>
        <v>277.97613250285963</v>
      </c>
      <c r="CZ177" s="62">
        <f t="shared" si="150"/>
        <v>274.55710362891892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0.46301490026895198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0.46301490026895198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266</v>
      </c>
      <c r="O178" s="14">
        <f>N178*VLOOKUP('Données projet'!$B$9,Paramètres!$A$1:$I$89,3,0)*VLOOKUP('Données projet'!$B$9,Paramètres!$A$1:$I$89,5,0)</f>
        <v>240.67680000000001</v>
      </c>
      <c r="P178" s="14">
        <f t="shared" si="141"/>
        <v>58.585123425001029</v>
      </c>
      <c r="Q178" s="22">
        <f t="shared" si="162"/>
        <v>521.21451663187679</v>
      </c>
      <c r="R178" s="62">
        <f t="shared" si="109"/>
        <v>814.54784996521016</v>
      </c>
      <c r="S178" s="62">
        <f ca="1">AVERAGE(OFFSET($R$3,0,0,'Données projet'!$E$9+1,1))-AVERAGE(OFFSET($H$3,0,0,'Données projet'!$E$9+1,1))</f>
        <v>364.63511534965755</v>
      </c>
      <c r="T178" s="62">
        <f t="shared" si="142"/>
        <v>233.32640143610541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4.8441922925880315E-2</v>
      </c>
      <c r="AB178" s="23">
        <f>EXP(-LN(2)/2)*AB177+(1-EXP(-LN(2)/2))/(LN(2)/2)*V178*Y178*VLOOKUP('Données projet'!$B$9,Paramètres!$A$1:$I$89,3,0)*0.475*44/12</f>
        <v>1.8790984494308934E-21</v>
      </c>
      <c r="AC178" s="24">
        <f t="shared" si="163"/>
        <v>4.8441922925880315E-2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266</v>
      </c>
      <c r="AJ178" s="14">
        <f>AI178*VLOOKUP('Données projet'!$B$10,Paramètres!$A$1:$I$89,3,0)*VLOOKUP('Données projet'!$B$10,Paramètres!$A$1:$I$89,5,0)</f>
        <v>269.72400000000005</v>
      </c>
      <c r="AK178" s="14">
        <f t="shared" si="164"/>
        <v>64.790691635967406</v>
      </c>
      <c r="AL178" s="22">
        <f t="shared" si="165"/>
        <v>582.61308793264323</v>
      </c>
      <c r="AM178" s="62">
        <f t="shared" si="113"/>
        <v>875.9464212659766</v>
      </c>
      <c r="AN178" s="62">
        <f ca="1">AVERAGE(OFFSET($AM$3,0,0,'Données projet'!$E$10+1,1))-AVERAGE(OFFSET($H$3,0,0,'Données projet'!$E$10+1,1))</f>
        <v>403.82490501309815</v>
      </c>
      <c r="AO178" s="62">
        <f t="shared" si="144"/>
        <v>256.4377087753457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5.4288361899693487E-2</v>
      </c>
      <c r="AW178" s="23">
        <f>EXP(-LN(2)/2)*AW177+(1-EXP(-LN(2)/2))/(LN(2)/2)*AQ178*AT178*VLOOKUP('Données projet'!$B$10,Paramètres!$A$1:$I$89,3,0)*0.475*44/12</f>
        <v>2.1058861933277255E-21</v>
      </c>
      <c r="AX178" s="23">
        <f t="shared" si="166"/>
        <v>5.4288361899693487E-2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266</v>
      </c>
      <c r="BE178" s="14">
        <f>BD178*VLOOKUP('Données projet'!$B$11,Paramètres!$A$1:$I$89,3,0)*VLOOKUP('Données projet'!$B$11,Paramètres!$A$1:$I$89,5,0)</f>
        <v>257.27519999999998</v>
      </c>
      <c r="BF178" s="14">
        <f t="shared" si="167"/>
        <v>62.141205057159596</v>
      </c>
      <c r="BG178" s="22">
        <f t="shared" si="168"/>
        <v>556.31690547455287</v>
      </c>
      <c r="BH178" s="62">
        <f t="shared" si="116"/>
        <v>849.65023880788613</v>
      </c>
      <c r="BI178" s="62">
        <f ca="1">AVERAGE(OFFSET($BH$3,0,0,'Données projet'!$E$11+1,1))-AVERAGE(OFFSET($H$3,0,0,'Données projet'!$E$11+1,1))</f>
        <v>387.04070351732537</v>
      </c>
      <c r="BJ178" s="62">
        <f t="shared" si="146"/>
        <v>246.54010105494137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5.1782745196630675E-2</v>
      </c>
      <c r="BR178" s="23">
        <f>EXP(-LN(2)/2)*BR177+(1-EXP(-LN(2)/2))/(LN(2)/2)*BL178*BO178*VLOOKUP('Données projet'!$B$11,Paramètres!$A$1:$I$89,3,0)*0.475*44/12</f>
        <v>2.0086914459433697E-21</v>
      </c>
      <c r="BS178" s="24">
        <f t="shared" si="169"/>
        <v>5.1782745196630675E-2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2.8421709430404007E-14</v>
      </c>
      <c r="BZ178" s="14">
        <f>BY178*VLOOKUP('Données projet'!$B$12,Paramètres!$A$1:$I$89,3,0)*VLOOKUP('Données projet'!$B$12,Paramètres!$A$1:$I$89,5,0)</f>
        <v>2.4829205358400945E-14</v>
      </c>
      <c r="CA178" s="14">
        <f t="shared" si="170"/>
        <v>4.3867331143352915E-13</v>
      </c>
      <c r="CB178" s="22">
        <f t="shared" si="171"/>
        <v>8.0726688341261168E-13</v>
      </c>
      <c r="CC178" s="62">
        <f t="shared" si="119"/>
        <v>293.33333333333411</v>
      </c>
      <c r="CD178" s="62">
        <f ca="1">AVERAGE(OFFSET($CC$3,0,0,'Données projet'!$E$12+1,1))-AVERAGE(OFFSET($H$3,0,0,'Données projet'!$E$12+1,1))</f>
        <v>327.62212115491479</v>
      </c>
      <c r="CE178" s="62">
        <f t="shared" si="148"/>
        <v>348.84706693879735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0.44111526743914603</v>
      </c>
      <c r="CM178" s="23">
        <f>EXP(-LN(2)/2)*CM177+(1-EXP(-LN(2)/2))/(LN(2)/2)*CG178*CJ178*VLOOKUP('Données projet'!$B$12,Paramètres!$A$1:$I$89,3,0)*0.475*44/12</f>
        <v>1.2740728110201522E-20</v>
      </c>
      <c r="CN178" s="24">
        <f t="shared" si="172"/>
        <v>0.44111526743914603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4.1677594708744434E-14</v>
      </c>
      <c r="CV178" s="14">
        <f t="shared" si="173"/>
        <v>6.9326303456159188E-13</v>
      </c>
      <c r="CW178" s="22">
        <f t="shared" si="174"/>
        <v>1.2800215959791691E-12</v>
      </c>
      <c r="CX178" s="62">
        <f t="shared" si="122"/>
        <v>293.33333333333462</v>
      </c>
      <c r="CY178" s="62">
        <f ca="1">AVERAGE(OFFSET($CX$3,0,0,'Données projet'!$E$13+1,1))-AVERAGE(OFFSET($H$3,0,0,'Données projet'!$E$13+1,1))</f>
        <v>277.97613250285963</v>
      </c>
      <c r="CZ178" s="62">
        <f t="shared" si="150"/>
        <v>274.55710362891892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0.45393546048588118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0.45393546048588118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266</v>
      </c>
      <c r="O179" s="14">
        <f>N179*VLOOKUP('Données projet'!$B$9,Paramètres!$A$1:$I$89,3,0)*VLOOKUP('Données projet'!$B$9,Paramètres!$A$1:$I$89,5,0)</f>
        <v>240.67680000000001</v>
      </c>
      <c r="P179" s="14">
        <f t="shared" si="141"/>
        <v>58.585123425001029</v>
      </c>
      <c r="Q179" s="22">
        <f t="shared" si="162"/>
        <v>521.21451663187679</v>
      </c>
      <c r="R179" s="62">
        <f t="shared" si="109"/>
        <v>814.54784996521016</v>
      </c>
      <c r="S179" s="62">
        <f ca="1">AVERAGE(OFFSET($R$3,0,0,'Données projet'!$E$9+1,1))-AVERAGE(OFFSET($H$3,0,0,'Données projet'!$E$9+1,1))</f>
        <v>364.63511534965755</v>
      </c>
      <c r="T179" s="62">
        <f t="shared" si="142"/>
        <v>233.32640143610541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4.7117275996022105E-2</v>
      </c>
      <c r="AB179" s="23">
        <f>EXP(-LN(2)/2)*AB178+(1-EXP(-LN(2)/2))/(LN(2)/2)*V179*Y179*VLOOKUP('Données projet'!$B$9,Paramètres!$A$1:$I$89,3,0)*0.475*44/12</f>
        <v>1.3287232561097115E-21</v>
      </c>
      <c r="AC179" s="24">
        <f t="shared" si="163"/>
        <v>4.7117275996022105E-2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266</v>
      </c>
      <c r="AJ179" s="14">
        <f>AI179*VLOOKUP('Données projet'!$B$10,Paramètres!$A$1:$I$89,3,0)*VLOOKUP('Données projet'!$B$10,Paramètres!$A$1:$I$89,5,0)</f>
        <v>269.72400000000005</v>
      </c>
      <c r="AK179" s="14">
        <f t="shared" si="164"/>
        <v>64.790691635967406</v>
      </c>
      <c r="AL179" s="22">
        <f t="shared" si="165"/>
        <v>582.61308793264323</v>
      </c>
      <c r="AM179" s="62">
        <f t="shared" si="113"/>
        <v>875.9464212659766</v>
      </c>
      <c r="AN179" s="62">
        <f ca="1">AVERAGE(OFFSET($AM$3,0,0,'Données projet'!$E$10+1,1))-AVERAGE(OFFSET($H$3,0,0,'Données projet'!$E$10+1,1))</f>
        <v>403.82490501309815</v>
      </c>
      <c r="AO179" s="62">
        <f t="shared" si="144"/>
        <v>256.4377087753457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5.2803843788645492E-2</v>
      </c>
      <c r="AW179" s="23">
        <f>EXP(-LN(2)/2)*AW178+(1-EXP(-LN(2)/2))/(LN(2)/2)*AQ179*AT179*VLOOKUP('Données projet'!$B$10,Paramètres!$A$1:$I$89,3,0)*0.475*44/12</f>
        <v>1.4890864077091596E-21</v>
      </c>
      <c r="AX179" s="23">
        <f t="shared" si="166"/>
        <v>5.2803843788645492E-2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266</v>
      </c>
      <c r="BE179" s="14">
        <f>BD179*VLOOKUP('Données projet'!$B$11,Paramètres!$A$1:$I$89,3,0)*VLOOKUP('Données projet'!$B$11,Paramètres!$A$1:$I$89,5,0)</f>
        <v>257.27519999999998</v>
      </c>
      <c r="BF179" s="14">
        <f t="shared" si="167"/>
        <v>62.141205057159596</v>
      </c>
      <c r="BG179" s="22">
        <f t="shared" si="168"/>
        <v>556.31690547455287</v>
      </c>
      <c r="BH179" s="62">
        <f t="shared" si="116"/>
        <v>849.65023880788613</v>
      </c>
      <c r="BI179" s="62">
        <f ca="1">AVERAGE(OFFSET($BH$3,0,0,'Données projet'!$E$11+1,1))-AVERAGE(OFFSET($H$3,0,0,'Données projet'!$E$11+1,1))</f>
        <v>387.04070351732537</v>
      </c>
      <c r="BJ179" s="62">
        <f t="shared" si="146"/>
        <v>246.54010105494137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5.0366743306092587E-2</v>
      </c>
      <c r="BR179" s="23">
        <f>EXP(-LN(2)/2)*BR178+(1-EXP(-LN(2)/2))/(LN(2)/2)*BL179*BO179*VLOOKUP('Données projet'!$B$11,Paramètres!$A$1:$I$89,3,0)*0.475*44/12</f>
        <v>1.4203593427379681E-21</v>
      </c>
      <c r="BS179" s="24">
        <f t="shared" si="169"/>
        <v>5.0366743306092587E-2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2.8421709430404007E-14</v>
      </c>
      <c r="BZ179" s="14">
        <f>BY179*VLOOKUP('Données projet'!$B$12,Paramètres!$A$1:$I$89,3,0)*VLOOKUP('Données projet'!$B$12,Paramètres!$A$1:$I$89,5,0)</f>
        <v>2.4829205358400945E-14</v>
      </c>
      <c r="CA179" s="14">
        <f t="shared" si="170"/>
        <v>4.3867331143352915E-13</v>
      </c>
      <c r="CB179" s="22">
        <f t="shared" si="171"/>
        <v>8.0726688341261168E-13</v>
      </c>
      <c r="CC179" s="62">
        <f t="shared" si="119"/>
        <v>293.33333333333411</v>
      </c>
      <c r="CD179" s="62">
        <f ca="1">AVERAGE(OFFSET($CC$3,0,0,'Données projet'!$E$12+1,1))-AVERAGE(OFFSET($H$3,0,0,'Données projet'!$E$12+1,1))</f>
        <v>327.62212115491479</v>
      </c>
      <c r="CE179" s="62">
        <f t="shared" si="148"/>
        <v>348.84706693879735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0.42905294725377885</v>
      </c>
      <c r="CM179" s="23">
        <f>EXP(-LN(2)/2)*CM178+(1-EXP(-LN(2)/2))/(LN(2)/2)*CG179*CJ179*VLOOKUP('Données projet'!$B$12,Paramètres!$A$1:$I$89,3,0)*0.475*44/12</f>
        <v>9.0090552439775627E-21</v>
      </c>
      <c r="CN179" s="24">
        <f t="shared" si="172"/>
        <v>0.42905294725377885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4.1677594708744434E-14</v>
      </c>
      <c r="CV179" s="14">
        <f t="shared" si="173"/>
        <v>6.9326303456159188E-13</v>
      </c>
      <c r="CW179" s="22">
        <f t="shared" si="174"/>
        <v>1.2800215959791691E-12</v>
      </c>
      <c r="CX179" s="62">
        <f t="shared" si="122"/>
        <v>293.33333333333462</v>
      </c>
      <c r="CY179" s="62">
        <f ca="1">AVERAGE(OFFSET($CX$3,0,0,'Données projet'!$E$13+1,1))-AVERAGE(OFFSET($H$3,0,0,'Données projet'!$E$13+1,1))</f>
        <v>277.97613250285963</v>
      </c>
      <c r="CZ179" s="62">
        <f t="shared" si="150"/>
        <v>274.55710362891892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0.44503406297904496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0.44503406297904496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266</v>
      </c>
      <c r="O180" s="14">
        <f>N180*VLOOKUP('Données projet'!$B$9,Paramètres!$A$1:$I$89,3,0)*VLOOKUP('Données projet'!$B$9,Paramètres!$A$1:$I$89,5,0)</f>
        <v>240.67680000000001</v>
      </c>
      <c r="P180" s="14">
        <f t="shared" si="141"/>
        <v>58.585123425001029</v>
      </c>
      <c r="Q180" s="22">
        <f t="shared" si="162"/>
        <v>521.21451663187679</v>
      </c>
      <c r="R180" s="62">
        <f t="shared" si="109"/>
        <v>814.54784996521016</v>
      </c>
      <c r="S180" s="62">
        <f ca="1">AVERAGE(OFFSET($R$3,0,0,'Données projet'!$E$9+1,1))-AVERAGE(OFFSET($H$3,0,0,'Données projet'!$E$9+1,1))</f>
        <v>364.63511534965755</v>
      </c>
      <c r="T180" s="62">
        <f t="shared" si="142"/>
        <v>233.32640143610541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4.5828851606121025E-2</v>
      </c>
      <c r="AB180" s="23">
        <f>EXP(-LN(2)/2)*AB179+(1-EXP(-LN(2)/2))/(LN(2)/2)*V180*Y180*VLOOKUP('Données projet'!$B$9,Paramètres!$A$1:$I$89,3,0)*0.475*44/12</f>
        <v>9.3954922471544669E-22</v>
      </c>
      <c r="AC180" s="24">
        <f t="shared" si="163"/>
        <v>4.5828851606121025E-2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266</v>
      </c>
      <c r="AJ180" s="14">
        <f>AI180*VLOOKUP('Données projet'!$B$10,Paramètres!$A$1:$I$89,3,0)*VLOOKUP('Données projet'!$B$10,Paramètres!$A$1:$I$89,5,0)</f>
        <v>269.72400000000005</v>
      </c>
      <c r="AK180" s="14">
        <f t="shared" si="164"/>
        <v>64.790691635967406</v>
      </c>
      <c r="AL180" s="22">
        <f t="shared" si="165"/>
        <v>582.61308793264323</v>
      </c>
      <c r="AM180" s="62">
        <f t="shared" si="113"/>
        <v>875.9464212659766</v>
      </c>
      <c r="AN180" s="62">
        <f ca="1">AVERAGE(OFFSET($AM$3,0,0,'Données projet'!$E$10+1,1))-AVERAGE(OFFSET($H$3,0,0,'Données projet'!$E$10+1,1))</f>
        <v>403.82490501309815</v>
      </c>
      <c r="AO180" s="62">
        <f t="shared" si="144"/>
        <v>256.4377087753457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5.1359919903411523E-2</v>
      </c>
      <c r="AW180" s="23">
        <f>EXP(-LN(2)/2)*AW179+(1-EXP(-LN(2)/2))/(LN(2)/2)*AQ180*AT180*VLOOKUP('Données projet'!$B$10,Paramètres!$A$1:$I$89,3,0)*0.475*44/12</f>
        <v>1.0529430966638628E-21</v>
      </c>
      <c r="AX180" s="23">
        <f t="shared" si="166"/>
        <v>5.1359919903411523E-2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266</v>
      </c>
      <c r="BE180" s="14">
        <f>BD180*VLOOKUP('Données projet'!$B$11,Paramètres!$A$1:$I$89,3,0)*VLOOKUP('Données projet'!$B$11,Paramètres!$A$1:$I$89,5,0)</f>
        <v>257.27519999999998</v>
      </c>
      <c r="BF180" s="14">
        <f t="shared" si="167"/>
        <v>62.141205057159596</v>
      </c>
      <c r="BG180" s="22">
        <f t="shared" si="168"/>
        <v>556.31690547455287</v>
      </c>
      <c r="BH180" s="62">
        <f t="shared" si="116"/>
        <v>849.65023880788613</v>
      </c>
      <c r="BI180" s="62">
        <f ca="1">AVERAGE(OFFSET($BH$3,0,0,'Données projet'!$E$11+1,1))-AVERAGE(OFFSET($H$3,0,0,'Données projet'!$E$11+1,1))</f>
        <v>387.04070351732537</v>
      </c>
      <c r="BJ180" s="62">
        <f t="shared" si="146"/>
        <v>246.54010105494137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4.8989462061715568E-2</v>
      </c>
      <c r="BR180" s="23">
        <f>EXP(-LN(2)/2)*BR179+(1-EXP(-LN(2)/2))/(LN(2)/2)*BL180*BO180*VLOOKUP('Données projet'!$B$11,Paramètres!$A$1:$I$89,3,0)*0.475*44/12</f>
        <v>1.0043457229716849E-21</v>
      </c>
      <c r="BS180" s="24">
        <f t="shared" si="169"/>
        <v>4.8989462061715568E-2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2.8421709430404007E-14</v>
      </c>
      <c r="BZ180" s="14">
        <f>BY180*VLOOKUP('Données projet'!$B$12,Paramètres!$A$1:$I$89,3,0)*VLOOKUP('Données projet'!$B$12,Paramètres!$A$1:$I$89,5,0)</f>
        <v>2.4829205358400945E-14</v>
      </c>
      <c r="CA180" s="14">
        <f t="shared" si="170"/>
        <v>4.3867331143352915E-13</v>
      </c>
      <c r="CB180" s="22">
        <f t="shared" si="171"/>
        <v>8.0726688341261168E-13</v>
      </c>
      <c r="CC180" s="62">
        <f t="shared" si="119"/>
        <v>293.33333333333411</v>
      </c>
      <c r="CD180" s="62">
        <f ca="1">AVERAGE(OFFSET($CC$3,0,0,'Données projet'!$E$12+1,1))-AVERAGE(OFFSET($H$3,0,0,'Données projet'!$E$12+1,1))</f>
        <v>327.62212115491479</v>
      </c>
      <c r="CE180" s="62">
        <f t="shared" si="148"/>
        <v>348.84706693879735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0.41732047184821036</v>
      </c>
      <c r="CM180" s="23">
        <f>EXP(-LN(2)/2)*CM179+(1-EXP(-LN(2)/2))/(LN(2)/2)*CG180*CJ180*VLOOKUP('Données projet'!$B$12,Paramètres!$A$1:$I$89,3,0)*0.475*44/12</f>
        <v>6.3703640551007611E-21</v>
      </c>
      <c r="CN180" s="24">
        <f t="shared" si="172"/>
        <v>0.41732047184821036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4.1677594708744434E-14</v>
      </c>
      <c r="CV180" s="14">
        <f t="shared" si="173"/>
        <v>6.9326303456159188E-13</v>
      </c>
      <c r="CW180" s="22">
        <f t="shared" si="174"/>
        <v>1.2800215959791691E-12</v>
      </c>
      <c r="CX180" s="62">
        <f t="shared" si="122"/>
        <v>293.33333333333462</v>
      </c>
      <c r="CY180" s="62">
        <f ca="1">AVERAGE(OFFSET($CX$3,0,0,'Données projet'!$E$13+1,1))-AVERAGE(OFFSET($H$3,0,0,'Données projet'!$E$13+1,1))</f>
        <v>277.97613250285963</v>
      </c>
      <c r="CZ180" s="62">
        <f t="shared" si="150"/>
        <v>274.55710362891892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0.43630721644800147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0.43630721644800147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266</v>
      </c>
      <c r="O181" s="14">
        <f>N181*VLOOKUP('Données projet'!$B$9,Paramètres!$A$1:$I$89,3,0)*VLOOKUP('Données projet'!$B$9,Paramètres!$A$1:$I$89,5,0)</f>
        <v>240.67680000000001</v>
      </c>
      <c r="P181" s="14">
        <f t="shared" si="141"/>
        <v>58.585123425001029</v>
      </c>
      <c r="Q181" s="22">
        <f t="shared" si="162"/>
        <v>521.21451663187679</v>
      </c>
      <c r="R181" s="62">
        <f t="shared" si="109"/>
        <v>814.54784996521016</v>
      </c>
      <c r="S181" s="62">
        <f ca="1">AVERAGE(OFFSET($R$3,0,0,'Données projet'!$E$9+1,1))-AVERAGE(OFFSET($H$3,0,0,'Données projet'!$E$9+1,1))</f>
        <v>364.63511534965755</v>
      </c>
      <c r="T181" s="62">
        <f t="shared" si="142"/>
        <v>233.32640143610541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4.4575659248917085E-2</v>
      </c>
      <c r="AB181" s="23">
        <f>EXP(-LN(2)/2)*AB180+(1-EXP(-LN(2)/2))/(LN(2)/2)*V181*Y181*VLOOKUP('Données projet'!$B$9,Paramètres!$A$1:$I$89,3,0)*0.475*44/12</f>
        <v>6.6436162805485573E-22</v>
      </c>
      <c r="AC181" s="24">
        <f t="shared" si="163"/>
        <v>4.4575659248917085E-2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266</v>
      </c>
      <c r="AJ181" s="14">
        <f>AI181*VLOOKUP('Données projet'!$B$10,Paramètres!$A$1:$I$89,3,0)*VLOOKUP('Données projet'!$B$10,Paramètres!$A$1:$I$89,5,0)</f>
        <v>269.72400000000005</v>
      </c>
      <c r="AK181" s="14">
        <f t="shared" si="164"/>
        <v>64.790691635967406</v>
      </c>
      <c r="AL181" s="22">
        <f t="shared" si="165"/>
        <v>582.61308793264323</v>
      </c>
      <c r="AM181" s="62">
        <f t="shared" si="113"/>
        <v>875.9464212659766</v>
      </c>
      <c r="AN181" s="62">
        <f ca="1">AVERAGE(OFFSET($AM$3,0,0,'Données projet'!$E$10+1,1))-AVERAGE(OFFSET($H$3,0,0,'Données projet'!$E$10+1,1))</f>
        <v>403.82490501309815</v>
      </c>
      <c r="AO181" s="62">
        <f t="shared" si="144"/>
        <v>256.4377087753457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4.9955480192751929E-2</v>
      </c>
      <c r="AW181" s="23">
        <f>EXP(-LN(2)/2)*AW180+(1-EXP(-LN(2)/2))/(LN(2)/2)*AQ181*AT181*VLOOKUP('Données projet'!$B$10,Paramètres!$A$1:$I$89,3,0)*0.475*44/12</f>
        <v>7.4454320385457978E-22</v>
      </c>
      <c r="AX181" s="23">
        <f t="shared" si="166"/>
        <v>4.9955480192751929E-2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266</v>
      </c>
      <c r="BE181" s="14">
        <f>BD181*VLOOKUP('Données projet'!$B$11,Paramètres!$A$1:$I$89,3,0)*VLOOKUP('Données projet'!$B$11,Paramètres!$A$1:$I$89,5,0)</f>
        <v>257.27519999999998</v>
      </c>
      <c r="BF181" s="14">
        <f t="shared" si="167"/>
        <v>62.141205057159596</v>
      </c>
      <c r="BG181" s="22">
        <f t="shared" si="168"/>
        <v>556.31690547455287</v>
      </c>
      <c r="BH181" s="62">
        <f t="shared" si="116"/>
        <v>849.65023880788613</v>
      </c>
      <c r="BI181" s="62">
        <f ca="1">AVERAGE(OFFSET($BH$3,0,0,'Données projet'!$E$11+1,1))-AVERAGE(OFFSET($H$3,0,0,'Données projet'!$E$11+1,1))</f>
        <v>387.04070351732537</v>
      </c>
      <c r="BJ181" s="62">
        <f t="shared" si="146"/>
        <v>246.54010105494137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4.7649842645394111E-2</v>
      </c>
      <c r="BR181" s="23">
        <f>EXP(-LN(2)/2)*BR180+(1-EXP(-LN(2)/2))/(LN(2)/2)*BL181*BO181*VLOOKUP('Données projet'!$B$11,Paramètres!$A$1:$I$89,3,0)*0.475*44/12</f>
        <v>7.1017967136898405E-22</v>
      </c>
      <c r="BS181" s="24">
        <f t="shared" si="169"/>
        <v>4.7649842645394111E-2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2.8421709430404007E-14</v>
      </c>
      <c r="BZ181" s="14">
        <f>BY181*VLOOKUP('Données projet'!$B$12,Paramètres!$A$1:$I$89,3,0)*VLOOKUP('Données projet'!$B$12,Paramètres!$A$1:$I$89,5,0)</f>
        <v>2.4829205358400945E-14</v>
      </c>
      <c r="CA181" s="14">
        <f t="shared" si="170"/>
        <v>4.3867331143352915E-13</v>
      </c>
      <c r="CB181" s="22">
        <f t="shared" si="171"/>
        <v>8.0726688341261168E-13</v>
      </c>
      <c r="CC181" s="62">
        <f t="shared" si="119"/>
        <v>293.33333333333411</v>
      </c>
      <c r="CD181" s="62">
        <f ca="1">AVERAGE(OFFSET($CC$3,0,0,'Données projet'!$E$12+1,1))-AVERAGE(OFFSET($H$3,0,0,'Données projet'!$E$12+1,1))</f>
        <v>327.62212115491479</v>
      </c>
      <c r="CE181" s="62">
        <f t="shared" si="148"/>
        <v>348.84706693879735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0.40590882159959124</v>
      </c>
      <c r="CM181" s="23">
        <f>EXP(-LN(2)/2)*CM180+(1-EXP(-LN(2)/2))/(LN(2)/2)*CG181*CJ181*VLOOKUP('Données projet'!$B$12,Paramètres!$A$1:$I$89,3,0)*0.475*44/12</f>
        <v>4.5045276219887814E-21</v>
      </c>
      <c r="CN181" s="24">
        <f t="shared" si="172"/>
        <v>0.40590882159959124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4.1677594708744434E-14</v>
      </c>
      <c r="CV181" s="14">
        <f t="shared" si="173"/>
        <v>6.9326303456159188E-13</v>
      </c>
      <c r="CW181" s="22">
        <f t="shared" si="174"/>
        <v>1.2800215959791691E-12</v>
      </c>
      <c r="CX181" s="62">
        <f t="shared" si="122"/>
        <v>293.33333333333462</v>
      </c>
      <c r="CY181" s="62">
        <f ca="1">AVERAGE(OFFSET($CX$3,0,0,'Données projet'!$E$13+1,1))-AVERAGE(OFFSET($H$3,0,0,'Données projet'!$E$13+1,1))</f>
        <v>277.97613250285963</v>
      </c>
      <c r="CZ181" s="62">
        <f t="shared" si="150"/>
        <v>274.55710362891892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0.4277514980545809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0.4277514980545809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266</v>
      </c>
      <c r="O182" s="14">
        <f>N182*VLOOKUP('Données projet'!$B$9,Paramètres!$A$1:$I$89,3,0)*VLOOKUP('Données projet'!$B$9,Paramètres!$A$1:$I$89,5,0)</f>
        <v>240.67680000000001</v>
      </c>
      <c r="P182" s="14">
        <f t="shared" si="141"/>
        <v>58.585123425001029</v>
      </c>
      <c r="Q182" s="22">
        <f t="shared" si="162"/>
        <v>521.21451663187679</v>
      </c>
      <c r="R182" s="62">
        <f t="shared" si="109"/>
        <v>814.54784996521016</v>
      </c>
      <c r="S182" s="62">
        <f ca="1">AVERAGE(OFFSET($R$3,0,0,'Données projet'!$E$9+1,1))-AVERAGE(OFFSET($H$3,0,0,'Données projet'!$E$9+1,1))</f>
        <v>364.63511534965755</v>
      </c>
      <c r="T182" s="62">
        <f t="shared" si="142"/>
        <v>233.32640143610541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4.3356735502623409E-2</v>
      </c>
      <c r="AB182" s="23">
        <f>EXP(-LN(2)/2)*AB181+(1-EXP(-LN(2)/2))/(LN(2)/2)*V182*Y182*VLOOKUP('Données projet'!$B$9,Paramètres!$A$1:$I$89,3,0)*0.475*44/12</f>
        <v>4.6977461235772335E-22</v>
      </c>
      <c r="AC182" s="24">
        <f t="shared" si="163"/>
        <v>4.3356735502623409E-2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266</v>
      </c>
      <c r="AJ182" s="14">
        <f>AI182*VLOOKUP('Données projet'!$B$10,Paramètres!$A$1:$I$89,3,0)*VLOOKUP('Données projet'!$B$10,Paramètres!$A$1:$I$89,5,0)</f>
        <v>269.72400000000005</v>
      </c>
      <c r="AK182" s="14">
        <f t="shared" si="164"/>
        <v>64.790691635967406</v>
      </c>
      <c r="AL182" s="22">
        <f t="shared" si="165"/>
        <v>582.61308793264323</v>
      </c>
      <c r="AM182" s="62">
        <f t="shared" si="113"/>
        <v>875.9464212659766</v>
      </c>
      <c r="AN182" s="62">
        <f ca="1">AVERAGE(OFFSET($AM$3,0,0,'Données projet'!$E$10+1,1))-AVERAGE(OFFSET($H$3,0,0,'Données projet'!$E$10+1,1))</f>
        <v>403.82490501309815</v>
      </c>
      <c r="AO182" s="62">
        <f t="shared" si="144"/>
        <v>256.4377087753457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4.8589444959836602E-2</v>
      </c>
      <c r="AW182" s="23">
        <f>EXP(-LN(2)/2)*AW181+(1-EXP(-LN(2)/2))/(LN(2)/2)*AQ182*AT182*VLOOKUP('Données projet'!$B$10,Paramètres!$A$1:$I$89,3,0)*0.475*44/12</f>
        <v>5.2647154833193139E-22</v>
      </c>
      <c r="AX182" s="23">
        <f t="shared" si="166"/>
        <v>4.8589444959836602E-2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266</v>
      </c>
      <c r="BE182" s="14">
        <f>BD182*VLOOKUP('Données projet'!$B$11,Paramètres!$A$1:$I$89,3,0)*VLOOKUP('Données projet'!$B$11,Paramètres!$A$1:$I$89,5,0)</f>
        <v>257.27519999999998</v>
      </c>
      <c r="BF182" s="14">
        <f t="shared" si="167"/>
        <v>62.141205057159596</v>
      </c>
      <c r="BG182" s="22">
        <f t="shared" si="168"/>
        <v>556.31690547455287</v>
      </c>
      <c r="BH182" s="62">
        <f t="shared" si="116"/>
        <v>849.65023880788613</v>
      </c>
      <c r="BI182" s="62">
        <f ca="1">AVERAGE(OFFSET($BH$3,0,0,'Données projet'!$E$11+1,1))-AVERAGE(OFFSET($H$3,0,0,'Données projet'!$E$11+1,1))</f>
        <v>387.04070351732537</v>
      </c>
      <c r="BJ182" s="62">
        <f t="shared" si="146"/>
        <v>246.54010105494137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4.6346855192459492E-2</v>
      </c>
      <c r="BR182" s="23">
        <f>EXP(-LN(2)/2)*BR181+(1-EXP(-LN(2)/2))/(LN(2)/2)*BL182*BO182*VLOOKUP('Données projet'!$B$11,Paramètres!$A$1:$I$89,3,0)*0.475*44/12</f>
        <v>5.0217286148584243E-22</v>
      </c>
      <c r="BS182" s="24">
        <f t="shared" si="169"/>
        <v>4.6346855192459492E-2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2.8421709430404007E-14</v>
      </c>
      <c r="BZ182" s="14">
        <f>BY182*VLOOKUP('Données projet'!$B$12,Paramètres!$A$1:$I$89,3,0)*VLOOKUP('Données projet'!$B$12,Paramètres!$A$1:$I$89,5,0)</f>
        <v>2.4829205358400945E-14</v>
      </c>
      <c r="CA182" s="14">
        <f t="shared" si="170"/>
        <v>4.3867331143352915E-13</v>
      </c>
      <c r="CB182" s="22">
        <f t="shared" si="171"/>
        <v>8.0726688341261168E-13</v>
      </c>
      <c r="CC182" s="62">
        <f t="shared" si="119"/>
        <v>293.33333333333411</v>
      </c>
      <c r="CD182" s="62">
        <f ca="1">AVERAGE(OFFSET($CC$3,0,0,'Données projet'!$E$12+1,1))-AVERAGE(OFFSET($H$3,0,0,'Données projet'!$E$12+1,1))</f>
        <v>327.62212115491479</v>
      </c>
      <c r="CE182" s="62">
        <f t="shared" si="148"/>
        <v>348.84706693879735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0.39480922352713321</v>
      </c>
      <c r="CM182" s="23">
        <f>EXP(-LN(2)/2)*CM181+(1-EXP(-LN(2)/2))/(LN(2)/2)*CG182*CJ182*VLOOKUP('Données projet'!$B$12,Paramètres!$A$1:$I$89,3,0)*0.475*44/12</f>
        <v>3.1851820275503805E-21</v>
      </c>
      <c r="CN182" s="24">
        <f t="shared" si="172"/>
        <v>0.39480922352713321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4.1677594708744434E-14</v>
      </c>
      <c r="CV182" s="14">
        <f t="shared" si="173"/>
        <v>6.9326303456159188E-13</v>
      </c>
      <c r="CW182" s="22">
        <f t="shared" si="174"/>
        <v>1.2800215959791691E-12</v>
      </c>
      <c r="CX182" s="62">
        <f t="shared" si="122"/>
        <v>293.33333333333462</v>
      </c>
      <c r="CY182" s="62">
        <f ca="1">AVERAGE(OFFSET($CX$3,0,0,'Données projet'!$E$13+1,1))-AVERAGE(OFFSET($H$3,0,0,'Données projet'!$E$13+1,1))</f>
        <v>277.97613250285963</v>
      </c>
      <c r="CZ182" s="62">
        <f t="shared" si="150"/>
        <v>274.55710362891892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0.4193635520803824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0.4193635520803824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266</v>
      </c>
      <c r="O183" s="14">
        <f>N183*VLOOKUP('Données projet'!$B$9,Paramètres!$A$1:$I$89,3,0)*VLOOKUP('Données projet'!$B$9,Paramètres!$A$1:$I$89,5,0)</f>
        <v>240.67680000000001</v>
      </c>
      <c r="P183" s="14">
        <f t="shared" si="141"/>
        <v>58.585123425001029</v>
      </c>
      <c r="Q183" s="22">
        <f t="shared" si="162"/>
        <v>521.21451663187679</v>
      </c>
      <c r="R183" s="62">
        <f t="shared" si="109"/>
        <v>814.54784996521016</v>
      </c>
      <c r="S183" s="62">
        <f ca="1">AVERAGE(OFFSET($R$3,0,0,'Données projet'!$E$9+1,1))-AVERAGE(OFFSET($H$3,0,0,'Données projet'!$E$9+1,1))</f>
        <v>364.63511534965755</v>
      </c>
      <c r="T183" s="62">
        <f t="shared" si="142"/>
        <v>233.32640143610541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4.2171143290272543E-2</v>
      </c>
      <c r="AB183" s="23">
        <f>EXP(-LN(2)/2)*AB182+(1-EXP(-LN(2)/2))/(LN(2)/2)*V183*Y183*VLOOKUP('Données projet'!$B$9,Paramètres!$A$1:$I$89,3,0)*0.475*44/12</f>
        <v>3.3218081402742787E-22</v>
      </c>
      <c r="AC183" s="24">
        <f t="shared" si="163"/>
        <v>4.2171143290272543E-2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266</v>
      </c>
      <c r="AJ183" s="14">
        <f>AI183*VLOOKUP('Données projet'!$B$10,Paramètres!$A$1:$I$89,3,0)*VLOOKUP('Données projet'!$B$10,Paramètres!$A$1:$I$89,5,0)</f>
        <v>269.72400000000005</v>
      </c>
      <c r="AK183" s="14">
        <f t="shared" si="164"/>
        <v>64.790691635967406</v>
      </c>
      <c r="AL183" s="22">
        <f t="shared" si="165"/>
        <v>582.61308793264323</v>
      </c>
      <c r="AM183" s="62">
        <f t="shared" si="113"/>
        <v>875.9464212659766</v>
      </c>
      <c r="AN183" s="62">
        <f ca="1">AVERAGE(OFFSET($AM$3,0,0,'Données projet'!$E$10+1,1))-AVERAGE(OFFSET($H$3,0,0,'Données projet'!$E$10+1,1))</f>
        <v>403.82490501309815</v>
      </c>
      <c r="AO183" s="62">
        <f t="shared" si="144"/>
        <v>256.4377087753457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4.7260764032202009E-2</v>
      </c>
      <c r="AW183" s="23">
        <f>EXP(-LN(2)/2)*AW182+(1-EXP(-LN(2)/2))/(LN(2)/2)*AQ183*AT183*VLOOKUP('Données projet'!$B$10,Paramètres!$A$1:$I$89,3,0)*0.475*44/12</f>
        <v>3.7227160192728989E-22</v>
      </c>
      <c r="AX183" s="23">
        <f t="shared" si="166"/>
        <v>4.7260764032202009E-2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266</v>
      </c>
      <c r="BE183" s="14">
        <f>BD183*VLOOKUP('Données projet'!$B$11,Paramètres!$A$1:$I$89,3,0)*VLOOKUP('Données projet'!$B$11,Paramètres!$A$1:$I$89,5,0)</f>
        <v>257.27519999999998</v>
      </c>
      <c r="BF183" s="14">
        <f t="shared" si="167"/>
        <v>62.141205057159596</v>
      </c>
      <c r="BG183" s="22">
        <f t="shared" si="168"/>
        <v>556.31690547455287</v>
      </c>
      <c r="BH183" s="62">
        <f t="shared" si="116"/>
        <v>849.65023880788613</v>
      </c>
      <c r="BI183" s="62">
        <f ca="1">AVERAGE(OFFSET($BH$3,0,0,'Données projet'!$E$11+1,1))-AVERAGE(OFFSET($H$3,0,0,'Données projet'!$E$11+1,1))</f>
        <v>387.04070351732537</v>
      </c>
      <c r="BJ183" s="62">
        <f t="shared" si="146"/>
        <v>246.54010105494137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4.5079497999946497E-2</v>
      </c>
      <c r="BR183" s="23">
        <f>EXP(-LN(2)/2)*BR182+(1-EXP(-LN(2)/2))/(LN(2)/2)*BL183*BO183*VLOOKUP('Données projet'!$B$11,Paramètres!$A$1:$I$89,3,0)*0.475*44/12</f>
        <v>3.5508983568449203E-22</v>
      </c>
      <c r="BS183" s="24">
        <f t="shared" si="169"/>
        <v>4.5079497999946497E-2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2.8421709430404007E-14</v>
      </c>
      <c r="BZ183" s="14">
        <f>BY183*VLOOKUP('Données projet'!$B$12,Paramètres!$A$1:$I$89,3,0)*VLOOKUP('Données projet'!$B$12,Paramètres!$A$1:$I$89,5,0)</f>
        <v>2.4829205358400945E-14</v>
      </c>
      <c r="CA183" s="14">
        <f t="shared" si="170"/>
        <v>4.3867331143352915E-13</v>
      </c>
      <c r="CB183" s="22">
        <f t="shared" si="171"/>
        <v>8.0726688341261168E-13</v>
      </c>
      <c r="CC183" s="62">
        <f t="shared" si="119"/>
        <v>293.33333333333411</v>
      </c>
      <c r="CD183" s="62">
        <f ca="1">AVERAGE(OFFSET($CC$3,0,0,'Données projet'!$E$12+1,1))-AVERAGE(OFFSET($H$3,0,0,'Données projet'!$E$12+1,1))</f>
        <v>327.62212115491479</v>
      </c>
      <c r="CE183" s="62">
        <f t="shared" si="148"/>
        <v>348.84706693879735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0.38401314454766905</v>
      </c>
      <c r="CM183" s="23">
        <f>EXP(-LN(2)/2)*CM182+(1-EXP(-LN(2)/2))/(LN(2)/2)*CG183*CJ183*VLOOKUP('Données projet'!$B$12,Paramètres!$A$1:$I$89,3,0)*0.475*44/12</f>
        <v>2.2522638109943907E-21</v>
      </c>
      <c r="CN183" s="24">
        <f t="shared" si="172"/>
        <v>0.38401314454766905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4.1677594708744434E-14</v>
      </c>
      <c r="CV183" s="14">
        <f t="shared" si="173"/>
        <v>6.9326303456159188E-13</v>
      </c>
      <c r="CW183" s="22">
        <f t="shared" si="174"/>
        <v>1.2800215959791691E-12</v>
      </c>
      <c r="CX183" s="62">
        <f t="shared" si="122"/>
        <v>293.33333333333462</v>
      </c>
      <c r="CY183" s="62">
        <f ca="1">AVERAGE(OFFSET($CX$3,0,0,'Données projet'!$E$13+1,1))-AVERAGE(OFFSET($H$3,0,0,'Données projet'!$E$13+1,1))</f>
        <v>277.97613250285963</v>
      </c>
      <c r="CZ183" s="62">
        <f t="shared" si="150"/>
        <v>274.55710362891892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0.41114008861059603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0.41114008861059603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266</v>
      </c>
      <c r="O184" s="14">
        <f>N184*VLOOKUP('Données projet'!$B$9,Paramètres!$A$1:$I$89,3,0)*VLOOKUP('Données projet'!$B$9,Paramètres!$A$1:$I$89,5,0)</f>
        <v>240.67680000000001</v>
      </c>
      <c r="P184" s="14">
        <f t="shared" si="141"/>
        <v>58.585123425001029</v>
      </c>
      <c r="Q184" s="22">
        <f t="shared" si="162"/>
        <v>521.21451663187679</v>
      </c>
      <c r="R184" s="62">
        <f t="shared" si="109"/>
        <v>814.54784996521016</v>
      </c>
      <c r="S184" s="62">
        <f ca="1">AVERAGE(OFFSET($R$3,0,0,'Données projet'!$E$9+1,1))-AVERAGE(OFFSET($H$3,0,0,'Données projet'!$E$9+1,1))</f>
        <v>364.63511534965755</v>
      </c>
      <c r="T184" s="62">
        <f t="shared" si="142"/>
        <v>233.32640143610541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4.1017971159315998E-2</v>
      </c>
      <c r="AB184" s="23">
        <f>EXP(-LN(2)/2)*AB183+(1-EXP(-LN(2)/2))/(LN(2)/2)*V184*Y184*VLOOKUP('Données projet'!$B$9,Paramètres!$A$1:$I$89,3,0)*0.475*44/12</f>
        <v>2.3488730617886167E-22</v>
      </c>
      <c r="AC184" s="24">
        <f t="shared" si="163"/>
        <v>4.1017971159315998E-2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266</v>
      </c>
      <c r="AJ184" s="14">
        <f>AI184*VLOOKUP('Données projet'!$B$10,Paramètres!$A$1:$I$89,3,0)*VLOOKUP('Données projet'!$B$10,Paramètres!$A$1:$I$89,5,0)</f>
        <v>269.72400000000005</v>
      </c>
      <c r="AK184" s="14">
        <f t="shared" si="164"/>
        <v>64.790691635967406</v>
      </c>
      <c r="AL184" s="22">
        <f t="shared" si="165"/>
        <v>582.61308793264323</v>
      </c>
      <c r="AM184" s="62">
        <f t="shared" si="113"/>
        <v>875.9464212659766</v>
      </c>
      <c r="AN184" s="62">
        <f ca="1">AVERAGE(OFFSET($AM$3,0,0,'Données projet'!$E$10+1,1))-AVERAGE(OFFSET($H$3,0,0,'Données projet'!$E$10+1,1))</f>
        <v>403.82490501309815</v>
      </c>
      <c r="AO184" s="62">
        <f t="shared" si="144"/>
        <v>256.4377087753457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4.5968415954405879E-2</v>
      </c>
      <c r="AW184" s="23">
        <f>EXP(-LN(2)/2)*AW183+(1-EXP(-LN(2)/2))/(LN(2)/2)*AQ184*AT184*VLOOKUP('Données projet'!$B$10,Paramètres!$A$1:$I$89,3,0)*0.475*44/12</f>
        <v>2.6323577416596569E-22</v>
      </c>
      <c r="AX184" s="23">
        <f t="shared" si="166"/>
        <v>4.5968415954405879E-2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266</v>
      </c>
      <c r="BE184" s="14">
        <f>BD184*VLOOKUP('Données projet'!$B$11,Paramètres!$A$1:$I$89,3,0)*VLOOKUP('Données projet'!$B$11,Paramètres!$A$1:$I$89,5,0)</f>
        <v>257.27519999999998</v>
      </c>
      <c r="BF184" s="14">
        <f t="shared" si="167"/>
        <v>62.141205057159596</v>
      </c>
      <c r="BG184" s="22">
        <f t="shared" si="168"/>
        <v>556.31690547455287</v>
      </c>
      <c r="BH184" s="62">
        <f t="shared" si="116"/>
        <v>849.65023880788613</v>
      </c>
      <c r="BI184" s="62">
        <f ca="1">AVERAGE(OFFSET($BH$3,0,0,'Données projet'!$E$11+1,1))-AVERAGE(OFFSET($H$3,0,0,'Données projet'!$E$11+1,1))</f>
        <v>387.04070351732537</v>
      </c>
      <c r="BJ184" s="62">
        <f t="shared" si="146"/>
        <v>246.54010105494137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4.3846796756510188E-2</v>
      </c>
      <c r="BR184" s="23">
        <f>EXP(-LN(2)/2)*BR183+(1-EXP(-LN(2)/2))/(LN(2)/2)*BL184*BO184*VLOOKUP('Données projet'!$B$11,Paramètres!$A$1:$I$89,3,0)*0.475*44/12</f>
        <v>2.5108643074292121E-22</v>
      </c>
      <c r="BS184" s="24">
        <f t="shared" si="169"/>
        <v>4.3846796756510188E-2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2.8421709430404007E-14</v>
      </c>
      <c r="BZ184" s="14">
        <f>BY184*VLOOKUP('Données projet'!$B$12,Paramètres!$A$1:$I$89,3,0)*VLOOKUP('Données projet'!$B$12,Paramètres!$A$1:$I$89,5,0)</f>
        <v>2.4829205358400945E-14</v>
      </c>
      <c r="CA184" s="14">
        <f t="shared" si="170"/>
        <v>4.3867331143352915E-13</v>
      </c>
      <c r="CB184" s="22">
        <f t="shared" si="171"/>
        <v>8.0726688341261168E-13</v>
      </c>
      <c r="CC184" s="62">
        <f t="shared" si="119"/>
        <v>293.33333333333411</v>
      </c>
      <c r="CD184" s="62">
        <f ca="1">AVERAGE(OFFSET($CC$3,0,0,'Données projet'!$E$12+1,1))-AVERAGE(OFFSET($H$3,0,0,'Données projet'!$E$12+1,1))</f>
        <v>327.62212115491479</v>
      </c>
      <c r="CE184" s="62">
        <f t="shared" si="148"/>
        <v>348.84706693879735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0.37351228491563943</v>
      </c>
      <c r="CM184" s="23">
        <f>EXP(-LN(2)/2)*CM183+(1-EXP(-LN(2)/2))/(LN(2)/2)*CG184*CJ184*VLOOKUP('Données projet'!$B$12,Paramètres!$A$1:$I$89,3,0)*0.475*44/12</f>
        <v>1.5925910137751903E-21</v>
      </c>
      <c r="CN184" s="24">
        <f t="shared" si="172"/>
        <v>0.37351228491563943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4.1677594708744434E-14</v>
      </c>
      <c r="CV184" s="14">
        <f t="shared" si="173"/>
        <v>6.9326303456159188E-13</v>
      </c>
      <c r="CW184" s="22">
        <f t="shared" si="174"/>
        <v>1.2800215959791691E-12</v>
      </c>
      <c r="CX184" s="62">
        <f t="shared" si="122"/>
        <v>293.33333333333462</v>
      </c>
      <c r="CY184" s="62">
        <f ca="1">AVERAGE(OFFSET($CX$3,0,0,'Données projet'!$E$13+1,1))-AVERAGE(OFFSET($H$3,0,0,'Données projet'!$E$13+1,1))</f>
        <v>277.97613250285963</v>
      </c>
      <c r="CZ184" s="62">
        <f t="shared" si="150"/>
        <v>274.55710362891892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0.40307788224363472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0.40307788224363472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266</v>
      </c>
      <c r="O185" s="14">
        <f>N185*VLOOKUP('Données projet'!$B$9,Paramètres!$A$1:$I$89,3,0)*VLOOKUP('Données projet'!$B$9,Paramètres!$A$1:$I$89,5,0)</f>
        <v>240.67680000000001</v>
      </c>
      <c r="P185" s="14">
        <f t="shared" si="141"/>
        <v>58.585123425001029</v>
      </c>
      <c r="Q185" s="22">
        <f t="shared" si="162"/>
        <v>521.21451663187679</v>
      </c>
      <c r="R185" s="62">
        <f t="shared" si="109"/>
        <v>814.54784996521016</v>
      </c>
      <c r="S185" s="62">
        <f ca="1">AVERAGE(OFFSET($R$3,0,0,'Données projet'!$E$9+1,1))-AVERAGE(OFFSET($H$3,0,0,'Données projet'!$E$9+1,1))</f>
        <v>364.63511534965755</v>
      </c>
      <c r="T185" s="62">
        <f t="shared" si="142"/>
        <v>233.32640143610541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3.9896332580923149E-2</v>
      </c>
      <c r="AB185" s="23">
        <f>EXP(-LN(2)/2)*AB184+(1-EXP(-LN(2)/2))/(LN(2)/2)*V185*Y185*VLOOKUP('Données projet'!$B$9,Paramètres!$A$1:$I$89,3,0)*0.475*44/12</f>
        <v>1.6609040701371393E-22</v>
      </c>
      <c r="AC185" s="24">
        <f t="shared" si="163"/>
        <v>3.9896332580923149E-2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266</v>
      </c>
      <c r="AJ185" s="14">
        <f>AI185*VLOOKUP('Données projet'!$B$10,Paramètres!$A$1:$I$89,3,0)*VLOOKUP('Données projet'!$B$10,Paramètres!$A$1:$I$89,5,0)</f>
        <v>269.72400000000005</v>
      </c>
      <c r="AK185" s="14">
        <f t="shared" si="164"/>
        <v>64.790691635967406</v>
      </c>
      <c r="AL185" s="22">
        <f t="shared" si="165"/>
        <v>582.61308793264323</v>
      </c>
      <c r="AM185" s="62">
        <f t="shared" si="113"/>
        <v>875.9464212659766</v>
      </c>
      <c r="AN185" s="62">
        <f ca="1">AVERAGE(OFFSET($AM$3,0,0,'Données projet'!$E$10+1,1))-AVERAGE(OFFSET($H$3,0,0,'Données projet'!$E$10+1,1))</f>
        <v>403.82490501309815</v>
      </c>
      <c r="AO185" s="62">
        <f t="shared" si="144"/>
        <v>256.4377087753457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4.4711407202758721E-2</v>
      </c>
      <c r="AW185" s="23">
        <f>EXP(-LN(2)/2)*AW184+(1-EXP(-LN(2)/2))/(LN(2)/2)*AQ185*AT185*VLOOKUP('Données projet'!$B$10,Paramètres!$A$1:$I$89,3,0)*0.475*44/12</f>
        <v>1.8613580096364494E-22</v>
      </c>
      <c r="AX185" s="23">
        <f t="shared" si="166"/>
        <v>4.4711407202758721E-2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266</v>
      </c>
      <c r="BE185" s="14">
        <f>BD185*VLOOKUP('Données projet'!$B$11,Paramètres!$A$1:$I$89,3,0)*VLOOKUP('Données projet'!$B$11,Paramètres!$A$1:$I$89,5,0)</f>
        <v>257.27519999999998</v>
      </c>
      <c r="BF185" s="14">
        <f t="shared" si="167"/>
        <v>62.141205057159596</v>
      </c>
      <c r="BG185" s="22">
        <f t="shared" si="168"/>
        <v>556.31690547455287</v>
      </c>
      <c r="BH185" s="62">
        <f t="shared" si="116"/>
        <v>849.65023880788613</v>
      </c>
      <c r="BI185" s="62">
        <f ca="1">AVERAGE(OFFSET($BH$3,0,0,'Données projet'!$E$11+1,1))-AVERAGE(OFFSET($H$3,0,0,'Données projet'!$E$11+1,1))</f>
        <v>387.04070351732537</v>
      </c>
      <c r="BJ185" s="62">
        <f t="shared" si="146"/>
        <v>246.54010105494137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4.2647803793400586E-2</v>
      </c>
      <c r="BR185" s="23">
        <f>EXP(-LN(2)/2)*BR184+(1-EXP(-LN(2)/2))/(LN(2)/2)*BL185*BO185*VLOOKUP('Données projet'!$B$11,Paramètres!$A$1:$I$89,3,0)*0.475*44/12</f>
        <v>1.7754491784224601E-22</v>
      </c>
      <c r="BS185" s="24">
        <f t="shared" si="169"/>
        <v>4.2647803793400586E-2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2.8421709430404007E-14</v>
      </c>
      <c r="BZ185" s="14">
        <f>BY185*VLOOKUP('Données projet'!$B$12,Paramètres!$A$1:$I$89,3,0)*VLOOKUP('Données projet'!$B$12,Paramètres!$A$1:$I$89,5,0)</f>
        <v>2.4829205358400945E-14</v>
      </c>
      <c r="CA185" s="14">
        <f t="shared" si="170"/>
        <v>4.3867331143352915E-13</v>
      </c>
      <c r="CB185" s="22">
        <f t="shared" si="171"/>
        <v>8.0726688341261168E-13</v>
      </c>
      <c r="CC185" s="62">
        <f t="shared" si="119"/>
        <v>293.33333333333411</v>
      </c>
      <c r="CD185" s="62">
        <f ca="1">AVERAGE(OFFSET($CC$3,0,0,'Données projet'!$E$12+1,1))-AVERAGE(OFFSET($H$3,0,0,'Données projet'!$E$12+1,1))</f>
        <v>327.62212115491479</v>
      </c>
      <c r="CE185" s="62">
        <f t="shared" si="148"/>
        <v>348.84706693879735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0.36329857184246389</v>
      </c>
      <c r="CM185" s="23">
        <f>EXP(-LN(2)/2)*CM184+(1-EXP(-LN(2)/2))/(LN(2)/2)*CG185*CJ185*VLOOKUP('Données projet'!$B$12,Paramètres!$A$1:$I$89,3,0)*0.475*44/12</f>
        <v>1.1261319054971953E-21</v>
      </c>
      <c r="CN185" s="24">
        <f t="shared" si="172"/>
        <v>0.36329857184246389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4.1677594708744434E-14</v>
      </c>
      <c r="CV185" s="14">
        <f t="shared" si="173"/>
        <v>6.9326303456159188E-13</v>
      </c>
      <c r="CW185" s="22">
        <f t="shared" si="174"/>
        <v>1.2800215959791691E-12</v>
      </c>
      <c r="CX185" s="62">
        <f t="shared" si="122"/>
        <v>293.33333333333462</v>
      </c>
      <c r="CY185" s="62">
        <f ca="1">AVERAGE(OFFSET($CX$3,0,0,'Données projet'!$E$13+1,1))-AVERAGE(OFFSET($H$3,0,0,'Données projet'!$E$13+1,1))</f>
        <v>277.97613250285963</v>
      </c>
      <c r="CZ185" s="62">
        <f t="shared" si="150"/>
        <v>274.55710362891892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0.39517377082606925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0.39517377082606925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266</v>
      </c>
      <c r="O186" s="14">
        <f>N186*VLOOKUP('Données projet'!$B$9,Paramètres!$A$1:$I$89,3,0)*VLOOKUP('Données projet'!$B$9,Paramètres!$A$1:$I$89,5,0)</f>
        <v>240.67680000000001</v>
      </c>
      <c r="P186" s="14">
        <f t="shared" si="141"/>
        <v>58.585123425001029</v>
      </c>
      <c r="Q186" s="22">
        <f t="shared" si="162"/>
        <v>521.21451663187679</v>
      </c>
      <c r="R186" s="62">
        <f t="shared" si="109"/>
        <v>814.54784996521016</v>
      </c>
      <c r="S186" s="62">
        <f ca="1">AVERAGE(OFFSET($R$3,0,0,'Données projet'!$E$9+1,1))-AVERAGE(OFFSET($H$3,0,0,'Données projet'!$E$9+1,1))</f>
        <v>364.63511534965755</v>
      </c>
      <c r="T186" s="62">
        <f t="shared" si="142"/>
        <v>233.32640143610541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3.8805365268440861E-2</v>
      </c>
      <c r="AB186" s="23">
        <f>EXP(-LN(2)/2)*AB185+(1-EXP(-LN(2)/2))/(LN(2)/2)*V186*Y186*VLOOKUP('Données projet'!$B$9,Paramètres!$A$1:$I$89,3,0)*0.475*44/12</f>
        <v>1.1744365308943084E-22</v>
      </c>
      <c r="AC186" s="24">
        <f t="shared" si="163"/>
        <v>3.8805365268440861E-2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266</v>
      </c>
      <c r="AJ186" s="14">
        <f>AI186*VLOOKUP('Données projet'!$B$10,Paramètres!$A$1:$I$89,3,0)*VLOOKUP('Données projet'!$B$10,Paramètres!$A$1:$I$89,5,0)</f>
        <v>269.72400000000005</v>
      </c>
      <c r="AK186" s="14">
        <f t="shared" si="164"/>
        <v>64.790691635967406</v>
      </c>
      <c r="AL186" s="22">
        <f t="shared" si="165"/>
        <v>582.61308793264323</v>
      </c>
      <c r="AM186" s="62">
        <f t="shared" si="113"/>
        <v>875.9464212659766</v>
      </c>
      <c r="AN186" s="62">
        <f ca="1">AVERAGE(OFFSET($AM$3,0,0,'Données projet'!$E$10+1,1))-AVERAGE(OFFSET($H$3,0,0,'Données projet'!$E$10+1,1))</f>
        <v>403.82490501309815</v>
      </c>
      <c r="AO186" s="62">
        <f t="shared" si="144"/>
        <v>256.4377087753457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4.3488771421528571E-2</v>
      </c>
      <c r="AW186" s="23">
        <f>EXP(-LN(2)/2)*AW185+(1-EXP(-LN(2)/2))/(LN(2)/2)*AQ186*AT186*VLOOKUP('Données projet'!$B$10,Paramètres!$A$1:$I$89,3,0)*0.475*44/12</f>
        <v>1.3161788708298285E-22</v>
      </c>
      <c r="AX186" s="23">
        <f t="shared" si="166"/>
        <v>4.3488771421528571E-2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266</v>
      </c>
      <c r="BE186" s="14">
        <f>BD186*VLOOKUP('Données projet'!$B$11,Paramètres!$A$1:$I$89,3,0)*VLOOKUP('Données projet'!$B$11,Paramètres!$A$1:$I$89,5,0)</f>
        <v>257.27519999999998</v>
      </c>
      <c r="BF186" s="14">
        <f t="shared" si="167"/>
        <v>62.141205057159596</v>
      </c>
      <c r="BG186" s="22">
        <f t="shared" si="168"/>
        <v>556.31690547455287</v>
      </c>
      <c r="BH186" s="62">
        <f t="shared" si="116"/>
        <v>849.65023880788613</v>
      </c>
      <c r="BI186" s="62">
        <f ca="1">AVERAGE(OFFSET($BH$3,0,0,'Données projet'!$E$11+1,1))-AVERAGE(OFFSET($H$3,0,0,'Données projet'!$E$11+1,1))</f>
        <v>387.04070351732537</v>
      </c>
      <c r="BJ186" s="62">
        <f t="shared" si="146"/>
        <v>246.54010105494137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4.1481597355919518E-2</v>
      </c>
      <c r="BR186" s="23">
        <f>EXP(-LN(2)/2)*BR185+(1-EXP(-LN(2)/2))/(LN(2)/2)*BL186*BO186*VLOOKUP('Données projet'!$B$11,Paramètres!$A$1:$I$89,3,0)*0.475*44/12</f>
        <v>1.2554321537146061E-22</v>
      </c>
      <c r="BS186" s="24">
        <f t="shared" si="169"/>
        <v>4.1481597355919518E-2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2.8421709430404007E-14</v>
      </c>
      <c r="BZ186" s="14">
        <f>BY186*VLOOKUP('Données projet'!$B$12,Paramètres!$A$1:$I$89,3,0)*VLOOKUP('Données projet'!$B$12,Paramètres!$A$1:$I$89,5,0)</f>
        <v>2.4829205358400945E-14</v>
      </c>
      <c r="CA186" s="14">
        <f t="shared" si="170"/>
        <v>4.3867331143352915E-13</v>
      </c>
      <c r="CB186" s="22">
        <f t="shared" si="171"/>
        <v>8.0726688341261168E-13</v>
      </c>
      <c r="CC186" s="62">
        <f t="shared" si="119"/>
        <v>293.33333333333411</v>
      </c>
      <c r="CD186" s="62">
        <f ca="1">AVERAGE(OFFSET($CC$3,0,0,'Données projet'!$E$12+1,1))-AVERAGE(OFFSET($H$3,0,0,'Données projet'!$E$12+1,1))</f>
        <v>327.62212115491479</v>
      </c>
      <c r="CE186" s="62">
        <f t="shared" si="148"/>
        <v>348.84706693879735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0.35336415329039017</v>
      </c>
      <c r="CM186" s="23">
        <f>EXP(-LN(2)/2)*CM185+(1-EXP(-LN(2)/2))/(LN(2)/2)*CG186*CJ186*VLOOKUP('Données projet'!$B$12,Paramètres!$A$1:$I$89,3,0)*0.475*44/12</f>
        <v>7.9629550688759513E-22</v>
      </c>
      <c r="CN186" s="24">
        <f t="shared" si="172"/>
        <v>0.35336415329039017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4.1677594708744434E-14</v>
      </c>
      <c r="CV186" s="14">
        <f t="shared" si="173"/>
        <v>6.9326303456159188E-13</v>
      </c>
      <c r="CW186" s="22">
        <f t="shared" si="174"/>
        <v>1.2800215959791691E-12</v>
      </c>
      <c r="CX186" s="62">
        <f t="shared" si="122"/>
        <v>293.33333333333462</v>
      </c>
      <c r="CY186" s="62">
        <f ca="1">AVERAGE(OFFSET($CX$3,0,0,'Données projet'!$E$13+1,1))-AVERAGE(OFFSET($H$3,0,0,'Données projet'!$E$13+1,1))</f>
        <v>277.97613250285963</v>
      </c>
      <c r="CZ186" s="62">
        <f t="shared" si="150"/>
        <v>274.55710362891892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0.38742465421237027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0.38742465421237027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266</v>
      </c>
      <c r="O187" s="14">
        <f>N187*VLOOKUP('Données projet'!$B$9,Paramètres!$A$1:$I$89,3,0)*VLOOKUP('Données projet'!$B$9,Paramètres!$A$1:$I$89,5,0)</f>
        <v>240.67680000000001</v>
      </c>
      <c r="P187" s="14">
        <f t="shared" si="141"/>
        <v>58.585123425001029</v>
      </c>
      <c r="Q187" s="22">
        <f t="shared" si="162"/>
        <v>521.21451663187679</v>
      </c>
      <c r="R187" s="62">
        <f t="shared" si="109"/>
        <v>814.54784996521016</v>
      </c>
      <c r="S187" s="62">
        <f ca="1">AVERAGE(OFFSET($R$3,0,0,'Données projet'!$E$9+1,1))-AVERAGE(OFFSET($H$3,0,0,'Données projet'!$E$9+1,1))</f>
        <v>364.63511534965755</v>
      </c>
      <c r="T187" s="62">
        <f t="shared" si="142"/>
        <v>233.32640143610541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3.7744230514489878E-2</v>
      </c>
      <c r="AB187" s="23">
        <f>EXP(-LN(2)/2)*AB186+(1-EXP(-LN(2)/2))/(LN(2)/2)*V187*Y187*VLOOKUP('Données projet'!$B$9,Paramètres!$A$1:$I$89,3,0)*0.475*44/12</f>
        <v>8.3045203506856967E-23</v>
      </c>
      <c r="AC187" s="24">
        <f t="shared" si="163"/>
        <v>3.7744230514489878E-2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266</v>
      </c>
      <c r="AJ187" s="14">
        <f>AI187*VLOOKUP('Données projet'!$B$10,Paramètres!$A$1:$I$89,3,0)*VLOOKUP('Données projet'!$B$10,Paramètres!$A$1:$I$89,5,0)</f>
        <v>269.72400000000005</v>
      </c>
      <c r="AK187" s="14">
        <f t="shared" si="164"/>
        <v>64.790691635967406</v>
      </c>
      <c r="AL187" s="22">
        <f t="shared" si="165"/>
        <v>582.61308793264323</v>
      </c>
      <c r="AM187" s="62">
        <f t="shared" si="113"/>
        <v>875.9464212659766</v>
      </c>
      <c r="AN187" s="62">
        <f ca="1">AVERAGE(OFFSET($AM$3,0,0,'Données projet'!$E$10+1,1))-AVERAGE(OFFSET($H$3,0,0,'Données projet'!$E$10+1,1))</f>
        <v>403.82490501309815</v>
      </c>
      <c r="AO187" s="62">
        <f t="shared" si="144"/>
        <v>256.4377087753457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4.2299568680031777E-2</v>
      </c>
      <c r="AW187" s="23">
        <f>EXP(-LN(2)/2)*AW186+(1-EXP(-LN(2)/2))/(LN(2)/2)*AQ187*AT187*VLOOKUP('Données projet'!$B$10,Paramètres!$A$1:$I$89,3,0)*0.475*44/12</f>
        <v>9.3067900481822472E-23</v>
      </c>
      <c r="AX187" s="23">
        <f t="shared" si="166"/>
        <v>4.2299568680031777E-2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266</v>
      </c>
      <c r="BE187" s="14">
        <f>BD187*VLOOKUP('Données projet'!$B$11,Paramètres!$A$1:$I$89,3,0)*VLOOKUP('Données projet'!$B$11,Paramètres!$A$1:$I$89,5,0)</f>
        <v>257.27519999999998</v>
      </c>
      <c r="BF187" s="14">
        <f t="shared" si="167"/>
        <v>62.141205057159596</v>
      </c>
      <c r="BG187" s="22">
        <f t="shared" si="168"/>
        <v>556.31690547455287</v>
      </c>
      <c r="BH187" s="62">
        <f t="shared" si="116"/>
        <v>849.65023880788613</v>
      </c>
      <c r="BI187" s="62">
        <f ca="1">AVERAGE(OFFSET($BH$3,0,0,'Données projet'!$E$11+1,1))-AVERAGE(OFFSET($H$3,0,0,'Données projet'!$E$11+1,1))</f>
        <v>387.04070351732537</v>
      </c>
      <c r="BJ187" s="62">
        <f t="shared" si="146"/>
        <v>246.54010105494137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4.0347280894799505E-2</v>
      </c>
      <c r="BR187" s="23">
        <f>EXP(-LN(2)/2)*BR186+(1-EXP(-LN(2)/2))/(LN(2)/2)*BL187*BO187*VLOOKUP('Données projet'!$B$11,Paramètres!$A$1:$I$89,3,0)*0.475*44/12</f>
        <v>8.8772458921123007E-23</v>
      </c>
      <c r="BS187" s="24">
        <f t="shared" si="169"/>
        <v>4.0347280894799505E-2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2.8421709430404007E-14</v>
      </c>
      <c r="BZ187" s="14">
        <f>BY187*VLOOKUP('Données projet'!$B$12,Paramètres!$A$1:$I$89,3,0)*VLOOKUP('Données projet'!$B$12,Paramètres!$A$1:$I$89,5,0)</f>
        <v>2.4829205358400945E-14</v>
      </c>
      <c r="CA187" s="14">
        <f t="shared" si="170"/>
        <v>4.3867331143352915E-13</v>
      </c>
      <c r="CB187" s="22">
        <f t="shared" si="171"/>
        <v>8.0726688341261168E-13</v>
      </c>
      <c r="CC187" s="62">
        <f t="shared" si="119"/>
        <v>293.33333333333411</v>
      </c>
      <c r="CD187" s="62">
        <f ca="1">AVERAGE(OFFSET($CC$3,0,0,'Données projet'!$E$12+1,1))-AVERAGE(OFFSET($H$3,0,0,'Données projet'!$E$12+1,1))</f>
        <v>327.62212115491479</v>
      </c>
      <c r="CE187" s="62">
        <f t="shared" si="148"/>
        <v>348.84706693879735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0.34370139193605126</v>
      </c>
      <c r="CM187" s="23">
        <f>EXP(-LN(2)/2)*CM186+(1-EXP(-LN(2)/2))/(LN(2)/2)*CG187*CJ187*VLOOKUP('Données projet'!$B$12,Paramètres!$A$1:$I$89,3,0)*0.475*44/12</f>
        <v>5.6306595274859767E-22</v>
      </c>
      <c r="CN187" s="24">
        <f t="shared" si="172"/>
        <v>0.34370139193605126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4.1677594708744434E-14</v>
      </c>
      <c r="CV187" s="14">
        <f t="shared" si="173"/>
        <v>6.9326303456159188E-13</v>
      </c>
      <c r="CW187" s="22">
        <f t="shared" si="174"/>
        <v>1.2800215959791691E-12</v>
      </c>
      <c r="CX187" s="62">
        <f t="shared" si="122"/>
        <v>293.33333333333462</v>
      </c>
      <c r="CY187" s="62">
        <f ca="1">AVERAGE(OFFSET($CX$3,0,0,'Données projet'!$E$13+1,1))-AVERAGE(OFFSET($H$3,0,0,'Données projet'!$E$13+1,1))</f>
        <v>277.97613250285963</v>
      </c>
      <c r="CZ187" s="62">
        <f t="shared" si="150"/>
        <v>274.55710362891892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0.37982749304897151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0.37982749304897151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266</v>
      </c>
      <c r="O188" s="14">
        <f>N188*VLOOKUP('Données projet'!$B$9,Paramètres!$A$1:$I$89,3,0)*VLOOKUP('Données projet'!$B$9,Paramètres!$A$1:$I$89,5,0)</f>
        <v>240.67680000000001</v>
      </c>
      <c r="P188" s="14">
        <f t="shared" si="141"/>
        <v>58.585123425001029</v>
      </c>
      <c r="Q188" s="22">
        <f t="shared" si="162"/>
        <v>521.21451663187679</v>
      </c>
      <c r="R188" s="62">
        <f t="shared" si="109"/>
        <v>814.54784996521016</v>
      </c>
      <c r="S188" s="62">
        <f ca="1">AVERAGE(OFFSET($R$3,0,0,'Données projet'!$E$9+1,1))-AVERAGE(OFFSET($H$3,0,0,'Données projet'!$E$9+1,1))</f>
        <v>364.63511534965755</v>
      </c>
      <c r="T188" s="62">
        <f t="shared" si="142"/>
        <v>233.32640143610541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3.6712112546188336E-2</v>
      </c>
      <c r="AB188" s="23">
        <f>EXP(-LN(2)/2)*AB187+(1-EXP(-LN(2)/2))/(LN(2)/2)*V188*Y188*VLOOKUP('Données projet'!$B$9,Paramètres!$A$1:$I$89,3,0)*0.475*44/12</f>
        <v>5.8721826544715418E-23</v>
      </c>
      <c r="AC188" s="24">
        <f t="shared" si="163"/>
        <v>3.6712112546188336E-2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266</v>
      </c>
      <c r="AJ188" s="14">
        <f>AI188*VLOOKUP('Données projet'!$B$10,Paramètres!$A$1:$I$89,3,0)*VLOOKUP('Données projet'!$B$10,Paramètres!$A$1:$I$89,5,0)</f>
        <v>269.72400000000005</v>
      </c>
      <c r="AK188" s="14">
        <f t="shared" si="164"/>
        <v>64.790691635967406</v>
      </c>
      <c r="AL188" s="22">
        <f t="shared" si="165"/>
        <v>582.61308793264323</v>
      </c>
      <c r="AM188" s="62">
        <f t="shared" si="113"/>
        <v>875.9464212659766</v>
      </c>
      <c r="AN188" s="62">
        <f ca="1">AVERAGE(OFFSET($AM$3,0,0,'Données projet'!$E$10+1,1))-AVERAGE(OFFSET($H$3,0,0,'Données projet'!$E$10+1,1))</f>
        <v>403.82490501309815</v>
      </c>
      <c r="AO188" s="62">
        <f t="shared" si="144"/>
        <v>256.4377087753457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4.1142884750038668E-2</v>
      </c>
      <c r="AW188" s="23">
        <f>EXP(-LN(2)/2)*AW187+(1-EXP(-LN(2)/2))/(LN(2)/2)*AQ188*AT188*VLOOKUP('Données projet'!$B$10,Paramètres!$A$1:$I$89,3,0)*0.475*44/12</f>
        <v>6.5808943541491423E-23</v>
      </c>
      <c r="AX188" s="23">
        <f t="shared" si="166"/>
        <v>4.1142884750038668E-2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266</v>
      </c>
      <c r="BE188" s="14">
        <f>BD188*VLOOKUP('Données projet'!$B$11,Paramètres!$A$1:$I$89,3,0)*VLOOKUP('Données projet'!$B$11,Paramètres!$A$1:$I$89,5,0)</f>
        <v>257.27519999999998</v>
      </c>
      <c r="BF188" s="14">
        <f t="shared" si="167"/>
        <v>62.141205057159596</v>
      </c>
      <c r="BG188" s="22">
        <f t="shared" si="168"/>
        <v>556.31690547455287</v>
      </c>
      <c r="BH188" s="62">
        <f t="shared" si="116"/>
        <v>849.65023880788613</v>
      </c>
      <c r="BI188" s="62">
        <f ca="1">AVERAGE(OFFSET($BH$3,0,0,'Données projet'!$E$11+1,1))-AVERAGE(OFFSET($H$3,0,0,'Données projet'!$E$11+1,1))</f>
        <v>387.04070351732537</v>
      </c>
      <c r="BJ188" s="62">
        <f t="shared" si="146"/>
        <v>246.54010105494137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3.9243982376959925E-2</v>
      </c>
      <c r="BR188" s="23">
        <f>EXP(-LN(2)/2)*BR187+(1-EXP(-LN(2)/2))/(LN(2)/2)*BL188*BO188*VLOOKUP('Données projet'!$B$11,Paramètres!$A$1:$I$89,3,0)*0.475*44/12</f>
        <v>6.2771607685730303E-23</v>
      </c>
      <c r="BS188" s="24">
        <f t="shared" si="169"/>
        <v>3.9243982376959925E-2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2.8421709430404007E-14</v>
      </c>
      <c r="BZ188" s="14">
        <f>BY188*VLOOKUP('Données projet'!$B$12,Paramètres!$A$1:$I$89,3,0)*VLOOKUP('Données projet'!$B$12,Paramètres!$A$1:$I$89,5,0)</f>
        <v>2.4829205358400945E-14</v>
      </c>
      <c r="CA188" s="14">
        <f t="shared" si="170"/>
        <v>4.3867331143352915E-13</v>
      </c>
      <c r="CB188" s="22">
        <f t="shared" si="171"/>
        <v>8.0726688341261168E-13</v>
      </c>
      <c r="CC188" s="62">
        <f t="shared" si="119"/>
        <v>293.33333333333411</v>
      </c>
      <c r="CD188" s="62">
        <f ca="1">AVERAGE(OFFSET($CC$3,0,0,'Données projet'!$E$12+1,1))-AVERAGE(OFFSET($H$3,0,0,'Données projet'!$E$12+1,1))</f>
        <v>327.62212115491479</v>
      </c>
      <c r="CE188" s="62">
        <f t="shared" si="148"/>
        <v>348.84706693879735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0.33430285929908926</v>
      </c>
      <c r="CM188" s="23">
        <f>EXP(-LN(2)/2)*CM187+(1-EXP(-LN(2)/2))/(LN(2)/2)*CG188*CJ188*VLOOKUP('Données projet'!$B$12,Paramètres!$A$1:$I$89,3,0)*0.475*44/12</f>
        <v>3.9814775344379757E-22</v>
      </c>
      <c r="CN188" s="24">
        <f t="shared" si="172"/>
        <v>0.33430285929908926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4.1677594708744434E-14</v>
      </c>
      <c r="CV188" s="14">
        <f t="shared" si="173"/>
        <v>6.9326303456159188E-13</v>
      </c>
      <c r="CW188" s="22">
        <f t="shared" si="174"/>
        <v>1.2800215959791691E-12</v>
      </c>
      <c r="CX188" s="62">
        <f t="shared" si="122"/>
        <v>293.33333333333462</v>
      </c>
      <c r="CY188" s="62">
        <f ca="1">AVERAGE(OFFSET($CX$3,0,0,'Données projet'!$E$13+1,1))-AVERAGE(OFFSET($H$3,0,0,'Données projet'!$E$13+1,1))</f>
        <v>277.97613250285963</v>
      </c>
      <c r="CZ188" s="62">
        <f t="shared" si="150"/>
        <v>274.55710362891892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0.37237930758217624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0.37237930758217624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266</v>
      </c>
      <c r="O189" s="14">
        <f>N189*VLOOKUP('Données projet'!$B$9,Paramètres!$A$1:$I$89,3,0)*VLOOKUP('Données projet'!$B$9,Paramètres!$A$1:$I$89,5,0)</f>
        <v>240.67680000000001</v>
      </c>
      <c r="P189" s="14">
        <f t="shared" si="141"/>
        <v>58.585123425001029</v>
      </c>
      <c r="Q189" s="22">
        <f t="shared" si="162"/>
        <v>521.21451663187679</v>
      </c>
      <c r="R189" s="62">
        <f t="shared" si="109"/>
        <v>814.54784996521016</v>
      </c>
      <c r="S189" s="62">
        <f ca="1">AVERAGE(OFFSET($R$3,0,0,'Données projet'!$E$9+1,1))-AVERAGE(OFFSET($H$3,0,0,'Données projet'!$E$9+1,1))</f>
        <v>364.63511534965755</v>
      </c>
      <c r="T189" s="62">
        <f t="shared" si="142"/>
        <v>233.32640143610541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3.5708217898006725E-2</v>
      </c>
      <c r="AB189" s="23">
        <f>EXP(-LN(2)/2)*AB188+(1-EXP(-LN(2)/2))/(LN(2)/2)*V189*Y189*VLOOKUP('Données projet'!$B$9,Paramètres!$A$1:$I$89,3,0)*0.475*44/12</f>
        <v>4.1522601753428483E-23</v>
      </c>
      <c r="AC189" s="24">
        <f t="shared" si="163"/>
        <v>3.5708217898006725E-2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266</v>
      </c>
      <c r="AJ189" s="14">
        <f>AI189*VLOOKUP('Données projet'!$B$10,Paramètres!$A$1:$I$89,3,0)*VLOOKUP('Données projet'!$B$10,Paramètres!$A$1:$I$89,5,0)</f>
        <v>269.72400000000005</v>
      </c>
      <c r="AK189" s="14">
        <f t="shared" si="164"/>
        <v>64.790691635967406</v>
      </c>
      <c r="AL189" s="22">
        <f t="shared" si="165"/>
        <v>582.61308793264323</v>
      </c>
      <c r="AM189" s="62">
        <f t="shared" si="113"/>
        <v>875.9464212659766</v>
      </c>
      <c r="AN189" s="62">
        <f ca="1">AVERAGE(OFFSET($AM$3,0,0,'Données projet'!$E$10+1,1))-AVERAGE(OFFSET($H$3,0,0,'Données projet'!$E$10+1,1))</f>
        <v>403.82490501309815</v>
      </c>
      <c r="AO189" s="62">
        <f t="shared" si="144"/>
        <v>256.4377087753457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4.0017830402938583E-2</v>
      </c>
      <c r="AW189" s="23">
        <f>EXP(-LN(2)/2)*AW188+(1-EXP(-LN(2)/2))/(LN(2)/2)*AQ189*AT189*VLOOKUP('Données projet'!$B$10,Paramètres!$A$1:$I$89,3,0)*0.475*44/12</f>
        <v>4.6533950240911236E-23</v>
      </c>
      <c r="AX189" s="23">
        <f t="shared" si="166"/>
        <v>4.0017830402938583E-2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266</v>
      </c>
      <c r="BE189" s="14">
        <f>BD189*VLOOKUP('Données projet'!$B$11,Paramètres!$A$1:$I$89,3,0)*VLOOKUP('Données projet'!$B$11,Paramètres!$A$1:$I$89,5,0)</f>
        <v>257.27519999999998</v>
      </c>
      <c r="BF189" s="14">
        <f t="shared" si="167"/>
        <v>62.141205057159596</v>
      </c>
      <c r="BG189" s="22">
        <f t="shared" si="168"/>
        <v>556.31690547455287</v>
      </c>
      <c r="BH189" s="62">
        <f t="shared" si="116"/>
        <v>849.65023880788613</v>
      </c>
      <c r="BI189" s="62">
        <f ca="1">AVERAGE(OFFSET($BH$3,0,0,'Données projet'!$E$11+1,1))-AVERAGE(OFFSET($H$3,0,0,'Données projet'!$E$11+1,1))</f>
        <v>387.04070351732537</v>
      </c>
      <c r="BJ189" s="62">
        <f t="shared" si="146"/>
        <v>246.54010105494137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3.8170853615110613E-2</v>
      </c>
      <c r="BR189" s="23">
        <f>EXP(-LN(2)/2)*BR188+(1-EXP(-LN(2)/2))/(LN(2)/2)*BL189*BO189*VLOOKUP('Données projet'!$B$11,Paramètres!$A$1:$I$89,3,0)*0.475*44/12</f>
        <v>4.4386229460561503E-23</v>
      </c>
      <c r="BS189" s="24">
        <f t="shared" si="169"/>
        <v>3.8170853615110613E-2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2.8421709430404007E-14</v>
      </c>
      <c r="BZ189" s="14">
        <f>BY189*VLOOKUP('Données projet'!$B$12,Paramètres!$A$1:$I$89,3,0)*VLOOKUP('Données projet'!$B$12,Paramètres!$A$1:$I$89,5,0)</f>
        <v>2.4829205358400945E-14</v>
      </c>
      <c r="CA189" s="14">
        <f t="shared" si="170"/>
        <v>4.3867331143352915E-13</v>
      </c>
      <c r="CB189" s="22">
        <f t="shared" si="171"/>
        <v>8.0726688341261168E-13</v>
      </c>
      <c r="CC189" s="62">
        <f t="shared" si="119"/>
        <v>293.33333333333411</v>
      </c>
      <c r="CD189" s="62">
        <f ca="1">AVERAGE(OFFSET($CC$3,0,0,'Données projet'!$E$12+1,1))-AVERAGE(OFFSET($H$3,0,0,'Données projet'!$E$12+1,1))</f>
        <v>327.62212115491479</v>
      </c>
      <c r="CE189" s="62">
        <f t="shared" si="148"/>
        <v>348.84706693879735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0.32516133003133235</v>
      </c>
      <c r="CM189" s="23">
        <f>EXP(-LN(2)/2)*CM188+(1-EXP(-LN(2)/2))/(LN(2)/2)*CG189*CJ189*VLOOKUP('Données projet'!$B$12,Paramètres!$A$1:$I$89,3,0)*0.475*44/12</f>
        <v>2.8153297637429884E-22</v>
      </c>
      <c r="CN189" s="24">
        <f t="shared" si="172"/>
        <v>0.32516133003133235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4.1677594708744434E-14</v>
      </c>
      <c r="CV189" s="14">
        <f t="shared" si="173"/>
        <v>6.9326303456159188E-13</v>
      </c>
      <c r="CW189" s="22">
        <f t="shared" si="174"/>
        <v>1.2800215959791691E-12</v>
      </c>
      <c r="CX189" s="62">
        <f t="shared" si="122"/>
        <v>293.33333333333462</v>
      </c>
      <c r="CY189" s="62">
        <f ca="1">AVERAGE(OFFSET($CX$3,0,0,'Données projet'!$E$13+1,1))-AVERAGE(OFFSET($H$3,0,0,'Données projet'!$E$13+1,1))</f>
        <v>277.97613250285963</v>
      </c>
      <c r="CZ189" s="62">
        <f t="shared" si="150"/>
        <v>274.55710362891892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0.36507717648944027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0.36507717648944027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266</v>
      </c>
      <c r="O190" s="14">
        <f>N190*VLOOKUP('Données projet'!$B$9,Paramètres!$A$1:$I$89,3,0)*VLOOKUP('Données projet'!$B$9,Paramètres!$A$1:$I$89,5,0)</f>
        <v>240.67680000000001</v>
      </c>
      <c r="P190" s="14">
        <f t="shared" si="141"/>
        <v>58.585123425001029</v>
      </c>
      <c r="Q190" s="22">
        <f t="shared" si="162"/>
        <v>521.21451663187679</v>
      </c>
      <c r="R190" s="62">
        <f t="shared" si="109"/>
        <v>814.54784996521016</v>
      </c>
      <c r="S190" s="62">
        <f ca="1">AVERAGE(OFFSET($R$3,0,0,'Données projet'!$E$9+1,1))-AVERAGE(OFFSET($H$3,0,0,'Données projet'!$E$9+1,1))</f>
        <v>364.63511534965755</v>
      </c>
      <c r="T190" s="62">
        <f t="shared" si="142"/>
        <v>233.32640143610541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3.4731774801772163E-2</v>
      </c>
      <c r="AB190" s="23">
        <f>EXP(-LN(2)/2)*AB189+(1-EXP(-LN(2)/2))/(LN(2)/2)*V190*Y190*VLOOKUP('Données projet'!$B$9,Paramètres!$A$1:$I$89,3,0)*0.475*44/12</f>
        <v>2.9360913272357709E-23</v>
      </c>
      <c r="AC190" s="24">
        <f t="shared" si="163"/>
        <v>3.4731774801772163E-2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266</v>
      </c>
      <c r="AJ190" s="14">
        <f>AI190*VLOOKUP('Données projet'!$B$10,Paramètres!$A$1:$I$89,3,0)*VLOOKUP('Données projet'!$B$10,Paramètres!$A$1:$I$89,5,0)</f>
        <v>269.72400000000005</v>
      </c>
      <c r="AK190" s="14">
        <f t="shared" si="164"/>
        <v>64.790691635967406</v>
      </c>
      <c r="AL190" s="22">
        <f t="shared" si="165"/>
        <v>582.61308793264323</v>
      </c>
      <c r="AM190" s="62">
        <f t="shared" si="113"/>
        <v>875.9464212659766</v>
      </c>
      <c r="AN190" s="62">
        <f ca="1">AVERAGE(OFFSET($AM$3,0,0,'Données projet'!$E$10+1,1))-AVERAGE(OFFSET($H$3,0,0,'Données projet'!$E$10+1,1))</f>
        <v>403.82490501309815</v>
      </c>
      <c r="AO190" s="62">
        <f t="shared" si="144"/>
        <v>256.4377087753457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3.8923540726123987E-2</v>
      </c>
      <c r="AW190" s="23">
        <f>EXP(-LN(2)/2)*AW189+(1-EXP(-LN(2)/2))/(LN(2)/2)*AQ190*AT190*VLOOKUP('Données projet'!$B$10,Paramètres!$A$1:$I$89,3,0)*0.475*44/12</f>
        <v>3.2904471770745712E-23</v>
      </c>
      <c r="AX190" s="23">
        <f t="shared" si="166"/>
        <v>3.8923540726123987E-2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266</v>
      </c>
      <c r="BE190" s="14">
        <f>BD190*VLOOKUP('Données projet'!$B$11,Paramètres!$A$1:$I$89,3,0)*VLOOKUP('Données projet'!$B$11,Paramètres!$A$1:$I$89,5,0)</f>
        <v>257.27519999999998</v>
      </c>
      <c r="BF190" s="14">
        <f t="shared" si="167"/>
        <v>62.141205057159596</v>
      </c>
      <c r="BG190" s="22">
        <f t="shared" si="168"/>
        <v>556.31690547455287</v>
      </c>
      <c r="BH190" s="62">
        <f t="shared" si="116"/>
        <v>849.65023880788613</v>
      </c>
      <c r="BI190" s="62">
        <f ca="1">AVERAGE(OFFSET($BH$3,0,0,'Données projet'!$E$11+1,1))-AVERAGE(OFFSET($H$3,0,0,'Données projet'!$E$11+1,1))</f>
        <v>387.04070351732537</v>
      </c>
      <c r="BJ190" s="62">
        <f t="shared" si="146"/>
        <v>246.54010105494137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3.7127069615687465E-2</v>
      </c>
      <c r="BR190" s="23">
        <f>EXP(-LN(2)/2)*BR189+(1-EXP(-LN(2)/2))/(LN(2)/2)*BL190*BO190*VLOOKUP('Données projet'!$B$11,Paramètres!$A$1:$I$89,3,0)*0.475*44/12</f>
        <v>3.1385803842865152E-23</v>
      </c>
      <c r="BS190" s="24">
        <f t="shared" si="169"/>
        <v>3.7127069615687465E-2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2.8421709430404007E-14</v>
      </c>
      <c r="BZ190" s="14">
        <f>BY190*VLOOKUP('Données projet'!$B$12,Paramètres!$A$1:$I$89,3,0)*VLOOKUP('Données projet'!$B$12,Paramètres!$A$1:$I$89,5,0)</f>
        <v>2.4829205358400945E-14</v>
      </c>
      <c r="CA190" s="14">
        <f t="shared" si="170"/>
        <v>4.3867331143352915E-13</v>
      </c>
      <c r="CB190" s="22">
        <f t="shared" si="171"/>
        <v>8.0726688341261168E-13</v>
      </c>
      <c r="CC190" s="62">
        <f t="shared" si="119"/>
        <v>293.33333333333411</v>
      </c>
      <c r="CD190" s="62">
        <f ca="1">AVERAGE(OFFSET($CC$3,0,0,'Données projet'!$E$12+1,1))-AVERAGE(OFFSET($H$3,0,0,'Données projet'!$E$12+1,1))</f>
        <v>327.62212115491479</v>
      </c>
      <c r="CE190" s="62">
        <f t="shared" si="148"/>
        <v>348.84706693879735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0.31626977636213438</v>
      </c>
      <c r="CM190" s="23">
        <f>EXP(-LN(2)/2)*CM189+(1-EXP(-LN(2)/2))/(LN(2)/2)*CG190*CJ190*VLOOKUP('Données projet'!$B$12,Paramètres!$A$1:$I$89,3,0)*0.475*44/12</f>
        <v>1.9907387672189878E-22</v>
      </c>
      <c r="CN190" s="24">
        <f t="shared" si="172"/>
        <v>0.31626977636213438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4.1677594708744434E-14</v>
      </c>
      <c r="CV190" s="14">
        <f t="shared" si="173"/>
        <v>6.9326303456159188E-13</v>
      </c>
      <c r="CW190" s="22">
        <f t="shared" si="174"/>
        <v>1.2800215959791691E-12</v>
      </c>
      <c r="CX190" s="62">
        <f t="shared" si="122"/>
        <v>293.33333333333462</v>
      </c>
      <c r="CY190" s="62">
        <f ca="1">AVERAGE(OFFSET($CX$3,0,0,'Données projet'!$E$13+1,1))-AVERAGE(OFFSET($H$3,0,0,'Données projet'!$E$13+1,1))</f>
        <v>277.97613250285963</v>
      </c>
      <c r="CZ190" s="62">
        <f t="shared" si="150"/>
        <v>274.55710362891892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0.35791823573357268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0.35791823573357268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266</v>
      </c>
      <c r="O191" s="14">
        <f>N191*VLOOKUP('Données projet'!$B$9,Paramètres!$A$1:$I$89,3,0)*VLOOKUP('Données projet'!$B$9,Paramètres!$A$1:$I$89,5,0)</f>
        <v>240.67680000000001</v>
      </c>
      <c r="P191" s="14">
        <f t="shared" si="141"/>
        <v>58.585123425001029</v>
      </c>
      <c r="Q191" s="22">
        <f t="shared" si="162"/>
        <v>521.21451663187679</v>
      </c>
      <c r="R191" s="62">
        <f t="shared" si="109"/>
        <v>814.54784996521016</v>
      </c>
      <c r="S191" s="62">
        <f ca="1">AVERAGE(OFFSET($R$3,0,0,'Données projet'!$E$9+1,1))-AVERAGE(OFFSET($H$3,0,0,'Données projet'!$E$9+1,1))</f>
        <v>364.63511534965755</v>
      </c>
      <c r="T191" s="62">
        <f t="shared" si="142"/>
        <v>233.32640143610541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3.3782032593353044E-2</v>
      </c>
      <c r="AB191" s="23">
        <f>EXP(-LN(2)/2)*AB190+(1-EXP(-LN(2)/2))/(LN(2)/2)*V191*Y191*VLOOKUP('Données projet'!$B$9,Paramètres!$A$1:$I$89,3,0)*0.475*44/12</f>
        <v>2.0761300876714242E-23</v>
      </c>
      <c r="AC191" s="24">
        <f t="shared" si="163"/>
        <v>3.3782032593353044E-2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266</v>
      </c>
      <c r="AJ191" s="14">
        <f>AI191*VLOOKUP('Données projet'!$B$10,Paramètres!$A$1:$I$89,3,0)*VLOOKUP('Données projet'!$B$10,Paramètres!$A$1:$I$89,5,0)</f>
        <v>269.72400000000005</v>
      </c>
      <c r="AK191" s="14">
        <f t="shared" si="164"/>
        <v>64.790691635967406</v>
      </c>
      <c r="AL191" s="22">
        <f t="shared" si="165"/>
        <v>582.61308793264323</v>
      </c>
      <c r="AM191" s="62">
        <f t="shared" si="113"/>
        <v>875.9464212659766</v>
      </c>
      <c r="AN191" s="62">
        <f ca="1">AVERAGE(OFFSET($AM$3,0,0,'Données projet'!$E$10+1,1))-AVERAGE(OFFSET($H$3,0,0,'Données projet'!$E$10+1,1))</f>
        <v>403.82490501309815</v>
      </c>
      <c r="AO191" s="62">
        <f t="shared" si="144"/>
        <v>256.4377087753457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3.7859174458068079E-2</v>
      </c>
      <c r="AW191" s="23">
        <f>EXP(-LN(2)/2)*AW190+(1-EXP(-LN(2)/2))/(LN(2)/2)*AQ191*AT191*VLOOKUP('Données projet'!$B$10,Paramètres!$A$1:$I$89,3,0)*0.475*44/12</f>
        <v>2.3266975120455618E-23</v>
      </c>
      <c r="AX191" s="23">
        <f t="shared" si="166"/>
        <v>3.7859174458068079E-2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266</v>
      </c>
      <c r="BE191" s="14">
        <f>BD191*VLOOKUP('Données projet'!$B$11,Paramètres!$A$1:$I$89,3,0)*VLOOKUP('Données projet'!$B$11,Paramètres!$A$1:$I$89,5,0)</f>
        <v>257.27519999999998</v>
      </c>
      <c r="BF191" s="14">
        <f t="shared" si="167"/>
        <v>62.141205057159596</v>
      </c>
      <c r="BG191" s="22">
        <f t="shared" si="168"/>
        <v>556.31690547455287</v>
      </c>
      <c r="BH191" s="62">
        <f t="shared" si="116"/>
        <v>849.65023880788613</v>
      </c>
      <c r="BI191" s="62">
        <f ca="1">AVERAGE(OFFSET($BH$3,0,0,'Données projet'!$E$11+1,1))-AVERAGE(OFFSET($H$3,0,0,'Données projet'!$E$11+1,1))</f>
        <v>387.04070351732537</v>
      </c>
      <c r="BJ191" s="62">
        <f t="shared" si="146"/>
        <v>246.54010105494137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3.6111827944618757E-2</v>
      </c>
      <c r="BR191" s="23">
        <f>EXP(-LN(2)/2)*BR190+(1-EXP(-LN(2)/2))/(LN(2)/2)*BL191*BO191*VLOOKUP('Données projet'!$B$11,Paramètres!$A$1:$I$89,3,0)*0.475*44/12</f>
        <v>2.2193114730280752E-23</v>
      </c>
      <c r="BS191" s="24">
        <f t="shared" si="169"/>
        <v>3.6111827944618757E-2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2.8421709430404007E-14</v>
      </c>
      <c r="BZ191" s="14">
        <f>BY191*VLOOKUP('Données projet'!$B$12,Paramètres!$A$1:$I$89,3,0)*VLOOKUP('Données projet'!$B$12,Paramètres!$A$1:$I$89,5,0)</f>
        <v>2.4829205358400945E-14</v>
      </c>
      <c r="CA191" s="14">
        <f t="shared" si="170"/>
        <v>4.3867331143352915E-13</v>
      </c>
      <c r="CB191" s="22">
        <f t="shared" si="171"/>
        <v>8.0726688341261168E-13</v>
      </c>
      <c r="CC191" s="62">
        <f t="shared" si="119"/>
        <v>293.33333333333411</v>
      </c>
      <c r="CD191" s="62">
        <f ca="1">AVERAGE(OFFSET($CC$3,0,0,'Données projet'!$E$12+1,1))-AVERAGE(OFFSET($H$3,0,0,'Données projet'!$E$12+1,1))</f>
        <v>327.62212115491479</v>
      </c>
      <c r="CE191" s="62">
        <f t="shared" si="148"/>
        <v>348.84706693879735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0.30762136269560714</v>
      </c>
      <c r="CM191" s="23">
        <f>EXP(-LN(2)/2)*CM190+(1-EXP(-LN(2)/2))/(LN(2)/2)*CG191*CJ191*VLOOKUP('Données projet'!$B$12,Paramètres!$A$1:$I$89,3,0)*0.475*44/12</f>
        <v>1.4076648818714942E-22</v>
      </c>
      <c r="CN191" s="24">
        <f t="shared" si="172"/>
        <v>0.30762136269560714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4.1677594708744434E-14</v>
      </c>
      <c r="CV191" s="14">
        <f t="shared" si="173"/>
        <v>6.9326303456159188E-13</v>
      </c>
      <c r="CW191" s="22">
        <f t="shared" si="174"/>
        <v>1.2800215959791691E-12</v>
      </c>
      <c r="CX191" s="62">
        <f t="shared" si="122"/>
        <v>293.33333333333462</v>
      </c>
      <c r="CY191" s="62">
        <f ca="1">AVERAGE(OFFSET($CX$3,0,0,'Données projet'!$E$13+1,1))-AVERAGE(OFFSET($H$3,0,0,'Données projet'!$E$13+1,1))</f>
        <v>277.97613250285963</v>
      </c>
      <c r="CZ191" s="62">
        <f t="shared" si="150"/>
        <v>274.55710362891892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0.35089967743940492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0.35089967743940492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266</v>
      </c>
      <c r="O192" s="14">
        <f>N192*VLOOKUP('Données projet'!$B$9,Paramètres!$A$1:$I$89,3,0)*VLOOKUP('Données projet'!$B$9,Paramètres!$A$1:$I$89,5,0)</f>
        <v>240.67680000000001</v>
      </c>
      <c r="P192" s="14">
        <f t="shared" si="141"/>
        <v>58.585123425001029</v>
      </c>
      <c r="Q192" s="22">
        <f t="shared" si="162"/>
        <v>521.21451663187679</v>
      </c>
      <c r="R192" s="62">
        <f t="shared" si="109"/>
        <v>814.54784996521016</v>
      </c>
      <c r="S192" s="62">
        <f ca="1">AVERAGE(OFFSET($R$3,0,0,'Données projet'!$E$9+1,1))-AVERAGE(OFFSET($H$3,0,0,'Données projet'!$E$9+1,1))</f>
        <v>364.63511534965755</v>
      </c>
      <c r="T192" s="62">
        <f t="shared" si="142"/>
        <v>233.32640143610541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3.2858261135567918E-2</v>
      </c>
      <c r="AB192" s="23">
        <f>EXP(-LN(2)/2)*AB191+(1-EXP(-LN(2)/2))/(LN(2)/2)*V192*Y192*VLOOKUP('Données projet'!$B$9,Paramètres!$A$1:$I$89,3,0)*0.475*44/12</f>
        <v>1.4680456636178855E-23</v>
      </c>
      <c r="AC192" s="24">
        <f t="shared" si="163"/>
        <v>3.2858261135567918E-2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266</v>
      </c>
      <c r="AJ192" s="14">
        <f>AI192*VLOOKUP('Données projet'!$B$10,Paramètres!$A$1:$I$89,3,0)*VLOOKUP('Données projet'!$B$10,Paramètres!$A$1:$I$89,5,0)</f>
        <v>269.72400000000005</v>
      </c>
      <c r="AK192" s="14">
        <f t="shared" si="164"/>
        <v>64.790691635967406</v>
      </c>
      <c r="AL192" s="22">
        <f t="shared" si="165"/>
        <v>582.61308793264323</v>
      </c>
      <c r="AM192" s="62">
        <f t="shared" si="113"/>
        <v>875.9464212659766</v>
      </c>
      <c r="AN192" s="62">
        <f ca="1">AVERAGE(OFFSET($AM$3,0,0,'Données projet'!$E$10+1,1))-AVERAGE(OFFSET($H$3,0,0,'Données projet'!$E$10+1,1))</f>
        <v>403.82490501309815</v>
      </c>
      <c r="AO192" s="62">
        <f t="shared" si="144"/>
        <v>256.4377087753457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3.6823913341584753E-2</v>
      </c>
      <c r="AW192" s="23">
        <f>EXP(-LN(2)/2)*AW191+(1-EXP(-LN(2)/2))/(LN(2)/2)*AQ192*AT192*VLOOKUP('Données projet'!$B$10,Paramètres!$A$1:$I$89,3,0)*0.475*44/12</f>
        <v>1.6452235885372856E-23</v>
      </c>
      <c r="AX192" s="23">
        <f t="shared" si="166"/>
        <v>3.6823913341584753E-2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266</v>
      </c>
      <c r="BE192" s="14">
        <f>BD192*VLOOKUP('Données projet'!$B$11,Paramètres!$A$1:$I$89,3,0)*VLOOKUP('Données projet'!$B$11,Paramètres!$A$1:$I$89,5,0)</f>
        <v>257.27519999999998</v>
      </c>
      <c r="BF192" s="14">
        <f t="shared" si="167"/>
        <v>62.141205057159596</v>
      </c>
      <c r="BG192" s="22">
        <f t="shared" si="168"/>
        <v>556.31690547455287</v>
      </c>
      <c r="BH192" s="62">
        <f t="shared" si="116"/>
        <v>849.65023880788613</v>
      </c>
      <c r="BI192" s="62">
        <f ca="1">AVERAGE(OFFSET($BH$3,0,0,'Données projet'!$E$11+1,1))-AVERAGE(OFFSET($H$3,0,0,'Données projet'!$E$11+1,1))</f>
        <v>387.04070351732537</v>
      </c>
      <c r="BJ192" s="62">
        <f t="shared" si="146"/>
        <v>246.54010105494137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3.5124348110434661E-2</v>
      </c>
      <c r="BR192" s="23">
        <f>EXP(-LN(2)/2)*BR191+(1-EXP(-LN(2)/2))/(LN(2)/2)*BL192*BO192*VLOOKUP('Données projet'!$B$11,Paramètres!$A$1:$I$89,3,0)*0.475*44/12</f>
        <v>1.5692901921432576E-23</v>
      </c>
      <c r="BS192" s="24">
        <f t="shared" si="169"/>
        <v>3.5124348110434661E-2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2.8421709430404007E-14</v>
      </c>
      <c r="BZ192" s="14">
        <f>BY192*VLOOKUP('Données projet'!$B$12,Paramètres!$A$1:$I$89,3,0)*VLOOKUP('Données projet'!$B$12,Paramètres!$A$1:$I$89,5,0)</f>
        <v>2.4829205358400945E-14</v>
      </c>
      <c r="CA192" s="14">
        <f t="shared" si="170"/>
        <v>4.3867331143352915E-13</v>
      </c>
      <c r="CB192" s="22">
        <f t="shared" si="171"/>
        <v>8.0726688341261168E-13</v>
      </c>
      <c r="CC192" s="62">
        <f t="shared" si="119"/>
        <v>293.33333333333411</v>
      </c>
      <c r="CD192" s="62">
        <f ca="1">AVERAGE(OFFSET($CC$3,0,0,'Données projet'!$E$12+1,1))-AVERAGE(OFFSET($H$3,0,0,'Données projet'!$E$12+1,1))</f>
        <v>327.62212115491479</v>
      </c>
      <c r="CE192" s="62">
        <f t="shared" si="148"/>
        <v>348.84706693879735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0.29920944035559138</v>
      </c>
      <c r="CM192" s="23">
        <f>EXP(-LN(2)/2)*CM191+(1-EXP(-LN(2)/2))/(LN(2)/2)*CG192*CJ192*VLOOKUP('Données projet'!$B$12,Paramètres!$A$1:$I$89,3,0)*0.475*44/12</f>
        <v>9.9536938360949391E-23</v>
      </c>
      <c r="CN192" s="24">
        <f t="shared" si="172"/>
        <v>0.29920944035559138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4.1677594708744434E-14</v>
      </c>
      <c r="CV192" s="14">
        <f t="shared" si="173"/>
        <v>6.9326303456159188E-13</v>
      </c>
      <c r="CW192" s="22">
        <f t="shared" si="174"/>
        <v>1.2800215959791691E-12</v>
      </c>
      <c r="CX192" s="62">
        <f t="shared" si="122"/>
        <v>293.33333333333462</v>
      </c>
      <c r="CY192" s="62">
        <f ca="1">AVERAGE(OFFSET($CX$3,0,0,'Données projet'!$E$13+1,1))-AVERAGE(OFFSET($H$3,0,0,'Données projet'!$E$13+1,1))</f>
        <v>277.97613250285963</v>
      </c>
      <c r="CZ192" s="62">
        <f t="shared" si="150"/>
        <v>274.55710362891892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0.34401874879248795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0.34401874879248795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266</v>
      </c>
      <c r="O193" s="14">
        <f>N193*VLOOKUP('Données projet'!$B$9,Paramètres!$A$1:$I$89,3,0)*VLOOKUP('Données projet'!$B$9,Paramètres!$A$1:$I$89,5,0)</f>
        <v>240.67680000000001</v>
      </c>
      <c r="P193" s="14">
        <f t="shared" si="141"/>
        <v>58.585123425001029</v>
      </c>
      <c r="Q193" s="22">
        <f t="shared" si="162"/>
        <v>521.21451663187679</v>
      </c>
      <c r="R193" s="62">
        <f t="shared" si="109"/>
        <v>814.54784996521016</v>
      </c>
      <c r="S193" s="62">
        <f ca="1">AVERAGE(OFFSET($R$3,0,0,'Données projet'!$E$9+1,1))-AVERAGE(OFFSET($H$3,0,0,'Données projet'!$E$9+1,1))</f>
        <v>364.63511534965755</v>
      </c>
      <c r="T193" s="62">
        <f t="shared" si="142"/>
        <v>233.32640143610541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3.1959750256874961E-2</v>
      </c>
      <c r="AB193" s="23">
        <f>EXP(-LN(2)/2)*AB192+(1-EXP(-LN(2)/2))/(LN(2)/2)*V193*Y193*VLOOKUP('Données projet'!$B$9,Paramètres!$A$1:$I$89,3,0)*0.475*44/12</f>
        <v>1.0380650438357121E-23</v>
      </c>
      <c r="AC193" s="24">
        <f t="shared" si="163"/>
        <v>3.1959750256874961E-2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266</v>
      </c>
      <c r="AJ193" s="14">
        <f>AI193*VLOOKUP('Données projet'!$B$10,Paramètres!$A$1:$I$89,3,0)*VLOOKUP('Données projet'!$B$10,Paramètres!$A$1:$I$89,5,0)</f>
        <v>269.72400000000005</v>
      </c>
      <c r="AK193" s="14">
        <f t="shared" si="164"/>
        <v>64.790691635967406</v>
      </c>
      <c r="AL193" s="22">
        <f t="shared" si="165"/>
        <v>582.61308793264323</v>
      </c>
      <c r="AM193" s="62">
        <f t="shared" si="113"/>
        <v>875.9464212659766</v>
      </c>
      <c r="AN193" s="62">
        <f ca="1">AVERAGE(OFFSET($AM$3,0,0,'Données projet'!$E$10+1,1))-AVERAGE(OFFSET($H$3,0,0,'Données projet'!$E$10+1,1))</f>
        <v>403.82490501309815</v>
      </c>
      <c r="AO193" s="62">
        <f t="shared" si="144"/>
        <v>256.4377087753457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3.5816961494773675E-2</v>
      </c>
      <c r="AW193" s="23">
        <f>EXP(-LN(2)/2)*AW192+(1-EXP(-LN(2)/2))/(LN(2)/2)*AQ193*AT193*VLOOKUP('Données projet'!$B$10,Paramètres!$A$1:$I$89,3,0)*0.475*44/12</f>
        <v>1.1633487560227809E-23</v>
      </c>
      <c r="AX193" s="23">
        <f t="shared" si="166"/>
        <v>3.5816961494773675E-2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266</v>
      </c>
      <c r="BE193" s="14">
        <f>BD193*VLOOKUP('Données projet'!$B$11,Paramètres!$A$1:$I$89,3,0)*VLOOKUP('Données projet'!$B$11,Paramètres!$A$1:$I$89,5,0)</f>
        <v>257.27519999999998</v>
      </c>
      <c r="BF193" s="14">
        <f t="shared" si="167"/>
        <v>62.141205057159596</v>
      </c>
      <c r="BG193" s="22">
        <f t="shared" si="168"/>
        <v>556.31690547455287</v>
      </c>
      <c r="BH193" s="62">
        <f t="shared" si="116"/>
        <v>849.65023880788613</v>
      </c>
      <c r="BI193" s="62">
        <f ca="1">AVERAGE(OFFSET($BH$3,0,0,'Données projet'!$E$11+1,1))-AVERAGE(OFFSET($H$3,0,0,'Données projet'!$E$11+1,1))</f>
        <v>387.04070351732537</v>
      </c>
      <c r="BJ193" s="62">
        <f t="shared" si="146"/>
        <v>246.54010105494137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3.4163870964245634E-2</v>
      </c>
      <c r="BR193" s="23">
        <f>EXP(-LN(2)/2)*BR192+(1-EXP(-LN(2)/2))/(LN(2)/2)*BL193*BO193*VLOOKUP('Données projet'!$B$11,Paramètres!$A$1:$I$89,3,0)*0.475*44/12</f>
        <v>1.1096557365140376E-23</v>
      </c>
      <c r="BS193" s="24">
        <f t="shared" si="169"/>
        <v>3.4163870964245634E-2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2.8421709430404007E-14</v>
      </c>
      <c r="BZ193" s="14">
        <f>BY193*VLOOKUP('Données projet'!$B$12,Paramètres!$A$1:$I$89,3,0)*VLOOKUP('Données projet'!$B$12,Paramètres!$A$1:$I$89,5,0)</f>
        <v>2.4829205358400945E-14</v>
      </c>
      <c r="CA193" s="14">
        <f t="shared" si="170"/>
        <v>4.3867331143352915E-13</v>
      </c>
      <c r="CB193" s="22">
        <f t="shared" si="171"/>
        <v>8.0726688341261168E-13</v>
      </c>
      <c r="CC193" s="62">
        <f t="shared" si="119"/>
        <v>293.33333333333411</v>
      </c>
      <c r="CD193" s="62">
        <f ca="1">AVERAGE(OFFSET($CC$3,0,0,'Données projet'!$E$12+1,1))-AVERAGE(OFFSET($H$3,0,0,'Données projet'!$E$12+1,1))</f>
        <v>327.62212115491479</v>
      </c>
      <c r="CE193" s="62">
        <f t="shared" si="148"/>
        <v>348.84706693879735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0.29102754247432711</v>
      </c>
      <c r="CM193" s="23">
        <f>EXP(-LN(2)/2)*CM192+(1-EXP(-LN(2)/2))/(LN(2)/2)*CG193*CJ193*VLOOKUP('Données projet'!$B$12,Paramètres!$A$1:$I$89,3,0)*0.475*44/12</f>
        <v>7.0383244093574709E-23</v>
      </c>
      <c r="CN193" s="24">
        <f t="shared" si="172"/>
        <v>0.29102754247432711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4.1677594708744434E-14</v>
      </c>
      <c r="CV193" s="14">
        <f t="shared" si="173"/>
        <v>6.9326303456159188E-13</v>
      </c>
      <c r="CW193" s="22">
        <f t="shared" si="174"/>
        <v>1.2800215959791691E-12</v>
      </c>
      <c r="CX193" s="62">
        <f t="shared" si="122"/>
        <v>293.33333333333462</v>
      </c>
      <c r="CY193" s="62">
        <f ca="1">AVERAGE(OFFSET($CX$3,0,0,'Données projet'!$E$13+1,1))-AVERAGE(OFFSET($H$3,0,0,'Données projet'!$E$13+1,1))</f>
        <v>277.97613250285963</v>
      </c>
      <c r="CZ193" s="62">
        <f t="shared" si="150"/>
        <v>274.55710362891892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0.33727275095938497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0.33727275095938497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266</v>
      </c>
      <c r="O194" s="14">
        <f>N194*VLOOKUP('Données projet'!$B$9,Paramètres!$A$1:$I$89,3,0)*VLOOKUP('Données projet'!$B$9,Paramètres!$A$1:$I$89,5,0)</f>
        <v>240.67680000000001</v>
      </c>
      <c r="P194" s="14">
        <f t="shared" si="141"/>
        <v>58.585123425001029</v>
      </c>
      <c r="Q194" s="22">
        <f t="shared" si="162"/>
        <v>521.21451663187679</v>
      </c>
      <c r="R194" s="62">
        <f t="shared" si="109"/>
        <v>814.54784996521016</v>
      </c>
      <c r="S194" s="62">
        <f ca="1">AVERAGE(OFFSET($R$3,0,0,'Données projet'!$E$9+1,1))-AVERAGE(OFFSET($H$3,0,0,'Données projet'!$E$9+1,1))</f>
        <v>364.63511534965755</v>
      </c>
      <c r="T194" s="62">
        <f t="shared" si="142"/>
        <v>233.32640143610541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3.1085809205410493E-2</v>
      </c>
      <c r="AB194" s="23">
        <f>EXP(-LN(2)/2)*AB193+(1-EXP(-LN(2)/2))/(LN(2)/2)*V194*Y194*VLOOKUP('Données projet'!$B$9,Paramètres!$A$1:$I$89,3,0)*0.475*44/12</f>
        <v>7.3402283180894273E-24</v>
      </c>
      <c r="AC194" s="24">
        <f t="shared" si="163"/>
        <v>3.1085809205410493E-2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266</v>
      </c>
      <c r="AJ194" s="14">
        <f>AI194*VLOOKUP('Données projet'!$B$10,Paramètres!$A$1:$I$89,3,0)*VLOOKUP('Données projet'!$B$10,Paramètres!$A$1:$I$89,5,0)</f>
        <v>269.72400000000005</v>
      </c>
      <c r="AK194" s="14">
        <f t="shared" si="164"/>
        <v>64.790691635967406</v>
      </c>
      <c r="AL194" s="22">
        <f t="shared" si="165"/>
        <v>582.61308793264323</v>
      </c>
      <c r="AM194" s="62">
        <f t="shared" si="113"/>
        <v>875.9464212659766</v>
      </c>
      <c r="AN194" s="62">
        <f ca="1">AVERAGE(OFFSET($AM$3,0,0,'Données projet'!$E$10+1,1))-AVERAGE(OFFSET($H$3,0,0,'Données projet'!$E$10+1,1))</f>
        <v>403.82490501309815</v>
      </c>
      <c r="AO194" s="62">
        <f t="shared" si="144"/>
        <v>256.4377087753457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3.4837544799166946E-2</v>
      </c>
      <c r="AW194" s="23">
        <f>EXP(-LN(2)/2)*AW193+(1-EXP(-LN(2)/2))/(LN(2)/2)*AQ194*AT194*VLOOKUP('Données projet'!$B$10,Paramètres!$A$1:$I$89,3,0)*0.475*44/12</f>
        <v>8.2261179426864279E-24</v>
      </c>
      <c r="AX194" s="23">
        <f t="shared" si="166"/>
        <v>3.4837544799166946E-2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266</v>
      </c>
      <c r="BE194" s="14">
        <f>BD194*VLOOKUP('Données projet'!$B$11,Paramètres!$A$1:$I$89,3,0)*VLOOKUP('Données projet'!$B$11,Paramètres!$A$1:$I$89,5,0)</f>
        <v>257.27519999999998</v>
      </c>
      <c r="BF194" s="14">
        <f t="shared" si="167"/>
        <v>62.141205057159596</v>
      </c>
      <c r="BG194" s="22">
        <f t="shared" si="168"/>
        <v>556.31690547455287</v>
      </c>
      <c r="BH194" s="62">
        <f t="shared" si="116"/>
        <v>849.65023880788613</v>
      </c>
      <c r="BI194" s="62">
        <f ca="1">AVERAGE(OFFSET($BH$3,0,0,'Données projet'!$E$11+1,1))-AVERAGE(OFFSET($H$3,0,0,'Données projet'!$E$11+1,1))</f>
        <v>387.04070351732537</v>
      </c>
      <c r="BJ194" s="62">
        <f t="shared" si="146"/>
        <v>246.54010105494137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3.3229658116128442E-2</v>
      </c>
      <c r="BR194" s="23">
        <f>EXP(-LN(2)/2)*BR193+(1-EXP(-LN(2)/2))/(LN(2)/2)*BL194*BO194*VLOOKUP('Données projet'!$B$11,Paramètres!$A$1:$I$89,3,0)*0.475*44/12</f>
        <v>7.8464509607162879E-24</v>
      </c>
      <c r="BS194" s="24">
        <f t="shared" si="169"/>
        <v>3.3229658116128442E-2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2.8421709430404007E-14</v>
      </c>
      <c r="BZ194" s="14">
        <f>BY194*VLOOKUP('Données projet'!$B$12,Paramètres!$A$1:$I$89,3,0)*VLOOKUP('Données projet'!$B$12,Paramètres!$A$1:$I$89,5,0)</f>
        <v>2.4829205358400945E-14</v>
      </c>
      <c r="CA194" s="14">
        <f t="shared" si="170"/>
        <v>4.3867331143352915E-13</v>
      </c>
      <c r="CB194" s="22">
        <f t="shared" si="171"/>
        <v>8.0726688341261168E-13</v>
      </c>
      <c r="CC194" s="62">
        <f t="shared" si="119"/>
        <v>293.33333333333411</v>
      </c>
      <c r="CD194" s="62">
        <f ca="1">AVERAGE(OFFSET($CC$3,0,0,'Données projet'!$E$12+1,1))-AVERAGE(OFFSET($H$3,0,0,'Données projet'!$E$12+1,1))</f>
        <v>327.62212115491479</v>
      </c>
      <c r="CE194" s="62">
        <f t="shared" si="148"/>
        <v>348.84706693879735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0.2830693790208933</v>
      </c>
      <c r="CM194" s="23">
        <f>EXP(-LN(2)/2)*CM193+(1-EXP(-LN(2)/2))/(LN(2)/2)*CG194*CJ194*VLOOKUP('Données projet'!$B$12,Paramètres!$A$1:$I$89,3,0)*0.475*44/12</f>
        <v>4.9768469180474696E-23</v>
      </c>
      <c r="CN194" s="24">
        <f t="shared" si="172"/>
        <v>0.2830693790208933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4.1677594708744434E-14</v>
      </c>
      <c r="CV194" s="14">
        <f t="shared" si="173"/>
        <v>6.9326303456159188E-13</v>
      </c>
      <c r="CW194" s="22">
        <f t="shared" si="174"/>
        <v>1.2800215959791691E-12</v>
      </c>
      <c r="CX194" s="62">
        <f t="shared" si="122"/>
        <v>293.33333333333462</v>
      </c>
      <c r="CY194" s="62">
        <f ca="1">AVERAGE(OFFSET($CX$3,0,0,'Données projet'!$E$13+1,1))-AVERAGE(OFFSET($H$3,0,0,'Données projet'!$E$13+1,1))</f>
        <v>277.97613250285963</v>
      </c>
      <c r="CZ194" s="62">
        <f t="shared" si="150"/>
        <v>274.55710362891892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0.33065903802913676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0.33065903802913676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266</v>
      </c>
      <c r="O195" s="14">
        <f>N195*VLOOKUP('Données projet'!$B$9,Paramètres!$A$1:$I$89,3,0)*VLOOKUP('Données projet'!$B$9,Paramètres!$A$1:$I$89,5,0)</f>
        <v>240.67680000000001</v>
      </c>
      <c r="P195" s="14">
        <f t="shared" si="141"/>
        <v>58.585123425001029</v>
      </c>
      <c r="Q195" s="22">
        <f t="shared" si="162"/>
        <v>521.21451663187679</v>
      </c>
      <c r="R195" s="62">
        <f t="shared" ref="R195:R203" si="191">Q195+(I195+J195)*44/12</f>
        <v>814.54784996521016</v>
      </c>
      <c r="S195" s="62">
        <f ca="1">AVERAGE(OFFSET($R$3,0,0,'Données projet'!$E$9+1,1))-AVERAGE(OFFSET($H$3,0,0,'Données projet'!$E$9+1,1))</f>
        <v>364.63511534965755</v>
      </c>
      <c r="T195" s="62">
        <f t="shared" si="142"/>
        <v>233.32640143610541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3.0235766117956885E-2</v>
      </c>
      <c r="AB195" s="23">
        <f>EXP(-LN(2)/2)*AB194+(1-EXP(-LN(2)/2))/(LN(2)/2)*V195*Y195*VLOOKUP('Données projet'!$B$9,Paramètres!$A$1:$I$89,3,0)*0.475*44/12</f>
        <v>5.1903252191785604E-24</v>
      </c>
      <c r="AC195" s="24">
        <f t="shared" si="163"/>
        <v>3.0235766117956885E-2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266</v>
      </c>
      <c r="AJ195" s="14">
        <f>AI195*VLOOKUP('Données projet'!$B$10,Paramètres!$A$1:$I$89,3,0)*VLOOKUP('Données projet'!$B$10,Paramètres!$A$1:$I$89,5,0)</f>
        <v>269.72400000000005</v>
      </c>
      <c r="AK195" s="14">
        <f t="shared" si="164"/>
        <v>64.790691635967406</v>
      </c>
      <c r="AL195" s="22">
        <f t="shared" si="165"/>
        <v>582.61308793264323</v>
      </c>
      <c r="AM195" s="62">
        <f t="shared" si="113"/>
        <v>875.9464212659766</v>
      </c>
      <c r="AN195" s="62">
        <f ca="1">AVERAGE(OFFSET($AM$3,0,0,'Données projet'!$E$10+1,1))-AVERAGE(OFFSET($H$3,0,0,'Données projet'!$E$10+1,1))</f>
        <v>403.82490501309815</v>
      </c>
      <c r="AO195" s="62">
        <f t="shared" si="144"/>
        <v>256.4377087753457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3.3884910304606865E-2</v>
      </c>
      <c r="AW195" s="23">
        <f>EXP(-LN(2)/2)*AW194+(1-EXP(-LN(2)/2))/(LN(2)/2)*AQ195*AT195*VLOOKUP('Données projet'!$B$10,Paramètres!$A$1:$I$89,3,0)*0.475*44/12</f>
        <v>5.8167437801139045E-24</v>
      </c>
      <c r="AX195" s="23">
        <f t="shared" si="166"/>
        <v>3.3884910304606865E-2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266</v>
      </c>
      <c r="BE195" s="14">
        <f>BD195*VLOOKUP('Données projet'!$B$11,Paramètres!$A$1:$I$89,3,0)*VLOOKUP('Données projet'!$B$11,Paramètres!$A$1:$I$89,5,0)</f>
        <v>257.27519999999998</v>
      </c>
      <c r="BF195" s="14">
        <f t="shared" si="167"/>
        <v>62.141205057159596</v>
      </c>
      <c r="BG195" s="22">
        <f t="shared" si="168"/>
        <v>556.31690547455287</v>
      </c>
      <c r="BH195" s="62">
        <f t="shared" si="116"/>
        <v>849.65023880788613</v>
      </c>
      <c r="BI195" s="62">
        <f ca="1">AVERAGE(OFFSET($BH$3,0,0,'Données projet'!$E$11+1,1))-AVERAGE(OFFSET($H$3,0,0,'Données projet'!$E$11+1,1))</f>
        <v>387.04070351732537</v>
      </c>
      <c r="BJ195" s="62">
        <f t="shared" si="146"/>
        <v>246.54010105494137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3.2320991367471137E-2</v>
      </c>
      <c r="BR195" s="23">
        <f>EXP(-LN(2)/2)*BR194+(1-EXP(-LN(2)/2))/(LN(2)/2)*BL195*BO195*VLOOKUP('Données projet'!$B$11,Paramètres!$A$1:$I$89,3,0)*0.475*44/12</f>
        <v>5.5482786825701879E-24</v>
      </c>
      <c r="BS195" s="24">
        <f t="shared" si="169"/>
        <v>3.2320991367471137E-2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2.8421709430404007E-14</v>
      </c>
      <c r="BZ195" s="14">
        <f>BY195*VLOOKUP('Données projet'!$B$12,Paramètres!$A$1:$I$89,3,0)*VLOOKUP('Données projet'!$B$12,Paramètres!$A$1:$I$89,5,0)</f>
        <v>2.4829205358400945E-14</v>
      </c>
      <c r="CA195" s="14">
        <f t="shared" si="170"/>
        <v>4.3867331143352915E-13</v>
      </c>
      <c r="CB195" s="22">
        <f t="shared" si="171"/>
        <v>8.0726688341261168E-13</v>
      </c>
      <c r="CC195" s="62">
        <f t="shared" si="119"/>
        <v>293.33333333333411</v>
      </c>
      <c r="CD195" s="62">
        <f ca="1">AVERAGE(OFFSET($CC$3,0,0,'Données projet'!$E$12+1,1))-AVERAGE(OFFSET($H$3,0,0,'Données projet'!$E$12+1,1))</f>
        <v>327.62212115491479</v>
      </c>
      <c r="CE195" s="62">
        <f t="shared" si="148"/>
        <v>348.84706693879735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0.27532883196559527</v>
      </c>
      <c r="CM195" s="23">
        <f>EXP(-LN(2)/2)*CM194+(1-EXP(-LN(2)/2))/(LN(2)/2)*CG195*CJ195*VLOOKUP('Données projet'!$B$12,Paramètres!$A$1:$I$89,3,0)*0.475*44/12</f>
        <v>3.5191622046787354E-23</v>
      </c>
      <c r="CN195" s="24">
        <f t="shared" si="172"/>
        <v>0.27532883196559527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4.1677594708744434E-14</v>
      </c>
      <c r="CV195" s="14">
        <f t="shared" si="173"/>
        <v>6.9326303456159188E-13</v>
      </c>
      <c r="CW195" s="22">
        <f t="shared" si="174"/>
        <v>1.2800215959791691E-12</v>
      </c>
      <c r="CX195" s="62">
        <f t="shared" si="122"/>
        <v>293.33333333333462</v>
      </c>
      <c r="CY195" s="62">
        <f ca="1">AVERAGE(OFFSET($CX$3,0,0,'Données projet'!$E$13+1,1))-AVERAGE(OFFSET($H$3,0,0,'Données projet'!$E$13+1,1))</f>
        <v>277.97613250285963</v>
      </c>
      <c r="CZ195" s="62">
        <f t="shared" si="150"/>
        <v>274.55710362891892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0.32417501597548415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0.32417501597548415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266</v>
      </c>
      <c r="O196" s="14">
        <f>N196*VLOOKUP('Données projet'!$B$9,Paramètres!$A$1:$I$89,3,0)*VLOOKUP('Données projet'!$B$9,Paramètres!$A$1:$I$89,5,0)</f>
        <v>240.67680000000001</v>
      </c>
      <c r="P196" s="14">
        <f t="shared" si="141"/>
        <v>58.585123425001029</v>
      </c>
      <c r="Q196" s="22">
        <f t="shared" si="162"/>
        <v>521.21451663187679</v>
      </c>
      <c r="R196" s="62">
        <f t="shared" si="191"/>
        <v>814.54784996521016</v>
      </c>
      <c r="S196" s="62">
        <f ca="1">AVERAGE(OFFSET($R$3,0,0,'Données projet'!$E$9+1,1))-AVERAGE(OFFSET($H$3,0,0,'Données projet'!$E$9+1,1))</f>
        <v>364.63511534965755</v>
      </c>
      <c r="T196" s="62">
        <f t="shared" si="142"/>
        <v>233.32640143610541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2.940896750343152E-2</v>
      </c>
      <c r="AB196" s="23">
        <f>EXP(-LN(2)/2)*AB195+(1-EXP(-LN(2)/2))/(LN(2)/2)*V196*Y196*VLOOKUP('Données projet'!$B$9,Paramètres!$A$1:$I$89,3,0)*0.475*44/12</f>
        <v>3.6701141590447136E-24</v>
      </c>
      <c r="AC196" s="24">
        <f t="shared" si="163"/>
        <v>2.940896750343152E-2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266</v>
      </c>
      <c r="AJ196" s="14">
        <f>AI196*VLOOKUP('Données projet'!$B$10,Paramètres!$A$1:$I$89,3,0)*VLOOKUP('Données projet'!$B$10,Paramètres!$A$1:$I$89,5,0)</f>
        <v>269.72400000000005</v>
      </c>
      <c r="AK196" s="14">
        <f t="shared" si="164"/>
        <v>64.790691635967406</v>
      </c>
      <c r="AL196" s="22">
        <f t="shared" si="165"/>
        <v>582.61308793264323</v>
      </c>
      <c r="AM196" s="62">
        <f t="shared" ref="AM196:AM203" si="193">AL196+(AD196+AE196)*44/12</f>
        <v>875.9464212659766</v>
      </c>
      <c r="AN196" s="62">
        <f ca="1">AVERAGE(OFFSET($AM$3,0,0,'Données projet'!$E$10+1,1))-AVERAGE(OFFSET($H$3,0,0,'Données projet'!$E$10+1,1))</f>
        <v>403.82490501309815</v>
      </c>
      <c r="AO196" s="62">
        <f t="shared" si="144"/>
        <v>256.4377087753457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3.2958325650397399E-2</v>
      </c>
      <c r="AW196" s="23">
        <f>EXP(-LN(2)/2)*AW195+(1-EXP(-LN(2)/2))/(LN(2)/2)*AQ196*AT196*VLOOKUP('Données projet'!$B$10,Paramètres!$A$1:$I$89,3,0)*0.475*44/12</f>
        <v>4.1130589713432139E-24</v>
      </c>
      <c r="AX196" s="23">
        <f t="shared" si="166"/>
        <v>3.2958325650397399E-2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266</v>
      </c>
      <c r="BE196" s="14">
        <f>BD196*VLOOKUP('Données projet'!$B$11,Paramètres!$A$1:$I$89,3,0)*VLOOKUP('Données projet'!$B$11,Paramètres!$A$1:$I$89,5,0)</f>
        <v>257.27519999999998</v>
      </c>
      <c r="BF196" s="14">
        <f t="shared" si="167"/>
        <v>62.141205057159596</v>
      </c>
      <c r="BG196" s="22">
        <f t="shared" si="168"/>
        <v>556.31690547455287</v>
      </c>
      <c r="BH196" s="62">
        <f t="shared" ref="BH196:BH203" si="194">BG196+(AY196+AZ196)*44/12</f>
        <v>849.65023880788613</v>
      </c>
      <c r="BI196" s="62">
        <f ca="1">AVERAGE(OFFSET($BH$3,0,0,'Données projet'!$E$11+1,1))-AVERAGE(OFFSET($H$3,0,0,'Données projet'!$E$11+1,1))</f>
        <v>387.04070351732537</v>
      </c>
      <c r="BJ196" s="62">
        <f t="shared" si="146"/>
        <v>246.54010105494137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3.1437172158840572E-2</v>
      </c>
      <c r="BR196" s="23">
        <f>EXP(-LN(2)/2)*BR195+(1-EXP(-LN(2)/2))/(LN(2)/2)*BL196*BO196*VLOOKUP('Données projet'!$B$11,Paramètres!$A$1:$I$89,3,0)*0.475*44/12</f>
        <v>3.923225480358144E-24</v>
      </c>
      <c r="BS196" s="24">
        <f t="shared" si="169"/>
        <v>3.1437172158840572E-2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2.8421709430404007E-14</v>
      </c>
      <c r="BZ196" s="14">
        <f>BY196*VLOOKUP('Données projet'!$B$12,Paramètres!$A$1:$I$89,3,0)*VLOOKUP('Données projet'!$B$12,Paramètres!$A$1:$I$89,5,0)</f>
        <v>2.4829205358400945E-14</v>
      </c>
      <c r="CA196" s="14">
        <f t="shared" si="170"/>
        <v>4.3867331143352915E-13</v>
      </c>
      <c r="CB196" s="22">
        <f t="shared" si="171"/>
        <v>8.0726688341261168E-13</v>
      </c>
      <c r="CC196" s="62">
        <f t="shared" ref="CC196:CC203" si="195">CB196+(BT196+BU196)*44/12</f>
        <v>293.33333333333411</v>
      </c>
      <c r="CD196" s="62">
        <f ca="1">AVERAGE(OFFSET($CC$3,0,0,'Données projet'!$E$12+1,1))-AVERAGE(OFFSET($H$3,0,0,'Données projet'!$E$12+1,1))</f>
        <v>327.62212115491479</v>
      </c>
      <c r="CE196" s="62">
        <f t="shared" si="148"/>
        <v>348.84706693879735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0.26779995057658207</v>
      </c>
      <c r="CM196" s="23">
        <f>EXP(-LN(2)/2)*CM195+(1-EXP(-LN(2)/2))/(LN(2)/2)*CG196*CJ196*VLOOKUP('Données projet'!$B$12,Paramètres!$A$1:$I$89,3,0)*0.475*44/12</f>
        <v>2.4884234590237348E-23</v>
      </c>
      <c r="CN196" s="24">
        <f t="shared" si="172"/>
        <v>0.26779995057658207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4.1677594708744434E-14</v>
      </c>
      <c r="CV196" s="14">
        <f t="shared" si="173"/>
        <v>6.9326303456159188E-13</v>
      </c>
      <c r="CW196" s="22">
        <f t="shared" si="174"/>
        <v>1.2800215959791691E-12</v>
      </c>
      <c r="CX196" s="62">
        <f t="shared" ref="CX196:CX203" si="196">CW196+(CO196+CP196)*44/12</f>
        <v>293.33333333333462</v>
      </c>
      <c r="CY196" s="62">
        <f ca="1">AVERAGE(OFFSET($CX$3,0,0,'Données projet'!$E$13+1,1))-AVERAGE(OFFSET($H$3,0,0,'Données projet'!$E$13+1,1))</f>
        <v>277.97613250285963</v>
      </c>
      <c r="CZ196" s="62">
        <f t="shared" si="150"/>
        <v>274.55710362891892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0.31781814163944072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0.31781814163944072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266</v>
      </c>
      <c r="O197" s="14">
        <f>N197*VLOOKUP('Données projet'!$B$9,Paramètres!$A$1:$I$89,3,0)*VLOOKUP('Données projet'!$B$9,Paramètres!$A$1:$I$89,5,0)</f>
        <v>240.67680000000001</v>
      </c>
      <c r="P197" s="14">
        <f t="shared" ref="P197:P203" si="203">EXP(-1.0587+0.8836*LN(O197)+0.284)</f>
        <v>58.585123425001029</v>
      </c>
      <c r="Q197" s="22">
        <f t="shared" si="162"/>
        <v>521.21451663187679</v>
      </c>
      <c r="R197" s="62">
        <f t="shared" si="191"/>
        <v>814.54784996521016</v>
      </c>
      <c r="S197" s="62">
        <f ca="1">AVERAGE(OFFSET($R$3,0,0,'Données projet'!$E$9+1,1))-AVERAGE(OFFSET($H$3,0,0,'Données projet'!$E$9+1,1))</f>
        <v>364.63511534965755</v>
      </c>
      <c r="T197" s="62">
        <f t="shared" ref="T197:T203" si="204">$T$3</f>
        <v>233.32640143610541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2.8604777740499798E-2</v>
      </c>
      <c r="AB197" s="23">
        <f>EXP(-LN(2)/2)*AB196+(1-EXP(-LN(2)/2))/(LN(2)/2)*V197*Y197*VLOOKUP('Données projet'!$B$9,Paramètres!$A$1:$I$89,3,0)*0.475*44/12</f>
        <v>2.5951626095892802E-24</v>
      </c>
      <c r="AC197" s="24">
        <f t="shared" si="163"/>
        <v>2.8604777740499798E-2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266</v>
      </c>
      <c r="AJ197" s="14">
        <f>AI197*VLOOKUP('Données projet'!$B$10,Paramètres!$A$1:$I$89,3,0)*VLOOKUP('Données projet'!$B$10,Paramètres!$A$1:$I$89,5,0)</f>
        <v>269.72400000000005</v>
      </c>
      <c r="AK197" s="14">
        <f t="shared" si="164"/>
        <v>64.790691635967406</v>
      </c>
      <c r="AL197" s="22">
        <f t="shared" si="165"/>
        <v>582.61308793264323</v>
      </c>
      <c r="AM197" s="62">
        <f t="shared" si="193"/>
        <v>875.9464212659766</v>
      </c>
      <c r="AN197" s="62">
        <f ca="1">AVERAGE(OFFSET($AM$3,0,0,'Données projet'!$E$10+1,1))-AVERAGE(OFFSET($H$3,0,0,'Données projet'!$E$10+1,1))</f>
        <v>403.82490501309815</v>
      </c>
      <c r="AO197" s="62">
        <f t="shared" ref="AO197:AO203" si="205">$AO$3</f>
        <v>256.4377087753457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3.2057078502284266E-2</v>
      </c>
      <c r="AW197" s="23">
        <f>EXP(-LN(2)/2)*AW196+(1-EXP(-LN(2)/2))/(LN(2)/2)*AQ197*AT197*VLOOKUP('Données projet'!$B$10,Paramètres!$A$1:$I$89,3,0)*0.475*44/12</f>
        <v>2.9083718900569522E-24</v>
      </c>
      <c r="AX197" s="23">
        <f t="shared" si="166"/>
        <v>3.2057078502284266E-2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266</v>
      </c>
      <c r="BE197" s="14">
        <f>BD197*VLOOKUP('Données projet'!$B$11,Paramètres!$A$1:$I$89,3,0)*VLOOKUP('Données projet'!$B$11,Paramètres!$A$1:$I$89,5,0)</f>
        <v>257.27519999999998</v>
      </c>
      <c r="BF197" s="14">
        <f t="shared" si="167"/>
        <v>62.141205057159596</v>
      </c>
      <c r="BG197" s="22">
        <f t="shared" si="168"/>
        <v>556.31690547455287</v>
      </c>
      <c r="BH197" s="62">
        <f t="shared" si="194"/>
        <v>849.65023880788613</v>
      </c>
      <c r="BI197" s="62">
        <f ca="1">AVERAGE(OFFSET($BH$3,0,0,'Données projet'!$E$11+1,1))-AVERAGE(OFFSET($H$3,0,0,'Données projet'!$E$11+1,1))</f>
        <v>387.04070351732537</v>
      </c>
      <c r="BJ197" s="62">
        <f t="shared" ref="BJ197:BJ203" si="206">$BJ$3</f>
        <v>246.54010105494137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3.0577521032948043E-2</v>
      </c>
      <c r="BR197" s="23">
        <f>EXP(-LN(2)/2)*BR196+(1-EXP(-LN(2)/2))/(LN(2)/2)*BL197*BO197*VLOOKUP('Données projet'!$B$11,Paramètres!$A$1:$I$89,3,0)*0.475*44/12</f>
        <v>2.774139341285094E-24</v>
      </c>
      <c r="BS197" s="24">
        <f t="shared" si="169"/>
        <v>3.0577521032948043E-2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2.8421709430404007E-14</v>
      </c>
      <c r="BZ197" s="14">
        <f>BY197*VLOOKUP('Données projet'!$B$12,Paramètres!$A$1:$I$89,3,0)*VLOOKUP('Données projet'!$B$12,Paramètres!$A$1:$I$89,5,0)</f>
        <v>2.4829205358400945E-14</v>
      </c>
      <c r="CA197" s="14">
        <f t="shared" si="170"/>
        <v>4.3867331143352915E-13</v>
      </c>
      <c r="CB197" s="22">
        <f t="shared" si="171"/>
        <v>8.0726688341261168E-13</v>
      </c>
      <c r="CC197" s="62">
        <f t="shared" si="195"/>
        <v>293.33333333333411</v>
      </c>
      <c r="CD197" s="62">
        <f ca="1">AVERAGE(OFFSET($CC$3,0,0,'Données projet'!$E$12+1,1))-AVERAGE(OFFSET($H$3,0,0,'Données projet'!$E$12+1,1))</f>
        <v>327.62212115491479</v>
      </c>
      <c r="CE197" s="62">
        <f t="shared" ref="CE197:CE203" si="207">$CE$3</f>
        <v>348.84706693879735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0.26047694684507811</v>
      </c>
      <c r="CM197" s="23">
        <f>EXP(-LN(2)/2)*CM196+(1-EXP(-LN(2)/2))/(LN(2)/2)*CG197*CJ197*VLOOKUP('Données projet'!$B$12,Paramètres!$A$1:$I$89,3,0)*0.475*44/12</f>
        <v>1.7595811023393677E-23</v>
      </c>
      <c r="CN197" s="24">
        <f t="shared" si="172"/>
        <v>0.26047694684507811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4.1677594708744434E-14</v>
      </c>
      <c r="CV197" s="14">
        <f t="shared" si="173"/>
        <v>6.9326303456159188E-13</v>
      </c>
      <c r="CW197" s="22">
        <f t="shared" si="174"/>
        <v>1.2800215959791691E-12</v>
      </c>
      <c r="CX197" s="62">
        <f t="shared" si="196"/>
        <v>293.33333333333462</v>
      </c>
      <c r="CY197" s="62">
        <f ca="1">AVERAGE(OFFSET($CX$3,0,0,'Données projet'!$E$13+1,1))-AVERAGE(OFFSET($H$3,0,0,'Données projet'!$E$13+1,1))</f>
        <v>277.97613250285963</v>
      </c>
      <c r="CZ197" s="62">
        <f t="shared" ref="CZ197:CZ203" si="208">$CZ$3</f>
        <v>274.55710362891892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0.3115859217318166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0.3115859217318166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266</v>
      </c>
      <c r="O198" s="14">
        <f>N198*VLOOKUP('Données projet'!$B$9,Paramètres!$A$1:$I$89,3,0)*VLOOKUP('Données projet'!$B$9,Paramètres!$A$1:$I$89,5,0)</f>
        <v>240.67680000000001</v>
      </c>
      <c r="P198" s="14">
        <f t="shared" si="203"/>
        <v>58.585123425001029</v>
      </c>
      <c r="Q198" s="22">
        <f t="shared" si="162"/>
        <v>521.21451663187679</v>
      </c>
      <c r="R198" s="62">
        <f t="shared" si="191"/>
        <v>814.54784996521016</v>
      </c>
      <c r="S198" s="62">
        <f ca="1">AVERAGE(OFFSET($R$3,0,0,'Données projet'!$E$9+1,1))-AVERAGE(OFFSET($H$3,0,0,'Données projet'!$E$9+1,1))</f>
        <v>364.63511534965755</v>
      </c>
      <c r="T198" s="62">
        <f t="shared" si="204"/>
        <v>233.32640143610541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2.7822578588925947E-2</v>
      </c>
      <c r="AB198" s="23">
        <f>EXP(-LN(2)/2)*AB197+(1-EXP(-LN(2)/2))/(LN(2)/2)*V198*Y198*VLOOKUP('Données projet'!$B$9,Paramètres!$A$1:$I$89,3,0)*0.475*44/12</f>
        <v>1.8350570795223568E-24</v>
      </c>
      <c r="AC198" s="24">
        <f t="shared" si="163"/>
        <v>2.7822578588925947E-2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266</v>
      </c>
      <c r="AJ198" s="14">
        <f>AI198*VLOOKUP('Données projet'!$B$10,Paramètres!$A$1:$I$89,3,0)*VLOOKUP('Données projet'!$B$10,Paramètres!$A$1:$I$89,5,0)</f>
        <v>269.72400000000005</v>
      </c>
      <c r="AK198" s="14">
        <f t="shared" si="164"/>
        <v>64.790691635967406</v>
      </c>
      <c r="AL198" s="22">
        <f t="shared" si="165"/>
        <v>582.61308793264323</v>
      </c>
      <c r="AM198" s="62">
        <f t="shared" si="193"/>
        <v>875.9464212659766</v>
      </c>
      <c r="AN198" s="62">
        <f ca="1">AVERAGE(OFFSET($AM$3,0,0,'Données projet'!$E$10+1,1))-AVERAGE(OFFSET($H$3,0,0,'Données projet'!$E$10+1,1))</f>
        <v>403.82490501309815</v>
      </c>
      <c r="AO198" s="62">
        <f t="shared" si="205"/>
        <v>256.4377087753457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3.1180476004830811E-2</v>
      </c>
      <c r="AW198" s="23">
        <f>EXP(-LN(2)/2)*AW197+(1-EXP(-LN(2)/2))/(LN(2)/2)*AQ198*AT198*VLOOKUP('Données projet'!$B$10,Paramètres!$A$1:$I$89,3,0)*0.475*44/12</f>
        <v>2.056529485671607E-24</v>
      </c>
      <c r="AX198" s="23">
        <f t="shared" si="166"/>
        <v>3.1180476004830811E-2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266</v>
      </c>
      <c r="BE198" s="14">
        <f>BD198*VLOOKUP('Données projet'!$B$11,Paramètres!$A$1:$I$89,3,0)*VLOOKUP('Données projet'!$B$11,Paramètres!$A$1:$I$89,5,0)</f>
        <v>257.27519999999998</v>
      </c>
      <c r="BF198" s="14">
        <f t="shared" si="167"/>
        <v>62.141205057159596</v>
      </c>
      <c r="BG198" s="22">
        <f t="shared" si="168"/>
        <v>556.31690547455287</v>
      </c>
      <c r="BH198" s="62">
        <f t="shared" si="194"/>
        <v>849.65023880788613</v>
      </c>
      <c r="BI198" s="62">
        <f ca="1">AVERAGE(OFFSET($BH$3,0,0,'Données projet'!$E$11+1,1))-AVERAGE(OFFSET($H$3,0,0,'Données projet'!$E$11+1,1))</f>
        <v>387.04070351732537</v>
      </c>
      <c r="BJ198" s="62">
        <f t="shared" si="206"/>
        <v>246.54010105494137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2.9741377112300134E-2</v>
      </c>
      <c r="BR198" s="23">
        <f>EXP(-LN(2)/2)*BR197+(1-EXP(-LN(2)/2))/(LN(2)/2)*BL198*BO198*VLOOKUP('Données projet'!$B$11,Paramètres!$A$1:$I$89,3,0)*0.475*44/12</f>
        <v>1.961612740179072E-24</v>
      </c>
      <c r="BS198" s="24">
        <f t="shared" si="169"/>
        <v>2.9741377112300134E-2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2.8421709430404007E-14</v>
      </c>
      <c r="BZ198" s="14">
        <f>BY198*VLOOKUP('Données projet'!$B$12,Paramètres!$A$1:$I$89,3,0)*VLOOKUP('Données projet'!$B$12,Paramètres!$A$1:$I$89,5,0)</f>
        <v>2.4829205358400945E-14</v>
      </c>
      <c r="CA198" s="14">
        <f t="shared" si="170"/>
        <v>4.3867331143352915E-13</v>
      </c>
      <c r="CB198" s="22">
        <f t="shared" si="171"/>
        <v>8.0726688341261168E-13</v>
      </c>
      <c r="CC198" s="62">
        <f t="shared" si="195"/>
        <v>293.33333333333411</v>
      </c>
      <c r="CD198" s="62">
        <f ca="1">AVERAGE(OFFSET($CC$3,0,0,'Données projet'!$E$12+1,1))-AVERAGE(OFFSET($H$3,0,0,'Données projet'!$E$12+1,1))</f>
        <v>327.62212115491479</v>
      </c>
      <c r="CE198" s="62">
        <f t="shared" si="207"/>
        <v>348.84706693879735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0.25335419103571216</v>
      </c>
      <c r="CM198" s="23">
        <f>EXP(-LN(2)/2)*CM197+(1-EXP(-LN(2)/2))/(LN(2)/2)*CG198*CJ198*VLOOKUP('Données projet'!$B$12,Paramètres!$A$1:$I$89,3,0)*0.475*44/12</f>
        <v>1.2442117295118674E-23</v>
      </c>
      <c r="CN198" s="24">
        <f t="shared" si="172"/>
        <v>0.25335419103571216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4.1677594708744434E-14</v>
      </c>
      <c r="CV198" s="14">
        <f t="shared" si="173"/>
        <v>6.9326303456159188E-13</v>
      </c>
      <c r="CW198" s="22">
        <f t="shared" si="174"/>
        <v>1.2800215959791691E-12</v>
      </c>
      <c r="CX198" s="62">
        <f t="shared" si="196"/>
        <v>293.33333333333462</v>
      </c>
      <c r="CY198" s="62">
        <f ca="1">AVERAGE(OFFSET($CX$3,0,0,'Données projet'!$E$13+1,1))-AVERAGE(OFFSET($H$3,0,0,'Données projet'!$E$13+1,1))</f>
        <v>277.97613250285963</v>
      </c>
      <c r="CZ198" s="62">
        <f t="shared" si="208"/>
        <v>274.55710362891892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0.30547591185530221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0.30547591185530221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266</v>
      </c>
      <c r="O199" s="14">
        <f>N199*VLOOKUP('Données projet'!$B$9,Paramètres!$A$1:$I$89,3,0)*VLOOKUP('Données projet'!$B$9,Paramètres!$A$1:$I$89,5,0)</f>
        <v>240.67680000000001</v>
      </c>
      <c r="P199" s="14">
        <f t="shared" si="203"/>
        <v>58.585123425001029</v>
      </c>
      <c r="Q199" s="22">
        <f t="shared" si="162"/>
        <v>521.21451663187679</v>
      </c>
      <c r="R199" s="62">
        <f t="shared" si="191"/>
        <v>814.54784996521016</v>
      </c>
      <c r="S199" s="62">
        <f ca="1">AVERAGE(OFFSET($R$3,0,0,'Données projet'!$E$9+1,1))-AVERAGE(OFFSET($H$3,0,0,'Données projet'!$E$9+1,1))</f>
        <v>364.63511534965755</v>
      </c>
      <c r="T199" s="62">
        <f t="shared" si="204"/>
        <v>233.32640143610541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2.706176871428595E-2</v>
      </c>
      <c r="AB199" s="23">
        <f>EXP(-LN(2)/2)*AB198+(1-EXP(-LN(2)/2))/(LN(2)/2)*V199*Y199*VLOOKUP('Données projet'!$B$9,Paramètres!$A$1:$I$89,3,0)*0.475*44/12</f>
        <v>1.2975813047946401E-24</v>
      </c>
      <c r="AC199" s="24">
        <f t="shared" si="163"/>
        <v>2.706176871428595E-2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266</v>
      </c>
      <c r="AJ199" s="14">
        <f>AI199*VLOOKUP('Données projet'!$B$10,Paramètres!$A$1:$I$89,3,0)*VLOOKUP('Données projet'!$B$10,Paramètres!$A$1:$I$89,5,0)</f>
        <v>269.72400000000005</v>
      </c>
      <c r="AK199" s="14">
        <f t="shared" si="164"/>
        <v>64.790691635967406</v>
      </c>
      <c r="AL199" s="22">
        <f t="shared" si="165"/>
        <v>582.61308793264323</v>
      </c>
      <c r="AM199" s="62">
        <f t="shared" si="193"/>
        <v>875.9464212659766</v>
      </c>
      <c r="AN199" s="62">
        <f ca="1">AVERAGE(OFFSET($AM$3,0,0,'Données projet'!$E$10+1,1))-AVERAGE(OFFSET($H$3,0,0,'Données projet'!$E$10+1,1))</f>
        <v>403.82490501309815</v>
      </c>
      <c r="AO199" s="62">
        <f t="shared" si="205"/>
        <v>256.4377087753457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3.0327844248768745E-2</v>
      </c>
      <c r="AW199" s="23">
        <f>EXP(-LN(2)/2)*AW198+(1-EXP(-LN(2)/2))/(LN(2)/2)*AQ199*AT199*VLOOKUP('Données projet'!$B$10,Paramètres!$A$1:$I$89,3,0)*0.475*44/12</f>
        <v>1.4541859450284761E-24</v>
      </c>
      <c r="AX199" s="23">
        <f t="shared" si="166"/>
        <v>3.0327844248768745E-2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266</v>
      </c>
      <c r="BE199" s="14">
        <f>BD199*VLOOKUP('Données projet'!$B$11,Paramètres!$A$1:$I$89,3,0)*VLOOKUP('Données projet'!$B$11,Paramètres!$A$1:$I$89,5,0)</f>
        <v>257.27519999999998</v>
      </c>
      <c r="BF199" s="14">
        <f t="shared" si="167"/>
        <v>62.141205057159596</v>
      </c>
      <c r="BG199" s="22">
        <f t="shared" si="168"/>
        <v>556.31690547455287</v>
      </c>
      <c r="BH199" s="62">
        <f t="shared" si="194"/>
        <v>849.65023880788613</v>
      </c>
      <c r="BI199" s="62">
        <f ca="1">AVERAGE(OFFSET($BH$3,0,0,'Données projet'!$E$11+1,1))-AVERAGE(OFFSET($H$3,0,0,'Données projet'!$E$11+1,1))</f>
        <v>387.04070351732537</v>
      </c>
      <c r="BJ199" s="62">
        <f t="shared" si="206"/>
        <v>246.54010105494137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2.8928097591133239E-2</v>
      </c>
      <c r="BR199" s="23">
        <f>EXP(-LN(2)/2)*BR198+(1-EXP(-LN(2)/2))/(LN(2)/2)*BL199*BO199*VLOOKUP('Données projet'!$B$11,Paramètres!$A$1:$I$89,3,0)*0.475*44/12</f>
        <v>1.387069670642547E-24</v>
      </c>
      <c r="BS199" s="24">
        <f t="shared" si="169"/>
        <v>2.8928097591133239E-2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2.8421709430404007E-14</v>
      </c>
      <c r="BZ199" s="14">
        <f>BY199*VLOOKUP('Données projet'!$B$12,Paramètres!$A$1:$I$89,3,0)*VLOOKUP('Données projet'!$B$12,Paramètres!$A$1:$I$89,5,0)</f>
        <v>2.4829205358400945E-14</v>
      </c>
      <c r="CA199" s="14">
        <f t="shared" si="170"/>
        <v>4.3867331143352915E-13</v>
      </c>
      <c r="CB199" s="22">
        <f t="shared" si="171"/>
        <v>8.0726688341261168E-13</v>
      </c>
      <c r="CC199" s="62">
        <f t="shared" si="195"/>
        <v>293.33333333333411</v>
      </c>
      <c r="CD199" s="62">
        <f ca="1">AVERAGE(OFFSET($CC$3,0,0,'Données projet'!$E$12+1,1))-AVERAGE(OFFSET($H$3,0,0,'Données projet'!$E$12+1,1))</f>
        <v>327.62212115491479</v>
      </c>
      <c r="CE199" s="62">
        <f t="shared" si="207"/>
        <v>348.84706693879735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0.24642620735852275</v>
      </c>
      <c r="CM199" s="23">
        <f>EXP(-LN(2)/2)*CM198+(1-EXP(-LN(2)/2))/(LN(2)/2)*CG199*CJ199*VLOOKUP('Données projet'!$B$12,Paramètres!$A$1:$I$89,3,0)*0.475*44/12</f>
        <v>8.7979055116968386E-24</v>
      </c>
      <c r="CN199" s="24">
        <f t="shared" si="172"/>
        <v>0.24642620735852275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4.1677594708744434E-14</v>
      </c>
      <c r="CV199" s="14">
        <f t="shared" si="173"/>
        <v>6.9326303456159188E-13</v>
      </c>
      <c r="CW199" s="22">
        <f t="shared" si="174"/>
        <v>1.2800215959791691E-12</v>
      </c>
      <c r="CX199" s="62">
        <f t="shared" si="196"/>
        <v>293.33333333333462</v>
      </c>
      <c r="CY199" s="62">
        <f ca="1">AVERAGE(OFFSET($CX$3,0,0,'Données projet'!$E$13+1,1))-AVERAGE(OFFSET($H$3,0,0,'Données projet'!$E$13+1,1))</f>
        <v>277.97613250285963</v>
      </c>
      <c r="CZ199" s="62">
        <f t="shared" si="208"/>
        <v>274.55710362891892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0.29948571554572823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0.29948571554572823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266</v>
      </c>
      <c r="O200" s="14">
        <f>N200*VLOOKUP('Données projet'!$B$9,Paramètres!$A$1:$I$89,3,0)*VLOOKUP('Données projet'!$B$9,Paramètres!$A$1:$I$89,5,0)</f>
        <v>240.67680000000001</v>
      </c>
      <c r="P200" s="14">
        <f t="shared" si="203"/>
        <v>58.585123425001029</v>
      </c>
      <c r="Q200" s="22">
        <f t="shared" si="162"/>
        <v>521.21451663187679</v>
      </c>
      <c r="R200" s="62">
        <f t="shared" si="191"/>
        <v>814.54784996521016</v>
      </c>
      <c r="S200" s="62">
        <f ca="1">AVERAGE(OFFSET($R$3,0,0,'Données projet'!$E$9+1,1))-AVERAGE(OFFSET($H$3,0,0,'Données projet'!$E$9+1,1))</f>
        <v>364.63511534965755</v>
      </c>
      <c r="T200" s="62">
        <f t="shared" si="204"/>
        <v>233.32640143610541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2.6321763225677235E-2</v>
      </c>
      <c r="AB200" s="23">
        <f>EXP(-LN(2)/2)*AB199+(1-EXP(-LN(2)/2))/(LN(2)/2)*V200*Y200*VLOOKUP('Données projet'!$B$9,Paramètres!$A$1:$I$89,3,0)*0.475*44/12</f>
        <v>9.1752853976117841E-25</v>
      </c>
      <c r="AC200" s="24">
        <f t="shared" si="163"/>
        <v>2.6321763225677235E-2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266</v>
      </c>
      <c r="AJ200" s="14">
        <f>AI200*VLOOKUP('Données projet'!$B$10,Paramètres!$A$1:$I$89,3,0)*VLOOKUP('Données projet'!$B$10,Paramètres!$A$1:$I$89,5,0)</f>
        <v>269.72400000000005</v>
      </c>
      <c r="AK200" s="14">
        <f t="shared" si="164"/>
        <v>64.790691635967406</v>
      </c>
      <c r="AL200" s="22">
        <f t="shared" si="165"/>
        <v>582.61308793264323</v>
      </c>
      <c r="AM200" s="62">
        <f t="shared" si="193"/>
        <v>875.9464212659766</v>
      </c>
      <c r="AN200" s="62">
        <f ca="1">AVERAGE(OFFSET($AM$3,0,0,'Données projet'!$E$10+1,1))-AVERAGE(OFFSET($H$3,0,0,'Données projet'!$E$10+1,1))</f>
        <v>403.82490501309815</v>
      </c>
      <c r="AO200" s="62">
        <f t="shared" si="205"/>
        <v>256.4377087753457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2.9498527752914151E-2</v>
      </c>
      <c r="AW200" s="23">
        <f>EXP(-LN(2)/2)*AW199+(1-EXP(-LN(2)/2))/(LN(2)/2)*AQ200*AT200*VLOOKUP('Données projet'!$B$10,Paramètres!$A$1:$I$89,3,0)*0.475*44/12</f>
        <v>1.0282647428358035E-24</v>
      </c>
      <c r="AX200" s="23">
        <f t="shared" si="166"/>
        <v>2.9498527752914151E-2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266</v>
      </c>
      <c r="BE200" s="14">
        <f>BD200*VLOOKUP('Données projet'!$B$11,Paramètres!$A$1:$I$89,3,0)*VLOOKUP('Données projet'!$B$11,Paramètres!$A$1:$I$89,5,0)</f>
        <v>257.27519999999998</v>
      </c>
      <c r="BF200" s="14">
        <f t="shared" si="167"/>
        <v>62.141205057159596</v>
      </c>
      <c r="BG200" s="22">
        <f t="shared" si="168"/>
        <v>556.31690547455287</v>
      </c>
      <c r="BH200" s="62">
        <f t="shared" si="194"/>
        <v>849.65023880788613</v>
      </c>
      <c r="BI200" s="62">
        <f ca="1">AVERAGE(OFFSET($BH$3,0,0,'Données projet'!$E$11+1,1))-AVERAGE(OFFSET($H$3,0,0,'Données projet'!$E$11+1,1))</f>
        <v>387.04070351732537</v>
      </c>
      <c r="BJ200" s="62">
        <f t="shared" si="206"/>
        <v>246.54010105494137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2.8137057241241166E-2</v>
      </c>
      <c r="BR200" s="23">
        <f>EXP(-LN(2)/2)*BR199+(1-EXP(-LN(2)/2))/(LN(2)/2)*BL200*BO200*VLOOKUP('Données projet'!$B$11,Paramètres!$A$1:$I$89,3,0)*0.475*44/12</f>
        <v>9.8080637008953599E-25</v>
      </c>
      <c r="BS200" s="24">
        <f t="shared" si="169"/>
        <v>2.8137057241241166E-2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2.8421709430404007E-14</v>
      </c>
      <c r="BZ200" s="14">
        <f>BY200*VLOOKUP('Données projet'!$B$12,Paramètres!$A$1:$I$89,3,0)*VLOOKUP('Données projet'!$B$12,Paramètres!$A$1:$I$89,5,0)</f>
        <v>2.4829205358400945E-14</v>
      </c>
      <c r="CA200" s="14">
        <f t="shared" si="170"/>
        <v>4.3867331143352915E-13</v>
      </c>
      <c r="CB200" s="22">
        <f t="shared" si="171"/>
        <v>8.0726688341261168E-13</v>
      </c>
      <c r="CC200" s="62">
        <f t="shared" si="195"/>
        <v>293.33333333333411</v>
      </c>
      <c r="CD200" s="62">
        <f ca="1">AVERAGE(OFFSET($CC$3,0,0,'Données projet'!$E$12+1,1))-AVERAGE(OFFSET($H$3,0,0,'Données projet'!$E$12+1,1))</f>
        <v>327.62212115491479</v>
      </c>
      <c r="CE200" s="62">
        <f t="shared" si="207"/>
        <v>348.84706693879735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0.23968766975931291</v>
      </c>
      <c r="CM200" s="23">
        <f>EXP(-LN(2)/2)*CM199+(1-EXP(-LN(2)/2))/(LN(2)/2)*CG200*CJ200*VLOOKUP('Données projet'!$B$12,Paramètres!$A$1:$I$89,3,0)*0.475*44/12</f>
        <v>6.221058647559337E-24</v>
      </c>
      <c r="CN200" s="24">
        <f t="shared" si="172"/>
        <v>0.23968766975931291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4.1677594708744434E-14</v>
      </c>
      <c r="CV200" s="14">
        <f t="shared" si="173"/>
        <v>6.9326303456159188E-13</v>
      </c>
      <c r="CW200" s="22">
        <f t="shared" si="174"/>
        <v>1.2800215959791691E-12</v>
      </c>
      <c r="CX200" s="62">
        <f t="shared" si="196"/>
        <v>293.33333333333462</v>
      </c>
      <c r="CY200" s="62">
        <f ca="1">AVERAGE(OFFSET($CX$3,0,0,'Données projet'!$E$13+1,1))-AVERAGE(OFFSET($H$3,0,0,'Données projet'!$E$13+1,1))</f>
        <v>277.97613250285963</v>
      </c>
      <c r="CZ200" s="62">
        <f t="shared" si="208"/>
        <v>274.55710362891892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0.29361298333212599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0.29361298333212599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266</v>
      </c>
      <c r="O201" s="14">
        <f>N201*VLOOKUP('Données projet'!$B$9,Paramètres!$A$1:$I$89,3,0)*VLOOKUP('Données projet'!$B$9,Paramètres!$A$1:$I$89,5,0)</f>
        <v>240.67680000000001</v>
      </c>
      <c r="P201" s="14">
        <f t="shared" si="203"/>
        <v>58.585123425001029</v>
      </c>
      <c r="Q201" s="22">
        <f t="shared" si="162"/>
        <v>521.21451663187679</v>
      </c>
      <c r="R201" s="62">
        <f t="shared" si="191"/>
        <v>814.54784996521016</v>
      </c>
      <c r="S201" s="62">
        <f ca="1">AVERAGE(OFFSET($R$3,0,0,'Données projet'!$E$9+1,1))-AVERAGE(OFFSET($H$3,0,0,'Données projet'!$E$9+1,1))</f>
        <v>364.63511534965755</v>
      </c>
      <c r="T201" s="62">
        <f t="shared" si="204"/>
        <v>233.32640143610541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2.5601993226069722E-2</v>
      </c>
      <c r="AB201" s="23">
        <f>EXP(-LN(2)/2)*AB200+(1-EXP(-LN(2)/2))/(LN(2)/2)*V201*Y201*VLOOKUP('Données projet'!$B$9,Paramètres!$A$1:$I$89,3,0)*0.475*44/12</f>
        <v>6.4879065239732005E-25</v>
      </c>
      <c r="AC201" s="24">
        <f t="shared" si="163"/>
        <v>2.5601993226069722E-2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266</v>
      </c>
      <c r="AJ201" s="14">
        <f>AI201*VLOOKUP('Données projet'!$B$10,Paramètres!$A$1:$I$89,3,0)*VLOOKUP('Données projet'!$B$10,Paramètres!$A$1:$I$89,5,0)</f>
        <v>269.72400000000005</v>
      </c>
      <c r="AK201" s="14">
        <f t="shared" si="164"/>
        <v>64.790691635967406</v>
      </c>
      <c r="AL201" s="22">
        <f t="shared" si="165"/>
        <v>582.61308793264323</v>
      </c>
      <c r="AM201" s="62">
        <f t="shared" si="193"/>
        <v>875.9464212659766</v>
      </c>
      <c r="AN201" s="62">
        <f ca="1">AVERAGE(OFFSET($AM$3,0,0,'Données projet'!$E$10+1,1))-AVERAGE(OFFSET($H$3,0,0,'Données projet'!$E$10+1,1))</f>
        <v>403.82490501309815</v>
      </c>
      <c r="AO201" s="62">
        <f t="shared" si="205"/>
        <v>256.4377087753457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2.8691888960250558E-2</v>
      </c>
      <c r="AW201" s="23">
        <f>EXP(-LN(2)/2)*AW200+(1-EXP(-LN(2)/2))/(LN(2)/2)*AQ201*AT201*VLOOKUP('Données projet'!$B$10,Paramètres!$A$1:$I$89,3,0)*0.475*44/12</f>
        <v>7.2709297251423806E-25</v>
      </c>
      <c r="AX201" s="23">
        <f t="shared" si="166"/>
        <v>2.8691888960250558E-2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266</v>
      </c>
      <c r="BE201" s="14">
        <f>BD201*VLOOKUP('Données projet'!$B$11,Paramètres!$A$1:$I$89,3,0)*VLOOKUP('Données projet'!$B$11,Paramètres!$A$1:$I$89,5,0)</f>
        <v>257.27519999999998</v>
      </c>
      <c r="BF201" s="14">
        <f t="shared" si="167"/>
        <v>62.141205057159596</v>
      </c>
      <c r="BG201" s="22">
        <f t="shared" si="168"/>
        <v>556.31690547455287</v>
      </c>
      <c r="BH201" s="62">
        <f t="shared" si="194"/>
        <v>849.65023880788613</v>
      </c>
      <c r="BI201" s="62">
        <f ca="1">AVERAGE(OFFSET($BH$3,0,0,'Données projet'!$E$11+1,1))-AVERAGE(OFFSET($H$3,0,0,'Données projet'!$E$11+1,1))</f>
        <v>387.04070351732537</v>
      </c>
      <c r="BJ201" s="62">
        <f t="shared" si="206"/>
        <v>246.54010105494137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2.7367647931315894E-2</v>
      </c>
      <c r="BR201" s="23">
        <f>EXP(-LN(2)/2)*BR200+(1-EXP(-LN(2)/2))/(LN(2)/2)*BL201*BO201*VLOOKUP('Données projet'!$B$11,Paramètres!$A$1:$I$89,3,0)*0.475*44/12</f>
        <v>6.9353483532127349E-25</v>
      </c>
      <c r="BS201" s="24">
        <f t="shared" si="169"/>
        <v>2.7367647931315894E-2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2.8421709430404007E-14</v>
      </c>
      <c r="BZ201" s="14">
        <f>BY201*VLOOKUP('Données projet'!$B$12,Paramètres!$A$1:$I$89,3,0)*VLOOKUP('Données projet'!$B$12,Paramètres!$A$1:$I$89,5,0)</f>
        <v>2.4829205358400945E-14</v>
      </c>
      <c r="CA201" s="14">
        <f t="shared" si="170"/>
        <v>4.3867331143352915E-13</v>
      </c>
      <c r="CB201" s="22">
        <f t="shared" si="171"/>
        <v>8.0726688341261168E-13</v>
      </c>
      <c r="CC201" s="62">
        <f t="shared" si="195"/>
        <v>293.33333333333411</v>
      </c>
      <c r="CD201" s="62">
        <f ca="1">AVERAGE(OFFSET($CC$3,0,0,'Données projet'!$E$12+1,1))-AVERAGE(OFFSET($H$3,0,0,'Données projet'!$E$12+1,1))</f>
        <v>327.62212115491479</v>
      </c>
      <c r="CE201" s="62">
        <f t="shared" si="207"/>
        <v>348.84706693879735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0.23313339782511777</v>
      </c>
      <c r="CM201" s="23">
        <f>EXP(-LN(2)/2)*CM200+(1-EXP(-LN(2)/2))/(LN(2)/2)*CG201*CJ201*VLOOKUP('Données projet'!$B$12,Paramètres!$A$1:$I$89,3,0)*0.475*44/12</f>
        <v>4.3989527558484193E-24</v>
      </c>
      <c r="CN201" s="24">
        <f t="shared" si="172"/>
        <v>0.23313339782511777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4.1677594708744434E-14</v>
      </c>
      <c r="CV201" s="14">
        <f t="shared" si="173"/>
        <v>6.9326303456159188E-13</v>
      </c>
      <c r="CW201" s="22">
        <f t="shared" si="174"/>
        <v>1.2800215959791691E-12</v>
      </c>
      <c r="CX201" s="62">
        <f t="shared" si="196"/>
        <v>293.33333333333462</v>
      </c>
      <c r="CY201" s="62">
        <f ca="1">AVERAGE(OFFSET($CX$3,0,0,'Données projet'!$E$13+1,1))-AVERAGE(OFFSET($H$3,0,0,'Données projet'!$E$13+1,1))</f>
        <v>277.97613250285963</v>
      </c>
      <c r="CZ201" s="62">
        <f t="shared" si="208"/>
        <v>274.55710362891892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0.28785541181521951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0.28785541181521951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266</v>
      </c>
      <c r="O202" s="14">
        <f>N202*VLOOKUP('Données projet'!$B$9,Paramètres!$A$1:$I$89,3,0)*VLOOKUP('Données projet'!$B$9,Paramètres!$A$1:$I$89,5,0)</f>
        <v>240.67680000000001</v>
      </c>
      <c r="P202" s="14">
        <f t="shared" si="203"/>
        <v>58.585123425001029</v>
      </c>
      <c r="Q202" s="22">
        <f t="shared" si="162"/>
        <v>521.21451663187679</v>
      </c>
      <c r="R202" s="62">
        <f t="shared" si="191"/>
        <v>814.54784996521016</v>
      </c>
      <c r="S202" s="62">
        <f ca="1">AVERAGE(OFFSET($R$3,0,0,'Données projet'!$E$9+1,1))-AVERAGE(OFFSET($H$3,0,0,'Données projet'!$E$9+1,1))</f>
        <v>364.63511534965755</v>
      </c>
      <c r="T202" s="62">
        <f t="shared" si="204"/>
        <v>233.32640143610541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2.4901905374952536E-2</v>
      </c>
      <c r="AB202" s="23">
        <f>EXP(-LN(2)/2)*AB201+(1-EXP(-LN(2)/2))/(LN(2)/2)*V202*Y202*VLOOKUP('Données projet'!$B$9,Paramètres!$A$1:$I$89,3,0)*0.475*44/12</f>
        <v>4.587642698805892E-25</v>
      </c>
      <c r="AC202" s="24">
        <f t="shared" si="163"/>
        <v>2.4901905374952536E-2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266</v>
      </c>
      <c r="AJ202" s="14">
        <f>AI202*VLOOKUP('Données projet'!$B$10,Paramètres!$A$1:$I$89,3,0)*VLOOKUP('Données projet'!$B$10,Paramètres!$A$1:$I$89,5,0)</f>
        <v>269.72400000000005</v>
      </c>
      <c r="AK202" s="14">
        <f t="shared" si="164"/>
        <v>64.790691635967406</v>
      </c>
      <c r="AL202" s="22">
        <f t="shared" si="165"/>
        <v>582.61308793264323</v>
      </c>
      <c r="AM202" s="62">
        <f t="shared" si="193"/>
        <v>875.9464212659766</v>
      </c>
      <c r="AN202" s="62">
        <f ca="1">AVERAGE(OFFSET($AM$3,0,0,'Données projet'!$E$10+1,1))-AVERAGE(OFFSET($H$3,0,0,'Données projet'!$E$10+1,1))</f>
        <v>403.82490501309815</v>
      </c>
      <c r="AO202" s="62">
        <f t="shared" si="205"/>
        <v>256.4377087753457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2.7907307747791644E-2</v>
      </c>
      <c r="AW202" s="23">
        <f>EXP(-LN(2)/2)*AW201+(1-EXP(-LN(2)/2))/(LN(2)/2)*AQ202*AT202*VLOOKUP('Données projet'!$B$10,Paramètres!$A$1:$I$89,3,0)*0.475*44/12</f>
        <v>5.1413237141790174E-25</v>
      </c>
      <c r="AX202" s="23">
        <f t="shared" si="166"/>
        <v>2.7907307747791644E-2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266</v>
      </c>
      <c r="BE202" s="14">
        <f>BD202*VLOOKUP('Données projet'!$B$11,Paramètres!$A$1:$I$89,3,0)*VLOOKUP('Données projet'!$B$11,Paramètres!$A$1:$I$89,5,0)</f>
        <v>257.27519999999998</v>
      </c>
      <c r="BF202" s="14">
        <f t="shared" si="167"/>
        <v>62.141205057159596</v>
      </c>
      <c r="BG202" s="22">
        <f t="shared" si="168"/>
        <v>556.31690547455287</v>
      </c>
      <c r="BH202" s="62">
        <f t="shared" si="194"/>
        <v>849.65023880788613</v>
      </c>
      <c r="BI202" s="62">
        <f ca="1">AVERAGE(OFFSET($BH$3,0,0,'Données projet'!$E$11+1,1))-AVERAGE(OFFSET($H$3,0,0,'Données projet'!$E$11+1,1))</f>
        <v>387.04070351732537</v>
      </c>
      <c r="BJ202" s="62">
        <f t="shared" si="206"/>
        <v>246.54010105494137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2.6619278159432005E-2</v>
      </c>
      <c r="BR202" s="23">
        <f>EXP(-LN(2)/2)*BR201+(1-EXP(-LN(2)/2))/(LN(2)/2)*BL202*BO202*VLOOKUP('Données projet'!$B$11,Paramètres!$A$1:$I$89,3,0)*0.475*44/12</f>
        <v>4.90403185044768E-25</v>
      </c>
      <c r="BS202" s="24">
        <f t="shared" si="169"/>
        <v>2.6619278159432005E-2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2.8421709430404007E-14</v>
      </c>
      <c r="BZ202" s="14">
        <f>BY202*VLOOKUP('Données projet'!$B$12,Paramètres!$A$1:$I$89,3,0)*VLOOKUP('Données projet'!$B$12,Paramètres!$A$1:$I$89,5,0)</f>
        <v>2.4829205358400945E-14</v>
      </c>
      <c r="CA202" s="14">
        <f t="shared" si="170"/>
        <v>4.3867331143352915E-13</v>
      </c>
      <c r="CB202" s="22">
        <f t="shared" si="171"/>
        <v>8.0726688341261168E-13</v>
      </c>
      <c r="CC202" s="62">
        <f t="shared" si="195"/>
        <v>293.33333333333411</v>
      </c>
      <c r="CD202" s="62">
        <f ca="1">AVERAGE(OFFSET($CC$3,0,0,'Données projet'!$E$12+1,1))-AVERAGE(OFFSET($H$3,0,0,'Données projet'!$E$12+1,1))</f>
        <v>327.62212115491479</v>
      </c>
      <c r="CE202" s="62">
        <f t="shared" si="207"/>
        <v>348.84706693879735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0.22675835280163736</v>
      </c>
      <c r="CM202" s="23">
        <f>EXP(-LN(2)/2)*CM201+(1-EXP(-LN(2)/2))/(LN(2)/2)*CG202*CJ202*VLOOKUP('Données projet'!$B$12,Paramètres!$A$1:$I$89,3,0)*0.475*44/12</f>
        <v>3.1105293237796685E-24</v>
      </c>
      <c r="CN202" s="24">
        <f t="shared" si="172"/>
        <v>0.22675835280163736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4.1677594708744434E-14</v>
      </c>
      <c r="CV202" s="14">
        <f t="shared" si="173"/>
        <v>6.9326303456159188E-13</v>
      </c>
      <c r="CW202" s="22">
        <f t="shared" si="174"/>
        <v>1.2800215959791691E-12</v>
      </c>
      <c r="CX202" s="62">
        <f t="shared" si="196"/>
        <v>293.33333333333462</v>
      </c>
      <c r="CY202" s="62">
        <f ca="1">AVERAGE(OFFSET($CX$3,0,0,'Données projet'!$E$13+1,1))-AVERAGE(OFFSET($H$3,0,0,'Données projet'!$E$13+1,1))</f>
        <v>277.97613250285963</v>
      </c>
      <c r="CZ202" s="62">
        <f t="shared" si="208"/>
        <v>274.55710362891892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0.28221074276398772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0.28221074276398772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266</v>
      </c>
      <c r="O203" s="14">
        <f>N203*VLOOKUP('Données projet'!$B$9,Paramètres!$A$1:$I$89,3,0)*VLOOKUP('Données projet'!$B$9,Paramètres!$A$1:$I$89,5,0)</f>
        <v>240.67680000000001</v>
      </c>
      <c r="P203" s="14">
        <f t="shared" si="203"/>
        <v>58.585123425001029</v>
      </c>
      <c r="Q203" s="22">
        <f t="shared" si="162"/>
        <v>521.21451663187679</v>
      </c>
      <c r="R203" s="62">
        <f t="shared" si="191"/>
        <v>814.54784996521016</v>
      </c>
      <c r="S203" s="62">
        <f ca="1">AVERAGE(OFFSET($R$3,0,0,'Données projet'!$E$9+1,1))-AVERAGE(OFFSET($H$3,0,0,'Données projet'!$E$9+1,1))</f>
        <v>364.63511534965755</v>
      </c>
      <c r="T203" s="62">
        <f t="shared" si="204"/>
        <v>233.32640143610541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2.4220961462940168E-2</v>
      </c>
      <c r="AB203" s="23">
        <f>EXP(-LN(2)/2)*AB202+(1-EXP(-LN(2)/2))/(LN(2)/2)*V203*Y203*VLOOKUP('Données projet'!$B$9,Paramètres!$A$1:$I$89,3,0)*0.475*44/12</f>
        <v>3.2439532619866003E-25</v>
      </c>
      <c r="AC203" s="24">
        <f t="shared" si="163"/>
        <v>2.4220961462940168E-2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266</v>
      </c>
      <c r="AJ203" s="14">
        <f>AI203*VLOOKUP('Données projet'!$B$10,Paramètres!$A$1:$I$89,3,0)*VLOOKUP('Données projet'!$B$10,Paramètres!$A$1:$I$89,5,0)</f>
        <v>269.72400000000005</v>
      </c>
      <c r="AK203" s="14">
        <f t="shared" si="164"/>
        <v>64.790691635967406</v>
      </c>
      <c r="AL203" s="22">
        <f t="shared" si="165"/>
        <v>582.61308793264323</v>
      </c>
      <c r="AM203" s="62">
        <f t="shared" si="193"/>
        <v>875.9464212659766</v>
      </c>
      <c r="AN203" s="62">
        <f ca="1">AVERAGE(OFFSET($AM$3,0,0,'Données projet'!$E$10+1,1))-AVERAGE(OFFSET($H$3,0,0,'Données projet'!$E$10+1,1))</f>
        <v>403.82490501309815</v>
      </c>
      <c r="AO203" s="62">
        <f t="shared" si="205"/>
        <v>256.4377087753457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2.714418094984675E-2</v>
      </c>
      <c r="AW203" s="23">
        <f>EXP(-LN(2)/2)*AW202+(1-EXP(-LN(2)/2))/(LN(2)/2)*AQ203*AT203*VLOOKUP('Données projet'!$B$10,Paramètres!$A$1:$I$89,3,0)*0.475*44/12</f>
        <v>3.6354648625711903E-25</v>
      </c>
      <c r="AX203" s="23">
        <f t="shared" si="166"/>
        <v>2.714418094984675E-2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266</v>
      </c>
      <c r="BE203" s="14">
        <f>BD203*VLOOKUP('Données projet'!$B$11,Paramètres!$A$1:$I$89,3,0)*VLOOKUP('Données projet'!$B$11,Paramètres!$A$1:$I$89,5,0)</f>
        <v>257.27519999999998</v>
      </c>
      <c r="BF203" s="14">
        <f t="shared" si="167"/>
        <v>62.141205057159596</v>
      </c>
      <c r="BG203" s="22">
        <f t="shared" si="168"/>
        <v>556.31690547455287</v>
      </c>
      <c r="BH203" s="62">
        <f t="shared" si="194"/>
        <v>849.65023880788613</v>
      </c>
      <c r="BI203" s="62">
        <f ca="1">AVERAGE(OFFSET($BH$3,0,0,'Données projet'!$E$11+1,1))-AVERAGE(OFFSET($H$3,0,0,'Données projet'!$E$11+1,1))</f>
        <v>387.04070351732537</v>
      </c>
      <c r="BJ203" s="62">
        <f t="shared" si="206"/>
        <v>246.54010105494137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2.5891372598315338E-2</v>
      </c>
      <c r="BR203" s="23">
        <f>EXP(-LN(2)/2)*BR202+(1-EXP(-LN(2)/2))/(LN(2)/2)*BL203*BO203*VLOOKUP('Données projet'!$B$11,Paramètres!$A$1:$I$89,3,0)*0.475*44/12</f>
        <v>3.4676741766063674E-25</v>
      </c>
      <c r="BS203" s="24">
        <f t="shared" si="169"/>
        <v>2.5891372598315338E-2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2.8421709430404007E-14</v>
      </c>
      <c r="BZ203" s="14">
        <f>BY203*VLOOKUP('Données projet'!$B$12,Paramètres!$A$1:$I$89,3,0)*VLOOKUP('Données projet'!$B$12,Paramètres!$A$1:$I$89,5,0)</f>
        <v>2.4829205358400945E-14</v>
      </c>
      <c r="CA203" s="14">
        <f t="shared" si="170"/>
        <v>4.3867331143352915E-13</v>
      </c>
      <c r="CB203" s="22">
        <f t="shared" si="171"/>
        <v>8.0726688341261168E-13</v>
      </c>
      <c r="CC203" s="62">
        <f t="shared" si="195"/>
        <v>293.33333333333411</v>
      </c>
      <c r="CD203" s="62">
        <f ca="1">AVERAGE(OFFSET($CC$3,0,0,'Données projet'!$E$12+1,1))-AVERAGE(OFFSET($H$3,0,0,'Données projet'!$E$12+1,1))</f>
        <v>327.62212115491479</v>
      </c>
      <c r="CE203" s="62">
        <f t="shared" si="207"/>
        <v>348.84706693879735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0.22055763371957307</v>
      </c>
      <c r="CM203" s="23">
        <f>EXP(-LN(2)/2)*CM202+(1-EXP(-LN(2)/2))/(LN(2)/2)*CG203*CJ203*VLOOKUP('Données projet'!$B$12,Paramètres!$A$1:$I$89,3,0)*0.475*44/12</f>
        <v>2.1994763779242097E-24</v>
      </c>
      <c r="CN203" s="24">
        <f t="shared" si="172"/>
        <v>0.22055763371957307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4.1677594708744434E-14</v>
      </c>
      <c r="CV203" s="14">
        <f t="shared" si="173"/>
        <v>6.9326303456159188E-13</v>
      </c>
      <c r="CW203" s="22">
        <f t="shared" si="174"/>
        <v>1.2800215959791691E-12</v>
      </c>
      <c r="CX203" s="62">
        <f t="shared" si="196"/>
        <v>293.33333333333462</v>
      </c>
      <c r="CY203" s="62">
        <f ca="1">AVERAGE(OFFSET($CX$3,0,0,'Données projet'!$E$13+1,1))-AVERAGE(OFFSET($H$3,0,0,'Données projet'!$E$13+1,1))</f>
        <v>277.97613250285963</v>
      </c>
      <c r="CZ203" s="62">
        <f t="shared" si="208"/>
        <v>274.55710362891892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0.27667676222994242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0.27667676222994242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>
        <f>EXP(LN('Données projet'!B114)/'Données projet'!A114)</f>
        <v>1.2765231539157764</v>
      </c>
      <c r="CQ205" s="88">
        <f>EXP(LN('Données projet'!B140)/'Données projet'!A140)</f>
        <v>1.2721747796233518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2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3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2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4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4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3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2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3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4" sqref="G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6" t="s">
        <v>191</v>
      </c>
      <c r="C2" s="337"/>
      <c r="D2" s="337"/>
      <c r="E2" s="337"/>
      <c r="F2" s="337"/>
      <c r="G2" s="33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5"/>
      <c r="C4" s="335"/>
      <c r="D4" s="335"/>
      <c r="E4" s="335"/>
      <c r="F4" s="335"/>
      <c r="G4" s="33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S18" sqref="S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6" t="s">
        <v>271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1.2825</v>
      </c>
      <c r="C6" s="156">
        <f ca="1">IF(OR('Données projet'!B9="",'Données projet'!C9="",'Données projet'!C9=0%),0,Calculateur!S3)</f>
        <v>364.63511534965755</v>
      </c>
      <c r="D6" s="156">
        <f>IF(OR('Données projet'!B9="",'Données projet'!C9="",'Données projet'!C9=0%),0,Calculateur!T3)</f>
        <v>233.32640143610541</v>
      </c>
      <c r="E6" s="156">
        <f ca="1">MIN(C6,D6)</f>
        <v>233.32640143610541</v>
      </c>
      <c r="F6" s="156">
        <f ca="1">E6*B6</f>
        <v>299.24110984180521</v>
      </c>
      <c r="G6" s="156">
        <f ca="1">F6*(100%-'Données projet'!$C$24)*(100%-'Données projet'!$C$25)*(100%-'Données projet'!$C$26)*(100%-'Données projet'!$C$27)</f>
        <v>269.3169988576247</v>
      </c>
      <c r="H6" s="157">
        <f>IF(OR('Données projet'!B9="",'Données projet'!C9="",'Données projet'!C9=0%),0,AVERAGE(Calculateur!$AC$3:$AC$33)*B6)</f>
        <v>0.63084063053059325</v>
      </c>
      <c r="I6" s="158">
        <f>H6*(100%-'Données projet'!$C$24)*(100%-'Données projet'!$C$25)*(100%-'Données projet'!$C$26)*(100%-'Données projet'!$C$27)</f>
        <v>0.56775656747753389</v>
      </c>
      <c r="J6" s="159">
        <f>IF(OR('Données projet'!B9="",'Données projet'!C9="",'Données projet'!C9=0%),0,SUM(Calculateur!$V$3:$V$33)*VLOOKUP('Données projet'!$B$9,Paramètres!$A$1:$I$89,9,0)*B6)</f>
        <v>9.2981250000000006</v>
      </c>
      <c r="K6" s="160">
        <f>J6*(100%-'Données projet'!$C$24)*(100%-'Données projet'!$C$25)*(100%-'Données projet'!$C$26)*(100%-'Données projet'!$C$27)</f>
        <v>8.3683125</v>
      </c>
      <c r="L6" s="161">
        <f ca="1">G6+I6+K6</f>
        <v>278.25306792510224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0.37335000000000002</v>
      </c>
      <c r="C7" s="156">
        <f ca="1">IF(OR('Données projet'!B10="",'Données projet'!C10="",'Données projet'!C10=0%),0,Calculateur!AN3)</f>
        <v>403.82490501309815</v>
      </c>
      <c r="D7" s="156">
        <f>IF(OR('Données projet'!B10="",'Données projet'!C10="",'Données projet'!C10=0%),0,Calculateur!AO3)</f>
        <v>256.4377087753457</v>
      </c>
      <c r="E7" s="156">
        <f t="shared" ref="E7:E15" ca="1" si="0">MIN(C7,D7)</f>
        <v>256.4377087753457</v>
      </c>
      <c r="F7" s="156">
        <f t="shared" ref="F7:F15" ca="1" si="1">E7*B7</f>
        <v>95.741018571275319</v>
      </c>
      <c r="G7" s="156">
        <f ca="1">F7*(100%-'Données projet'!$C$24)*(100%-'Données projet'!$C$25)*(100%-'Données projet'!$C$26)*(100%-'Données projet'!$C$27)</f>
        <v>86.166916714147789</v>
      </c>
      <c r="H7" s="164">
        <f>IF(OR('Données projet'!B10="",'Données projet'!C10="",'Données projet'!C10=0%),0,AVERAGE(Calculateur!$AX$3:$AX$33)*B7)</f>
        <v>0.20580873444321848</v>
      </c>
      <c r="I7" s="158">
        <f>H7*(100%-'Données projet'!$C$24)*(100%-'Données projet'!$C$25)*(100%-'Données projet'!$C$26)*(100%-'Données projet'!$C$27)</f>
        <v>0.18522786099889663</v>
      </c>
      <c r="J7" s="159">
        <f>IF(OR('Données projet'!B10="",'Données projet'!C10="",'Données projet'!C10=0%),0,SUM(Calculateur!$AQ$3:$AQ$33)*VLOOKUP('Données projet'!$B$10,Paramètres!$A$1:$I$89,9,0)*B7)</f>
        <v>2.7067874999999999</v>
      </c>
      <c r="K7" s="160">
        <f>J7*(100%-'Données projet'!$C$24)*(100%-'Données projet'!$C$25)*(100%-'Données projet'!$C$26)*(100%-'Données projet'!$C$27)</f>
        <v>2.4361087499999998</v>
      </c>
      <c r="L7" s="161">
        <f t="shared" ref="L7:L15" ca="1" si="2">G7+I7+K7</f>
        <v>88.788253325146684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Alisier torminal</v>
      </c>
      <c r="B8" s="163">
        <f>'Données projet'!D11</f>
        <v>0.19950000000000004</v>
      </c>
      <c r="C8" s="156">
        <f ca="1">IF(OR('Données projet'!B11="",'Données projet'!C11="",'Données projet'!C11=0%),0,Calculateur!BI3)</f>
        <v>387.04070351732537</v>
      </c>
      <c r="D8" s="156">
        <f>IF(OR('Données projet'!B11="",'Données projet'!C11="",'Données projet'!C11=0%),0,Calculateur!BJ3)</f>
        <v>246.54010105494137</v>
      </c>
      <c r="E8" s="156">
        <f t="shared" ca="1" si="0"/>
        <v>246.54010105494137</v>
      </c>
      <c r="F8" s="156">
        <f t="shared" ca="1" si="1"/>
        <v>49.184750160460815</v>
      </c>
      <c r="G8" s="156">
        <f ca="1">F8*(100%-'Données projet'!$C$24)*(100%-'Données projet'!$C$25)*(100%-'Données projet'!$C$26)*(100%-'Données projet'!$C$27)</f>
        <v>44.266275144414735</v>
      </c>
      <c r="H8" s="164">
        <f>IF(OR('Données projet'!B11="",'Données projet'!C11="",'Données projet'!C11=0%),0,AVERAGE(Calculateur!$BS$3:$BS$33)*B8)</f>
        <v>0.10489840369742431</v>
      </c>
      <c r="I8" s="158">
        <f>H8*(100%-'Données projet'!$C$24)*(100%-'Données projet'!$C$25)*(100%-'Données projet'!$C$26)*(100%-'Données projet'!$C$27)</f>
        <v>9.4408563327681883E-2</v>
      </c>
      <c r="J8" s="159">
        <f>IF(OR('Données projet'!B11="",'Données projet'!C11="",'Données projet'!C11=0%),0,SUM(Calculateur!$BL$3:$BL$33)*VLOOKUP('Données projet'!$B$11,Paramètres!$A$1:$I$89,9,0)*B8)</f>
        <v>1.4463750000000002</v>
      </c>
      <c r="K8" s="160">
        <f>J8*(100%-'Données projet'!$C$24)*(100%-'Données projet'!$C$25)*(100%-'Données projet'!$C$26)*(100%-'Données projet'!$C$27)</f>
        <v>1.3017375000000002</v>
      </c>
      <c r="L8" s="161">
        <f t="shared" ca="1" si="2"/>
        <v>45.662421207742419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rouge d'Amérique</v>
      </c>
      <c r="B9" s="163">
        <f>'Données projet'!D12</f>
        <v>0.79800000000000015</v>
      </c>
      <c r="C9" s="156">
        <f ca="1">IF(OR('Données projet'!B12="",'Données projet'!C12="",'Données projet'!C12=0%),0,Calculateur!CD3)</f>
        <v>327.62212115491479</v>
      </c>
      <c r="D9" s="156">
        <f>IF(OR('Données projet'!B12="",'Données projet'!C12="",'Données projet'!C12=0%),0,Calculateur!CE3)</f>
        <v>348.84706693879735</v>
      </c>
      <c r="E9" s="156">
        <f t="shared" ca="1" si="0"/>
        <v>327.62212115491479</v>
      </c>
      <c r="F9" s="156">
        <f t="shared" ca="1" si="1"/>
        <v>261.44245268162206</v>
      </c>
      <c r="G9" s="156">
        <f ca="1">F9*(100%-'Données projet'!$C$24)*(100%-'Données projet'!$C$25)*(100%-'Données projet'!$C$26)*(100%-'Données projet'!$C$27)</f>
        <v>235.29820741345986</v>
      </c>
      <c r="H9" s="164">
        <f>IF(OR('Données projet'!B12="",'Données projet'!C12="",'Données projet'!C12=0%),0,AVERAGE(Calculateur!$CN$3:$CN$33)*B9)</f>
        <v>2.8661802976495632</v>
      </c>
      <c r="I9" s="158">
        <f>H9*(100%-'Données projet'!$C$24)*(100%-'Données projet'!$C$25)*(100%-'Données projet'!$C$26)*(100%-'Données projet'!$C$27)</f>
        <v>2.5795622678846071</v>
      </c>
      <c r="J9" s="159">
        <f>IF(OR('Données projet'!B12="",'Données projet'!C12="",'Données projet'!C12=0%),0,SUM(Calculateur!$CG$3:$CG$33)*VLOOKUP('Données projet'!$B$12,Paramètres!$A$1:$I$89,9,0)*B9)</f>
        <v>24.738000000000003</v>
      </c>
      <c r="K9" s="160">
        <f>J9*(100%-'Données projet'!$C$24)*(100%-'Données projet'!$C$25)*(100%-'Données projet'!$C$26)*(100%-'Données projet'!$C$27)</f>
        <v>22.264200000000002</v>
      </c>
      <c r="L9" s="161">
        <f t="shared" ca="1" si="2"/>
        <v>260.14196968134445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Châtaignier</v>
      </c>
      <c r="B10" s="163">
        <f>'Données projet'!D13</f>
        <v>0.19665000000000002</v>
      </c>
      <c r="C10" s="156">
        <f ca="1">IF(OR('Données projet'!B13="",'Données projet'!C13="",'Données projet'!C13=0%),0,Calculateur!CY3)</f>
        <v>277.97613250285963</v>
      </c>
      <c r="D10" s="156">
        <f>IF(OR('Données projet'!B13="",'Données projet'!C13="",'Données projet'!C13=0%),0,Calculateur!CZ3)</f>
        <v>274.55710362891892</v>
      </c>
      <c r="E10" s="156">
        <f t="shared" ca="1" si="0"/>
        <v>274.55710362891892</v>
      </c>
      <c r="F10" s="156">
        <f t="shared" ca="1" si="1"/>
        <v>53.991654428626909</v>
      </c>
      <c r="G10" s="156">
        <f ca="1">F10*(100%-'Données projet'!$C$24)*(100%-'Données projet'!$C$25)*(100%-'Données projet'!$C$26)*(100%-'Données projet'!$C$27)</f>
        <v>48.59248898576422</v>
      </c>
      <c r="H10" s="164">
        <f>IF(OR('Données projet'!B13="",'Données projet'!C13="",'Données projet'!C13=0%),0,AVERAGE(Calculateur!$DI$3:$DI$33)*B10)</f>
        <v>0.14015568782226911</v>
      </c>
      <c r="I10" s="158">
        <f>H10*(100%-'Données projet'!$C$24)*(100%-'Données projet'!$C$25)*(100%-'Données projet'!$C$26)*(100%-'Données projet'!$C$27)</f>
        <v>0.12614011904004221</v>
      </c>
      <c r="J10" s="159">
        <f>IF(OR('Données projet'!B13="",'Données projet'!C13="",'Données projet'!C13=0%),0,SUM(Calculateur!$DB$3:$DB$33)*VLOOKUP('Données projet'!$B$13,Paramètres!$A$1:$I$89,9,0)*B10)</f>
        <v>4.8670875000000002</v>
      </c>
      <c r="K10" s="160">
        <f>J10*(100%-'Données projet'!$C$24)*(100%-'Données projet'!$C$25)*(100%-'Données projet'!$C$26)*(100%-'Données projet'!$C$27)</f>
        <v>4.3803787500000002</v>
      </c>
      <c r="L10" s="161">
        <f t="shared" ca="1" si="2"/>
        <v>53.099007854804263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759.60098568379033</v>
      </c>
      <c r="G16" s="175">
        <f t="shared" ca="1" si="3"/>
        <v>683.64088711541137</v>
      </c>
      <c r="H16" s="176">
        <f t="shared" si="3"/>
        <v>3.947883754143068</v>
      </c>
      <c r="I16" s="176">
        <f t="shared" si="3"/>
        <v>3.5530953787287616</v>
      </c>
      <c r="J16" s="177">
        <f t="shared" si="3"/>
        <v>43.056375000000003</v>
      </c>
      <c r="K16" s="177">
        <f t="shared" si="3"/>
        <v>38.7507375</v>
      </c>
      <c r="L16" s="178">
        <f t="shared" ca="1" si="3"/>
        <v>725.94471999414009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39" t="s">
        <v>246</v>
      </c>
      <c r="G17" s="340"/>
      <c r="H17" s="340"/>
      <c r="I17" s="340"/>
      <c r="J17" s="340"/>
      <c r="K17" s="340"/>
      <c r="L17" s="34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1"/>
      <c r="G18" s="341"/>
      <c r="H18" s="341"/>
      <c r="I18" s="341"/>
      <c r="J18" s="341"/>
      <c r="K18" s="341"/>
      <c r="L18" s="34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Châtaignier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E5" sqref="E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6" t="s">
        <v>272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5" t="s">
        <v>315</v>
      </c>
      <c r="I4" s="345"/>
      <c r="K4" s="342" t="s">
        <v>253</v>
      </c>
      <c r="L4" s="343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3" t="s">
        <v>310</v>
      </c>
      <c r="S7" s="354"/>
      <c r="T7" s="354"/>
      <c r="U7" s="354"/>
      <c r="V7" s="35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1118.7849539609022</v>
      </c>
      <c r="U10" s="190">
        <f>'Données projet'!D9</f>
        <v>1.2825</v>
      </c>
      <c r="V10" s="189">
        <f>U10*T10</f>
        <v>1434.841703454857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1078.8572823595505</v>
      </c>
      <c r="U11" s="190">
        <f>'Données projet'!D10</f>
        <v>0.37335000000000002</v>
      </c>
      <c r="V11" s="189">
        <f t="shared" ref="V11" si="0">U11*T11</f>
        <v>402.79136636893821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417.23998705600968</v>
      </c>
      <c r="U12" s="190">
        <f>'Données projet'!D11</f>
        <v>0.19950000000000004</v>
      </c>
      <c r="V12" s="189">
        <f t="shared" ref="V12:V19" si="1">U12*T12</f>
        <v>83.23937741767395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rouge d'Amérique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1916.5400053978722</v>
      </c>
      <c r="U13" s="190">
        <f>'Données projet'!D12</f>
        <v>0.79800000000000015</v>
      </c>
      <c r="V13" s="189">
        <f t="shared" si="1"/>
        <v>1529.3989243075023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Châtaignier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2314.6666723784797</v>
      </c>
      <c r="U14" s="190">
        <f>'Données projet'!D13</f>
        <v>0.19665000000000002</v>
      </c>
      <c r="V14" s="189">
        <f t="shared" si="1"/>
        <v>455.1792011232281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6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6"/>
      <c r="H16" s="203"/>
      <c r="I16" s="204"/>
      <c r="J16" s="216"/>
      <c r="K16" s="225"/>
      <c r="L16" s="342" t="s">
        <v>254</v>
      </c>
      <c r="M16" s="343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6"/>
      <c r="J17" s="216"/>
      <c r="K17" s="225"/>
      <c r="L17" s="313" t="s">
        <v>289</v>
      </c>
      <c r="M17" s="31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6"/>
      <c r="J18" s="216"/>
      <c r="K18" s="225"/>
      <c r="L18" s="313" t="s">
        <v>255</v>
      </c>
      <c r="M18" s="315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6"/>
      <c r="H19" s="232" t="s">
        <v>178</v>
      </c>
      <c r="I19" s="232" t="s">
        <v>287</v>
      </c>
      <c r="J19" s="260"/>
      <c r="K19" s="183"/>
      <c r="L19" s="342" t="s">
        <v>288</v>
      </c>
      <c r="M19" s="343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6"/>
      <c r="H20" s="203">
        <v>0</v>
      </c>
      <c r="I20" s="204">
        <f>25250/2.85</f>
        <v>8859.6491228070172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12</v>
      </c>
      <c r="D23" s="194">
        <f>B23*C23</f>
        <v>0</v>
      </c>
      <c r="E23" s="206"/>
      <c r="F23" s="261"/>
      <c r="H23" s="203">
        <v>3</v>
      </c>
      <c r="I23" s="204">
        <f>450+280</f>
        <v>730</v>
      </c>
      <c r="K23" s="225"/>
      <c r="L23" s="344" t="s">
        <v>260</v>
      </c>
      <c r="M23" s="344"/>
      <c r="N23" s="344"/>
      <c r="O23" s="25"/>
      <c r="P23" s="25"/>
      <c r="Q23" s="265"/>
      <c r="R23" s="25"/>
      <c r="S23" s="185" t="s">
        <v>264</v>
      </c>
      <c r="T23" s="35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-28314.335227201678</v>
      </c>
      <c r="U23" s="358"/>
      <c r="V23" s="35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8</v>
      </c>
      <c r="C24" s="206">
        <v>15</v>
      </c>
      <c r="D24" s="194">
        <f t="shared" ref="D24:D42" si="2">B24*C24</f>
        <v>120</v>
      </c>
      <c r="E24" s="206"/>
      <c r="F24" s="264"/>
      <c r="H24" s="203">
        <v>4</v>
      </c>
      <c r="I24" s="204">
        <v>450</v>
      </c>
      <c r="K24" s="225"/>
      <c r="O24" s="25"/>
      <c r="P24" s="25"/>
      <c r="Q24" s="265"/>
      <c r="R24" s="25"/>
      <c r="S24" s="185" t="s">
        <v>261</v>
      </c>
      <c r="T24" s="35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59"/>
      <c r="V24" s="35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21</v>
      </c>
      <c r="C25" s="206">
        <v>20</v>
      </c>
      <c r="D25" s="194">
        <f t="shared" si="2"/>
        <v>420</v>
      </c>
      <c r="E25" s="206"/>
      <c r="F25" s="264"/>
      <c r="G25" s="1"/>
      <c r="H25" s="203">
        <v>5</v>
      </c>
      <c r="I25" s="204">
        <v>730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0">
        <f ca="1">T23-T24</f>
        <v>-28314.335227201678</v>
      </c>
      <c r="U25" s="360"/>
      <c r="V25" s="36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21</v>
      </c>
      <c r="C26" s="206">
        <v>20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47" t="s">
        <v>258</v>
      </c>
      <c r="M26" s="348"/>
      <c r="N26" s="348"/>
      <c r="O26" s="348"/>
      <c r="P26" s="349"/>
      <c r="Q26" s="265"/>
      <c r="R26" s="25"/>
      <c r="S26" s="198" t="s">
        <v>265</v>
      </c>
      <c r="T26" s="357" t="str">
        <f ca="1">IF(T25&lt;0,"Votre projet est additionnel","Votre projet n'est pas additionnel")</f>
        <v>Votre projet est additionnel</v>
      </c>
      <c r="U26" s="357"/>
      <c r="V26" s="35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21</v>
      </c>
      <c r="C27" s="206">
        <v>30</v>
      </c>
      <c r="D27" s="194">
        <f t="shared" si="2"/>
        <v>630</v>
      </c>
      <c r="E27" s="206"/>
      <c r="F27" s="264"/>
      <c r="G27" s="259"/>
      <c r="H27" s="203"/>
      <c r="I27" s="204"/>
      <c r="K27" s="225"/>
      <c r="L27" s="350"/>
      <c r="M27" s="351"/>
      <c r="N27" s="351"/>
      <c r="O27" s="351"/>
      <c r="P27" s="352"/>
      <c r="Q27" s="265"/>
      <c r="R27" s="25"/>
      <c r="S27" s="356" t="s">
        <v>267</v>
      </c>
      <c r="T27" s="356"/>
      <c r="U27" s="356"/>
      <c r="V27" s="35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21</v>
      </c>
      <c r="C29" s="206">
        <v>30</v>
      </c>
      <c r="D29" s="194">
        <f t="shared" si="2"/>
        <v>630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21</v>
      </c>
      <c r="C30" s="206">
        <v>40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21</v>
      </c>
      <c r="C31" s="206">
        <v>40</v>
      </c>
      <c r="D31" s="194">
        <f t="shared" si="2"/>
        <v>840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21</v>
      </c>
      <c r="C32" s="206">
        <v>60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21</v>
      </c>
      <c r="C33" s="206">
        <v>80</v>
      </c>
      <c r="D33" s="194">
        <f t="shared" si="2"/>
        <v>1680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21</v>
      </c>
      <c r="C34" s="206">
        <v>80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21</v>
      </c>
      <c r="C36" s="206">
        <v>80</v>
      </c>
      <c r="D36" s="194">
        <f t="shared" si="2"/>
        <v>1680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21</v>
      </c>
      <c r="C37" s="206">
        <v>80</v>
      </c>
      <c r="D37" s="194">
        <f t="shared" si="2"/>
        <v>1680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21</v>
      </c>
      <c r="C38" s="206">
        <v>100</v>
      </c>
      <c r="D38" s="194">
        <f t="shared" si="2"/>
        <v>2100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21</v>
      </c>
      <c r="C39" s="206">
        <v>100</v>
      </c>
      <c r="D39" s="194">
        <f t="shared" si="2"/>
        <v>2100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20</v>
      </c>
      <c r="C40" s="206">
        <v>150</v>
      </c>
      <c r="D40" s="194">
        <f t="shared" si="2"/>
        <v>3000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19</v>
      </c>
      <c r="C41" s="206">
        <v>200</v>
      </c>
      <c r="D41" s="194">
        <f t="shared" si="2"/>
        <v>3800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18</v>
      </c>
      <c r="C42" s="206">
        <v>240</v>
      </c>
      <c r="D42" s="194">
        <f t="shared" si="2"/>
        <v>4320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12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8</v>
      </c>
      <c r="C55" s="204">
        <v>15</v>
      </c>
      <c r="D55" s="191">
        <f t="shared" ref="D55:D73" si="4">B55*C55</f>
        <v>120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21</v>
      </c>
      <c r="C56" s="204">
        <v>20</v>
      </c>
      <c r="D56" s="191">
        <f t="shared" si="4"/>
        <v>420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21</v>
      </c>
      <c r="C57" s="204">
        <v>20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21</v>
      </c>
      <c r="C58" s="204">
        <v>30</v>
      </c>
      <c r="D58" s="191">
        <f t="shared" si="4"/>
        <v>630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21</v>
      </c>
      <c r="C59" s="204">
        <v>30</v>
      </c>
      <c r="D59" s="191">
        <f t="shared" si="4"/>
        <v>630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21</v>
      </c>
      <c r="C60" s="204">
        <v>30</v>
      </c>
      <c r="D60" s="191">
        <f t="shared" si="4"/>
        <v>630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21</v>
      </c>
      <c r="C61" s="204">
        <v>40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21</v>
      </c>
      <c r="C62" s="204">
        <v>40</v>
      </c>
      <c r="D62" s="191">
        <f t="shared" si="4"/>
        <v>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21</v>
      </c>
      <c r="C63" s="204">
        <v>60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21</v>
      </c>
      <c r="C64" s="204">
        <v>80</v>
      </c>
      <c r="D64" s="191">
        <f t="shared" si="4"/>
        <v>1680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21</v>
      </c>
      <c r="C65" s="204">
        <v>80</v>
      </c>
      <c r="D65" s="191">
        <f t="shared" si="4"/>
        <v>1680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21</v>
      </c>
      <c r="C66" s="204">
        <v>80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21</v>
      </c>
      <c r="C67" s="204">
        <v>80</v>
      </c>
      <c r="D67" s="191">
        <f t="shared" si="4"/>
        <v>1680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21</v>
      </c>
      <c r="C68" s="204">
        <v>80</v>
      </c>
      <c r="D68" s="191">
        <f t="shared" si="4"/>
        <v>1680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21</v>
      </c>
      <c r="C69" s="204">
        <v>100</v>
      </c>
      <c r="D69" s="191">
        <f t="shared" si="4"/>
        <v>2100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21</v>
      </c>
      <c r="C70" s="204">
        <v>100</v>
      </c>
      <c r="D70" s="191">
        <f t="shared" si="4"/>
        <v>2100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20</v>
      </c>
      <c r="C71" s="204">
        <v>150</v>
      </c>
      <c r="D71" s="191">
        <f t="shared" si="4"/>
        <v>3000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19</v>
      </c>
      <c r="C72" s="204">
        <v>200</v>
      </c>
      <c r="D72" s="191">
        <f t="shared" si="4"/>
        <v>3800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18</v>
      </c>
      <c r="C73" s="204">
        <v>240</v>
      </c>
      <c r="D73" s="191">
        <f t="shared" si="4"/>
        <v>4320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>
        <v>4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8</v>
      </c>
      <c r="C86" s="204">
        <v>8</v>
      </c>
      <c r="D86" s="191">
        <f t="shared" ref="D86:D104" si="6">B86*C86</f>
        <v>64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21</v>
      </c>
      <c r="C87" s="204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21</v>
      </c>
      <c r="C88" s="204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21</v>
      </c>
      <c r="C89" s="204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21</v>
      </c>
      <c r="C90" s="204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21</v>
      </c>
      <c r="C91" s="204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21</v>
      </c>
      <c r="C92" s="204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21</v>
      </c>
      <c r="C93" s="204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21</v>
      </c>
      <c r="C94" s="204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21</v>
      </c>
      <c r="C95" s="204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21</v>
      </c>
      <c r="C96" s="204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21</v>
      </c>
      <c r="C97" s="204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21</v>
      </c>
      <c r="C98" s="204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21</v>
      </c>
      <c r="C99" s="204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21</v>
      </c>
      <c r="C100" s="204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21</v>
      </c>
      <c r="C101" s="204">
        <v>40</v>
      </c>
      <c r="D101" s="191">
        <f t="shared" si="6"/>
        <v>840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20</v>
      </c>
      <c r="C102" s="204">
        <v>50</v>
      </c>
      <c r="D102" s="191">
        <f t="shared" si="6"/>
        <v>1000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19</v>
      </c>
      <c r="C103" s="204">
        <v>70</v>
      </c>
      <c r="D103" s="191">
        <f t="shared" si="6"/>
        <v>1330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18</v>
      </c>
      <c r="C104" s="204">
        <v>150</v>
      </c>
      <c r="D104" s="191">
        <f t="shared" si="6"/>
        <v>2700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50</v>
      </c>
      <c r="C116" s="204">
        <v>12</v>
      </c>
      <c r="D116" s="191">
        <f>B116*C116</f>
        <v>600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37</v>
      </c>
      <c r="C117" s="204">
        <v>15</v>
      </c>
      <c r="D117" s="191">
        <f t="shared" ref="D117:D135" si="8">B117*C117</f>
        <v>555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37</v>
      </c>
      <c r="C118" s="204">
        <v>20</v>
      </c>
      <c r="D118" s="191">
        <f t="shared" si="8"/>
        <v>740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36</v>
      </c>
      <c r="C119" s="204">
        <v>20</v>
      </c>
      <c r="D119" s="191">
        <f t="shared" si="8"/>
        <v>720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33</v>
      </c>
      <c r="C120" s="204">
        <v>30</v>
      </c>
      <c r="D120" s="191">
        <f t="shared" si="8"/>
        <v>990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31</v>
      </c>
      <c r="C121" s="204">
        <v>30</v>
      </c>
      <c r="D121" s="191">
        <f t="shared" si="8"/>
        <v>930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04">
        <v>30</v>
      </c>
      <c r="D122" s="191">
        <f t="shared" si="8"/>
        <v>840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25</v>
      </c>
      <c r="C123" s="204">
        <v>40</v>
      </c>
      <c r="D123" s="191">
        <f t="shared" si="8"/>
        <v>1000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22</v>
      </c>
      <c r="C124" s="204">
        <v>40</v>
      </c>
      <c r="D124" s="191">
        <f t="shared" si="8"/>
        <v>880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20</v>
      </c>
      <c r="C125" s="204">
        <v>60</v>
      </c>
      <c r="D125" s="191">
        <f t="shared" si="8"/>
        <v>1200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17</v>
      </c>
      <c r="C126" s="204">
        <v>80</v>
      </c>
      <c r="D126" s="191">
        <f t="shared" si="8"/>
        <v>1360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15</v>
      </c>
      <c r="C127" s="204">
        <v>80</v>
      </c>
      <c r="D127" s="191">
        <f t="shared" si="8"/>
        <v>1200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13</v>
      </c>
      <c r="C128" s="204">
        <v>80</v>
      </c>
      <c r="D128" s="191">
        <f t="shared" si="8"/>
        <v>1040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12</v>
      </c>
      <c r="C129" s="204">
        <v>80</v>
      </c>
      <c r="D129" s="191">
        <f t="shared" si="8"/>
        <v>960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236</v>
      </c>
      <c r="C130" s="204">
        <v>80</v>
      </c>
      <c r="D130" s="191">
        <f t="shared" si="8"/>
        <v>18880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Châtaignier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15</v>
      </c>
      <c r="C147" s="204">
        <v>15</v>
      </c>
      <c r="D147" s="194">
        <f>B147*C147</f>
        <v>225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28</v>
      </c>
      <c r="C148" s="204">
        <v>20</v>
      </c>
      <c r="D148" s="194">
        <f t="shared" ref="D148:D166" si="10">B148*C148</f>
        <v>560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28</v>
      </c>
      <c r="C149" s="204">
        <v>20</v>
      </c>
      <c r="D149" s="194">
        <f t="shared" si="10"/>
        <v>560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28</v>
      </c>
      <c r="C150" s="204">
        <v>30</v>
      </c>
      <c r="D150" s="194">
        <f t="shared" si="10"/>
        <v>840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28</v>
      </c>
      <c r="C151" s="204">
        <v>30</v>
      </c>
      <c r="D151" s="194">
        <f t="shared" si="10"/>
        <v>840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28</v>
      </c>
      <c r="C152" s="204">
        <v>30</v>
      </c>
      <c r="D152" s="194">
        <f t="shared" si="10"/>
        <v>840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22</v>
      </c>
      <c r="C153" s="204">
        <v>40</v>
      </c>
      <c r="D153" s="194">
        <f t="shared" si="10"/>
        <v>880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17</v>
      </c>
      <c r="C154" s="204">
        <v>40</v>
      </c>
      <c r="D154" s="194">
        <f t="shared" si="10"/>
        <v>680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13</v>
      </c>
      <c r="C155" s="204">
        <v>60</v>
      </c>
      <c r="D155" s="194">
        <f t="shared" si="10"/>
        <v>780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12</v>
      </c>
      <c r="C156" s="204">
        <v>60</v>
      </c>
      <c r="D156" s="194">
        <f t="shared" si="10"/>
        <v>720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11</v>
      </c>
      <c r="C157" s="204">
        <v>60</v>
      </c>
      <c r="D157" s="194">
        <f t="shared" si="10"/>
        <v>660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10</v>
      </c>
      <c r="C158" s="204">
        <v>80</v>
      </c>
      <c r="D158" s="194">
        <f t="shared" si="10"/>
        <v>800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9</v>
      </c>
      <c r="C159" s="204">
        <v>80</v>
      </c>
      <c r="D159" s="194">
        <f t="shared" si="10"/>
        <v>720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275</v>
      </c>
      <c r="C160" s="204">
        <v>100</v>
      </c>
      <c r="D160" s="194">
        <f t="shared" si="10"/>
        <v>27500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C5" sqref="C5:L6"/>
    </sheetView>
  </sheetViews>
  <sheetFormatPr baseColWidth="10" defaultRowHeight="15" x14ac:dyDescent="0.25"/>
  <cols>
    <col min="1" max="1" width="1.85546875" style="301" customWidth="1"/>
    <col min="2" max="2" width="23" style="301" bestFit="1" customWidth="1"/>
    <col min="3" max="12" width="16.7109375" style="301" customWidth="1"/>
    <col min="13" max="16384" width="11.42578125" style="301"/>
  </cols>
  <sheetData>
    <row r="1" spans="2:13" ht="30.75" customHeight="1" thickBot="1" x14ac:dyDescent="0.3">
      <c r="B1" s="361" t="s">
        <v>324</v>
      </c>
      <c r="C1" s="362"/>
      <c r="D1" s="363"/>
    </row>
    <row r="2" spans="2:13" ht="27.75" customHeight="1" thickBot="1" x14ac:dyDescent="0.3"/>
    <row r="3" spans="2:13" ht="24.95" customHeight="1" x14ac:dyDescent="0.25">
      <c r="B3" s="306" t="s">
        <v>325</v>
      </c>
      <c r="C3" s="291" t="str">
        <f>'Données projet'!B9</f>
        <v>Chêne sessile</v>
      </c>
      <c r="D3" s="291" t="str">
        <f>'Données projet'!B10</f>
        <v>Chêne pubescent</v>
      </c>
      <c r="E3" s="291" t="str">
        <f>'Données projet'!B11</f>
        <v>Alisier torminal</v>
      </c>
      <c r="F3" s="291" t="str">
        <f>'Données projet'!B12</f>
        <v>Chêne rouge d'Amérique</v>
      </c>
      <c r="G3" s="291" t="str">
        <f>'Données projet'!B13</f>
        <v>Châtaignier</v>
      </c>
      <c r="H3" s="291">
        <f>'Données projet'!B14</f>
        <v>0</v>
      </c>
      <c r="I3" s="291">
        <f>'Données projet'!B15</f>
        <v>0</v>
      </c>
      <c r="J3" s="291">
        <f>'Données projet'!B16</f>
        <v>0</v>
      </c>
      <c r="K3" s="291">
        <f>'Données projet'!B17</f>
        <v>0</v>
      </c>
      <c r="L3" s="294">
        <f>'Données projet'!B18</f>
        <v>0</v>
      </c>
      <c r="M3" s="297" t="s">
        <v>328</v>
      </c>
    </row>
    <row r="4" spans="2:13" ht="24.95" customHeight="1" x14ac:dyDescent="0.25">
      <c r="B4" s="307" t="s">
        <v>326</v>
      </c>
      <c r="C4" s="299">
        <f>'Données projet'!$D$9</f>
        <v>1.2825</v>
      </c>
      <c r="D4" s="299">
        <f>'Données projet'!$D$10</f>
        <v>0.37335000000000002</v>
      </c>
      <c r="E4" s="299">
        <f>'Données projet'!$D$11</f>
        <v>0.19950000000000004</v>
      </c>
      <c r="F4" s="299">
        <f>'Données projet'!$D$12</f>
        <v>0.79800000000000015</v>
      </c>
      <c r="G4" s="299">
        <f>'Données projet'!$D$13</f>
        <v>0.19665000000000002</v>
      </c>
      <c r="H4" s="299">
        <f>'Données projet'!$D$14</f>
        <v>0</v>
      </c>
      <c r="I4" s="299">
        <f>'Données projet'!$D$15</f>
        <v>0</v>
      </c>
      <c r="J4" s="299">
        <f>'Données projet'!$D$16</f>
        <v>0</v>
      </c>
      <c r="K4" s="299">
        <f>'Données projet'!$D$17</f>
        <v>0</v>
      </c>
      <c r="L4" s="300">
        <f>'Données projet'!$D$18</f>
        <v>0</v>
      </c>
      <c r="M4" s="303">
        <f>IF(SUM(C4:L4)=0,"",SUM(C4:L4))</f>
        <v>2.85</v>
      </c>
    </row>
    <row r="5" spans="2:13" ht="24.95" customHeight="1" x14ac:dyDescent="0.25">
      <c r="B5" s="307" t="s">
        <v>327</v>
      </c>
      <c r="C5" s="291"/>
      <c r="D5" s="292"/>
      <c r="E5" s="292"/>
      <c r="F5" s="292"/>
      <c r="G5" s="292"/>
      <c r="H5" s="292"/>
      <c r="I5" s="292"/>
      <c r="J5" s="292"/>
      <c r="K5" s="292"/>
      <c r="L5" s="295"/>
      <c r="M5" s="298"/>
    </row>
    <row r="6" spans="2:13" ht="24.95" customHeight="1" x14ac:dyDescent="0.25">
      <c r="B6" s="307" t="s">
        <v>329</v>
      </c>
      <c r="C6" s="287"/>
      <c r="D6" s="287"/>
      <c r="E6" s="287"/>
      <c r="F6" s="287"/>
      <c r="G6" s="287"/>
      <c r="H6" s="287"/>
      <c r="I6" s="287"/>
      <c r="J6" s="287"/>
      <c r="K6" s="287"/>
      <c r="L6" s="296"/>
      <c r="M6" s="304" t="str">
        <f>IF(SUM(C6:L6)=0,"",SUM(C6:L6))</f>
        <v/>
      </c>
    </row>
    <row r="7" spans="2:13" ht="24.95" customHeight="1" x14ac:dyDescent="0.25">
      <c r="B7" s="307" t="s">
        <v>249</v>
      </c>
      <c r="C7" s="287"/>
      <c r="D7" s="287"/>
      <c r="E7" s="287"/>
      <c r="F7" s="287"/>
      <c r="G7" s="287"/>
      <c r="H7" s="287"/>
      <c r="I7" s="287"/>
      <c r="J7" s="287"/>
      <c r="K7" s="287"/>
      <c r="L7" s="296"/>
      <c r="M7" s="305" t="str">
        <f>IF(SUM(C7:L7)=0,"",SUM(C7:L7))</f>
        <v/>
      </c>
    </row>
    <row r="8" spans="2:13" ht="24.95" customHeight="1" x14ac:dyDescent="0.25">
      <c r="B8" s="307" t="s">
        <v>330</v>
      </c>
      <c r="C8" s="293"/>
      <c r="D8" s="293"/>
      <c r="E8" s="293"/>
      <c r="F8" s="293"/>
      <c r="G8" s="293"/>
      <c r="H8" s="293"/>
      <c r="I8" s="287"/>
      <c r="J8" s="287"/>
      <c r="K8" s="287"/>
      <c r="L8" s="296"/>
      <c r="M8" s="305"/>
    </row>
    <row r="9" spans="2:13" ht="24.95" customHeight="1" thickBot="1" x14ac:dyDescent="0.3">
      <c r="B9" s="308" t="s">
        <v>331</v>
      </c>
      <c r="C9" s="309" t="str">
        <f>IF(C7=0,"",IFERROR((C7-C4)*REE!L6/REE!$B$6,""))</f>
        <v/>
      </c>
      <c r="D9" s="309" t="str">
        <f>IF(D7=0,"",IFERROR((D7-D4)*REE!L7/REE!$B$6,""))</f>
        <v/>
      </c>
      <c r="E9" s="309" t="str">
        <f>IF(E7=0,"",IFERROR((E7-E4)*REE!L8/REE!$B$6,""))</f>
        <v/>
      </c>
      <c r="F9" s="309" t="str">
        <f>IF(F7=0,"",IFERROR((F7-F4)*REE!L9/REE!$B$6,""))</f>
        <v/>
      </c>
      <c r="G9" s="309" t="str">
        <f>IF(G7=0,"",IFERROR((G7-G4)*REE!L10/REE!$B$6,""))</f>
        <v/>
      </c>
      <c r="H9" s="309" t="str">
        <f>IF(H7=0,"",IFERROR((H7-H4)*REE!L11/REE!$B$6,""))</f>
        <v/>
      </c>
      <c r="I9" s="309" t="str">
        <f>IF(I7=0,"",IFERROR((I7-I4)*REE!L12/REE!$B$6,""))</f>
        <v/>
      </c>
      <c r="J9" s="309" t="str">
        <f>IF(J7=0,"",IFERROR((J7-J4)*REE!L13/REE!$B$6,""))</f>
        <v/>
      </c>
      <c r="K9" s="309" t="str">
        <f>IF(K7=0,"",IFERROR((K7-K4)*REE!L14/REE!$B$6,""))</f>
        <v/>
      </c>
      <c r="L9" s="309" t="str">
        <f>IF(L7=0,"",IFERROR((L7-L4)*REE!L15/REE!$B$6,""))</f>
        <v/>
      </c>
      <c r="M9" s="310" t="str">
        <f>IF(SUM(C9:L9)=0,"",SUM(C9:L9))</f>
        <v/>
      </c>
    </row>
    <row r="12" spans="2:13" x14ac:dyDescent="0.25">
      <c r="D12" s="302"/>
    </row>
    <row r="13" spans="2:13" x14ac:dyDescent="0.25">
      <c r="D13" s="302"/>
    </row>
    <row r="14" spans="2:13" x14ac:dyDescent="0.25">
      <c r="D14" s="302"/>
    </row>
    <row r="15" spans="2:13" x14ac:dyDescent="0.25">
      <c r="D15" s="302"/>
    </row>
    <row r="16" spans="2:13" x14ac:dyDescent="0.25">
      <c r="D16" s="302"/>
    </row>
    <row r="17" spans="4:4" x14ac:dyDescent="0.25">
      <c r="D17" s="302"/>
    </row>
    <row r="18" spans="4:4" x14ac:dyDescent="0.25">
      <c r="D18" s="302"/>
    </row>
    <row r="19" spans="4:4" x14ac:dyDescent="0.25">
      <c r="D19" s="302"/>
    </row>
    <row r="20" spans="4:4" x14ac:dyDescent="0.25">
      <c r="D20" s="302"/>
    </row>
    <row r="21" spans="4:4" x14ac:dyDescent="0.25">
      <c r="D21" s="302"/>
    </row>
    <row r="22" spans="4:4" x14ac:dyDescent="0.25">
      <c r="D22" s="302"/>
    </row>
    <row r="23" spans="4:4" x14ac:dyDescent="0.25">
      <c r="D23" s="302"/>
    </row>
    <row r="24" spans="4:4" x14ac:dyDescent="0.25">
      <c r="D24" s="302"/>
    </row>
    <row r="25" spans="4:4" x14ac:dyDescent="0.25">
      <c r="D25" s="302"/>
    </row>
    <row r="26" spans="4:4" x14ac:dyDescent="0.25">
      <c r="D26" s="302"/>
    </row>
    <row r="27" spans="4:4" x14ac:dyDescent="0.25">
      <c r="D27" s="302"/>
    </row>
    <row r="28" spans="4:4" x14ac:dyDescent="0.25">
      <c r="D28" s="302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2025-07-07T14:40:37Z</dcterms:modified>
</cp:coreProperties>
</file>