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adre de travail\Les projets\Projet en cours\CNPF C+for n° 197 Lectoure (Pierre Fabre n° 7)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1" i="1" l="1"/>
  <c r="D120" i="1"/>
  <c r="B120" i="1"/>
  <c r="B119" i="1"/>
  <c r="D118" i="1"/>
  <c r="B118" i="1"/>
  <c r="B117" i="1"/>
  <c r="D116" i="1"/>
  <c r="B116" i="1"/>
  <c r="B115" i="1"/>
  <c r="D96" i="1" l="1"/>
  <c r="B96" i="1"/>
  <c r="D95" i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B88" i="1"/>
  <c r="B185" i="1" l="1"/>
  <c r="D185" i="1" s="1"/>
  <c r="B184" i="1"/>
  <c r="D183" i="1"/>
  <c r="B183" i="1"/>
  <c r="B182" i="1"/>
  <c r="D181" i="1"/>
  <c r="B181" i="1"/>
  <c r="B180" i="1"/>
  <c r="D179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B167" i="1"/>
  <c r="B166" i="1"/>
  <c r="B152" i="1" l="1"/>
  <c r="D152" i="1" s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B140" i="1"/>
  <c r="B211" i="1" l="1"/>
  <c r="D211" i="1" s="1"/>
  <c r="D210" i="1"/>
  <c r="B210" i="1"/>
  <c r="D209" i="1"/>
  <c r="B209" i="1"/>
  <c r="D208" i="1"/>
  <c r="B208" i="1"/>
  <c r="D207" i="1"/>
  <c r="B207" i="1"/>
  <c r="B206" i="1"/>
  <c r="D205" i="1"/>
  <c r="B205" i="1"/>
  <c r="B204" i="1"/>
  <c r="D203" i="1"/>
  <c r="B203" i="1"/>
  <c r="B202" i="1"/>
  <c r="D201" i="1"/>
  <c r="B201" i="1"/>
  <c r="B200" i="1"/>
  <c r="D199" i="1"/>
  <c r="B199" i="1"/>
  <c r="B198" i="1"/>
  <c r="D197" i="1"/>
  <c r="B197" i="1"/>
  <c r="B196" i="1"/>
  <c r="D195" i="1"/>
  <c r="B195" i="1"/>
  <c r="B194" i="1"/>
  <c r="B193" i="1"/>
  <c r="B192" i="1"/>
  <c r="D71" i="1" l="1"/>
  <c r="D4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W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EY154" i="2" s="1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W155" i="2"/>
  <c r="EA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C157" i="2"/>
  <c r="EA157" i="2"/>
  <c r="ED157" i="2" s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EW162" i="2"/>
  <c r="EY161" i="2"/>
  <c r="EC162" i="2"/>
  <c r="DI161" i="2"/>
  <c r="FS162" i="2"/>
  <c r="AU162" i="2"/>
  <c r="EX162" i="2"/>
  <c r="EY162" i="2" s="1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FS163" i="2"/>
  <c r="EC163" i="2"/>
  <c r="ED163" i="2" s="1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V164" i="2"/>
  <c r="EX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D165" i="2" s="1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X167" i="2"/>
  <c r="EA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DG168" i="2"/>
  <c r="DI167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W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DF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V185" i="2"/>
  <c r="EB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Y189" i="2" s="1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V192" i="2"/>
  <c r="EB192" i="2"/>
  <c r="EA192" i="2"/>
  <c r="ED192" i="2" s="1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A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EY194" i="2"/>
  <c r="A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B201" i="2"/>
  <c r="EA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56" i="2" l="1" a="1"/>
  <c r="CS56" i="2" s="1"/>
  <c r="CS38" i="2" a="1"/>
  <c r="CS38" i="2" s="1"/>
  <c r="CS116" i="2" a="1"/>
  <c r="CS116" i="2" s="1"/>
  <c r="CS66" i="2" a="1"/>
  <c r="CS66" i="2" s="1"/>
  <c r="CS185" i="2" a="1"/>
  <c r="CS185" i="2" s="1"/>
  <c r="CS161" i="2" a="1"/>
  <c r="CS161" i="2" s="1"/>
  <c r="CS134" i="2" a="1"/>
  <c r="CS134" i="2" s="1"/>
  <c r="CS77" i="2" a="1"/>
  <c r="CS77" i="2" s="1"/>
  <c r="CS72" i="2" a="1"/>
  <c r="CS72" i="2" s="1"/>
  <c r="CS24" i="2" a="1"/>
  <c r="CS24" i="2" s="1"/>
  <c r="CS105" i="2" a="1"/>
  <c r="CS105" i="2" s="1"/>
  <c r="CS120" i="2" a="1"/>
  <c r="CS120" i="2" s="1"/>
  <c r="CS137" i="2" a="1"/>
  <c r="CS137" i="2" s="1"/>
  <c r="CS129" i="2" a="1"/>
  <c r="CS129" i="2" s="1"/>
  <c r="BC65" i="2" a="1"/>
  <c r="BC65" i="2" s="1"/>
  <c r="BC114" i="2" a="1"/>
  <c r="BC114" i="2" s="1"/>
  <c r="BC82" i="2" a="1"/>
  <c r="BC82" i="2" s="1"/>
  <c r="BC68" i="2" a="1"/>
  <c r="BC68" i="2" s="1"/>
  <c r="BC58" i="2" a="1"/>
  <c r="BC58" i="2" s="1"/>
  <c r="AH151" i="2" a="1"/>
  <c r="AH151" i="2" s="1"/>
  <c r="AH62" i="2" a="1"/>
  <c r="AH62" i="2" s="1"/>
  <c r="AH199" i="2" a="1"/>
  <c r="AH199" i="2" s="1"/>
  <c r="AH166" i="2" a="1"/>
  <c r="AH166" i="2" s="1"/>
  <c r="BX107" i="2" a="1"/>
  <c r="BX107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1" i="2" l="1"/>
  <c r="CD31" i="2"/>
  <c r="CD107" i="2"/>
  <c r="CD76" i="2"/>
  <c r="CD112" i="2"/>
  <c r="CD183" i="2"/>
  <c r="CD132" i="2"/>
  <c r="CD145" i="2"/>
  <c r="CD13" i="2"/>
  <c r="CD100" i="2"/>
  <c r="CD161" i="2"/>
  <c r="CD170" i="2"/>
  <c r="CD174" i="2"/>
  <c r="CD77" i="2"/>
  <c r="CD38" i="2"/>
  <c r="CD51" i="2"/>
  <c r="CD111" i="2"/>
  <c r="CD53" i="2"/>
  <c r="CD10" i="2"/>
  <c r="CD26" i="2"/>
  <c r="CD127" i="2"/>
  <c r="CD146" i="2"/>
  <c r="CD113" i="2"/>
  <c r="CD150" i="2"/>
  <c r="CD175" i="2"/>
  <c r="CD89" i="2"/>
  <c r="CD162" i="2"/>
  <c r="CD25" i="2"/>
  <c r="CD118" i="2"/>
  <c r="CD94" i="2"/>
  <c r="CD155" i="2"/>
  <c r="CD35" i="2"/>
  <c r="CD148" i="2"/>
  <c r="CD177" i="2"/>
  <c r="CD128" i="2"/>
  <c r="CD33" i="2"/>
  <c r="CD16" i="2"/>
  <c r="CD188" i="2"/>
  <c r="CD137" i="2"/>
  <c r="CD75" i="2"/>
  <c r="CD163" i="2"/>
  <c r="CD99" i="2"/>
  <c r="CD191" i="2"/>
  <c r="CD187" i="2"/>
  <c r="CD23" i="2"/>
  <c r="CD202" i="2"/>
  <c r="CD108" i="2"/>
  <c r="CD203" i="2"/>
  <c r="CD12" i="2"/>
  <c r="CD64" i="2"/>
  <c r="CD57" i="2"/>
  <c r="CD62" i="2"/>
  <c r="CD71" i="2"/>
  <c r="CD141" i="2"/>
  <c r="CD152" i="2"/>
  <c r="CD93" i="2"/>
  <c r="CD186" i="2"/>
  <c r="CD184" i="2"/>
  <c r="CD83" i="2"/>
  <c r="CD27" i="2"/>
  <c r="CD199" i="2"/>
  <c r="CD168" i="2"/>
  <c r="CD9" i="2"/>
  <c r="CD116" i="2"/>
  <c r="CD153" i="2"/>
  <c r="CD91" i="2"/>
  <c r="CD178" i="2"/>
  <c r="CD131" i="2"/>
  <c r="CD97" i="2"/>
  <c r="CD21" i="2"/>
  <c r="CD185" i="2"/>
  <c r="CD201" i="2"/>
  <c r="CD20" i="2"/>
  <c r="CD55" i="2"/>
  <c r="CD79" i="2"/>
  <c r="CD121" i="2"/>
  <c r="CD133" i="2"/>
  <c r="CD144" i="2"/>
  <c r="CD173" i="2"/>
  <c r="CD80" i="2"/>
  <c r="CD40" i="2"/>
  <c r="CD136" i="2"/>
  <c r="CD130" i="2"/>
  <c r="CD140" i="2"/>
  <c r="CD172" i="2"/>
  <c r="CD92" i="2"/>
  <c r="CD54" i="2"/>
  <c r="CD135" i="2"/>
  <c r="CD59" i="2"/>
  <c r="CD6" i="2"/>
  <c r="CD82" i="2"/>
  <c r="CD198" i="2"/>
  <c r="CD44" i="2"/>
  <c r="CD24" i="2"/>
  <c r="CD194" i="2"/>
  <c r="CD117" i="2"/>
  <c r="CD47" i="2"/>
  <c r="CD125" i="2"/>
  <c r="CD72" i="2"/>
  <c r="CD41" i="2"/>
  <c r="CD149" i="2"/>
  <c r="CD147" i="2"/>
  <c r="CD160" i="2"/>
  <c r="CD171" i="2"/>
  <c r="CD42" i="2"/>
  <c r="CD138" i="2"/>
  <c r="CD32" i="2"/>
  <c r="CD190" i="2"/>
  <c r="CD119" i="2"/>
  <c r="CD5" i="2"/>
  <c r="CD195" i="2"/>
  <c r="CD78" i="2"/>
  <c r="CD98" i="2"/>
  <c r="CD176" i="2"/>
  <c r="CD22" i="2"/>
  <c r="CD81" i="2"/>
  <c r="CD8" i="2"/>
  <c r="CD114" i="2"/>
  <c r="CD60" i="2"/>
  <c r="CD49" i="2"/>
  <c r="CD37" i="2"/>
  <c r="CD73" i="2"/>
  <c r="CD151" i="2"/>
  <c r="CD167" i="2"/>
  <c r="CD102" i="2"/>
  <c r="CD66" i="2"/>
  <c r="CD86" i="2"/>
  <c r="CD156" i="2"/>
  <c r="CD134" i="2"/>
  <c r="CD169" i="2"/>
  <c r="CD192" i="2"/>
  <c r="CD122" i="2"/>
  <c r="CD14" i="2"/>
  <c r="CD52" i="2"/>
  <c r="CD96" i="2"/>
  <c r="CD105" i="2"/>
  <c r="CD67" i="2"/>
  <c r="CD189" i="2"/>
  <c r="CD166" i="2"/>
  <c r="CD36" i="2"/>
  <c r="CD129" i="2"/>
  <c r="CD50" i="2"/>
  <c r="CD70" i="2"/>
  <c r="CD19" i="2"/>
  <c r="CD63" i="2"/>
  <c r="CD157" i="2"/>
  <c r="CD104" i="2"/>
  <c r="CD45" i="2"/>
  <c r="CD164" i="2"/>
  <c r="CD193" i="2"/>
  <c r="CD197" i="2"/>
  <c r="CD87" i="2"/>
  <c r="CD200" i="2"/>
  <c r="CD124" i="2"/>
  <c r="CD84" i="2"/>
  <c r="CD34" i="2"/>
  <c r="CD101" i="2"/>
  <c r="CD142" i="2"/>
  <c r="CD139" i="2"/>
  <c r="CD110" i="2"/>
  <c r="CD159" i="2"/>
  <c r="CD29" i="2"/>
  <c r="CD58" i="2"/>
  <c r="CD7" i="2"/>
  <c r="CD90" i="2"/>
  <c r="CD68" i="2"/>
  <c r="CD85" i="2"/>
  <c r="CD61" i="2"/>
  <c r="CD43" i="2"/>
  <c r="CD18" i="2"/>
  <c r="CD48" i="2"/>
  <c r="CD126" i="2"/>
  <c r="CD182" i="2"/>
  <c r="CD30" i="2"/>
  <c r="CD115" i="2"/>
  <c r="CD3" i="2"/>
  <c r="C9" i="4" s="1"/>
  <c r="E9" i="4" s="1"/>
  <c r="F9" i="4" s="1"/>
  <c r="G9" i="4" s="1"/>
  <c r="L9" i="4" s="1"/>
  <c r="CD65" i="2"/>
  <c r="CD39" i="2"/>
  <c r="CD17" i="2"/>
  <c r="CD179" i="2"/>
  <c r="CD15" i="2"/>
  <c r="CD56" i="2"/>
  <c r="CD181" i="2"/>
  <c r="CD143" i="2"/>
  <c r="CD103" i="2"/>
  <c r="CD154" i="2"/>
  <c r="CD180" i="2"/>
  <c r="CD28" i="2"/>
  <c r="CD88" i="2"/>
  <c r="CD95" i="2"/>
  <c r="CD196" i="2"/>
  <c r="CD69" i="2"/>
  <c r="CD46" i="2"/>
  <c r="CD74" i="2"/>
  <c r="CD4" i="2"/>
  <c r="CD120" i="2"/>
  <c r="CD123" i="2"/>
  <c r="CD158" i="2"/>
  <c r="CD165" i="2"/>
  <c r="CD106" i="2"/>
  <c r="CD109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<sst xmlns="http://schemas.openxmlformats.org/spreadsheetml/2006/main" count="1178" uniqueCount="326">
  <si>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</si>
  <si>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</si>
  <si>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</si>
  <si>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</si>
  <si>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</si>
  <si>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</si>
  <si>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</si>
  <si>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</si>
  <si>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</si>
  <si>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</si>
  <si>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</si>
  <si>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</si>
  <si>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</si>
  <si>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</si>
  <si>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</si>
  <si>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</si>
  <si>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</si>
  <si>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</si>
  <si>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</si>
  <si>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</si>
  <si>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</si>
  <si>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</si>
  <si>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</si>
  <si>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</si>
  <si>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</si>
  <si>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</si>
  <si>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</si>
  <si>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</si>
  <si>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</si>
  <si>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</si>
  <si>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</si>
  <si>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</si>
  <si>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</si>
  <si>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</si>
  <si>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</si>
  <si>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</si>
  <si>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</si>
  <si>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</si>
  <si>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</si>
  <si>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</si>
  <si>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</si>
  <si>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</si>
  <si>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</si>
  <si>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</si>
  <si>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</si>
  <si>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</si>
  <si>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</si>
  <si>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</si>
  <si>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</si>
  <si>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</si>
  <si>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</si>
  <si>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</si>
  <si>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</si>
  <si>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</si>
  <si>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</si>
  <si>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</si>
  <si>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</si>
  <si>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</si>
  <si>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</si>
  <si>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</si>
  <si>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</si>
  <si>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</si>
  <si>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</si>
  <si>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</si>
  <si>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</si>
  <si>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</si>
  <si>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</si>
  <si>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</si>
  <si>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</si>
  <si>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</si>
  <si>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</si>
  <si>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</si>
  <si>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</si>
  <si>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</si>
  <si>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</si>
  <si>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</si>
  <si>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</si>
  <si>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</si>
  <si>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</si>
  <si>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</si>
  <si>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</si>
  <si>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</si>
  <si>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</si>
  <si>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</si>
  <si>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</si>
  <si>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</si>
  <si>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</si>
  <si>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</si>
  <si>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</si>
  <si>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</si>
  <si>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</si>
  <si>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</si>
  <si>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</si>
  <si>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</si>
  <si>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</si>
  <si>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</si>
  <si>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</si>
  <si>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</si>
  <si>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</si>
  <si>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</si>
  <si>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</si>
  <si>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</si>
  <si>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</si>
  <si>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</si>
  <si>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</si>
  <si>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</si>
  <si>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</si>
  <si>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</si>
  <si>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</si>
  <si>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</si>
  <si>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</si>
  <si>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</si>
  <si>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</si>
  <si>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</si>
  <si>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</si>
  <si>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</si>
  <si>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</si>
  <si>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</si>
  <si>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</si>
  <si>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</si>
  <si>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</si>
  <si>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</si>
  <si>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</si>
  <si>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</si>
  <si>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</si>
  <si>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</si>
  <si>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</si>
  <si>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</si>
  <si>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</si>
  <si>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</si>
  <si>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</si>
  <si>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</si>
  <si>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</si>
  <si>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</si>
  <si>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</si>
  <si>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</si>
  <si>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</si>
  <si>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</si>
  <si>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</si>
  <si>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</si>
  <si>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</si>
  <si>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</si>
  <si>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</si>
  <si>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</si>
  <si>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</si>
  <si>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</si>
  <si>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</si>
  <si>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</si>
  <si>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</si>
  <si>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</si>
  <si>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</si>
  <si>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</si>
  <si>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</si>
  <si>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</si>
  <si>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</si>
  <si>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</si>
  <si>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</si>
  <si>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</si>
  <si>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</si>
  <si>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</si>
  <si>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</si>
  <si>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</si>
  <si>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</si>
  <si>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</si>
  <si>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</si>
  <si>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</si>
  <si>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</si>
  <si>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</si>
  <si>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</si>
  <si>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</si>
  <si>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</si>
  <si>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</si>
  <si>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</si>
  <si>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</si>
  <si>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</si>
  <si>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</si>
  <si>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</si>
  <si>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</si>
  <si>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</si>
  <si>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</si>
  <si>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</si>
  <si>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</si>
  <si>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</si>
  <si>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</si>
  <si>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</si>
  <si>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</si>
  <si>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</si>
  <si>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</si>
  <si>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</si>
  <si>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</si>
  <si>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</si>
  <si>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</si>
  <si>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</si>
  <si>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</si>
  <si>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</si>
  <si>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</si>
  <si>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</si>
  <si>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</si>
  <si>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</si>
  <si>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</si>
  <si>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</si>
  <si>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</si>
  <si>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</si>
  <si>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</si>
  <si>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</si>
  <si>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</si>
  <si>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</si>
  <si>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</si>
  <si>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</si>
  <si>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</si>
  <si>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</si>
  <si>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</si>
  <si>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</si>
  <si>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</si>
  <si>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</si>
  <si>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</si>
  <si>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</si>
  <si>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</si>
  <si>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</si>
  <si>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</si>
  <si>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</si>
  <si>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</si>
  <si>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</si>
  <si>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</si>
  <si>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</si>
  <si>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</si>
  <si>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</si>
  <si>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</si>
  <si>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</si>
  <si>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</si>
  <si>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</si>
  <si>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</si>
  <si>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</si>
  <si>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</si>
  <si>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</si>
  <si>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</si>
  <si>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</si>
  <si>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</si>
  <si>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</si>
  <si>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</si>
  <si>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</si>
  <si>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</si>
  <si>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</si>
  <si>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</si>
  <si>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</si>
  <si>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</si>
  <si>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</si>
  <si>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</si>
  <si>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</si>
  <si>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</si>
  <si>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</si>
  <si>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</si>
  <si>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</si>
  <si>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</si>
  <si>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</si>
  <si>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</si>
  <si>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</si>
  <si>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</si>
  <si>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</si>
  <si>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</si>
  <si>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</si>
  <si>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</si>
  <si>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</si>
  <si>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</si>
  <si>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</si>
  <si>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</si>
  <si>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</si>
  <si>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</si>
  <si>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</si>
  <si>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</si>
  <si>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</si>
  <si>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</si>
  <si>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</si>
  <si>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</si>
  <si>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</si>
  <si>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</si>
  <si>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</si>
  <si>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</si>
  <si>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</si>
  <si>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</si>
  <si>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</si>
  <si>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</si>
  <si>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</si>
  <si>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</si>
  <si>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</si>
  <si>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</si>
  <si>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</si>
  <si>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</si>
  <si>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</si>
  <si>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</si>
  <si>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</si>
  <si>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</si>
  <si>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</si>
  <si>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</si>
  <si>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</si>
  <si>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</si>
  <si>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</si>
  <si>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</si>
  <si>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</si>
  <si>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</si>
  <si>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</si>
  <si>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</si>
  <si>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</si>
  <si>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</si>
  <si>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</si>
  <si>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</si>
  <si>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</si>
  <si>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</si>
  <si>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</si>
  <si>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</si>
  <si>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</si>
  <si>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</si>
  <si>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</si>
  <si>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</si>
  <si>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</si>
  <si>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</si>
  <si>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</si>
  <si>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</si>
  <si>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</si>
  <si>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</si>
  <si>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</si>
  <si>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</si>
  <si>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</si>
  <si>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</si>
  <si>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Vesten</t>
  </si>
  <si>
    <t>Tucano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</si>
</sst>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1.2579513235371456</c:v>
                </c:pt>
                <c:pt idx="2">
                  <c:v>1.3704633649012121</c:v>
                </c:pt>
                <c:pt idx="3">
                  <c:v>1.493074184436332</c:v>
                </c:pt>
                <c:pt idx="4">
                  <c:v>1.626693262857142</c:v>
                </c:pt>
                <c:pt idx="5">
                  <c:v>1.772312246115592</c:v>
                </c:pt>
                <c:pt idx="6">
                  <c:v>1.9310123904002021</c:v>
                </c:pt>
                <c:pt idx="7">
                  <c:v>2.1039726835822012</c:v>
                </c:pt>
                <c:pt idx="8">
                  <c:v>2.2924787047263067</c:v>
                </c:pt>
                <c:pt idx="9">
                  <c:v>19.150788849435248</c:v>
                </c:pt>
                <c:pt idx="10">
                  <c:v>39.535479908314166</c:v>
                </c:pt>
                <c:pt idx="11">
                  <c:v>63.616179377202229</c:v>
                </c:pt>
                <c:pt idx="12">
                  <c:v>93.38804834942016</c:v>
                </c:pt>
                <c:pt idx="13">
                  <c:v>124.88183415050723</c:v>
                </c:pt>
                <c:pt idx="14">
                  <c:v>162.03243268985807</c:v>
                </c:pt>
                <c:pt idx="15">
                  <c:v>204.79875398912009</c:v>
                </c:pt>
                <c:pt idx="16">
                  <c:v>249.28793214601401</c:v>
                </c:pt>
                <c:pt idx="17">
                  <c:v>295.51940832091657</c:v>
                </c:pt>
                <c:pt idx="18">
                  <c:v>347.33797488040472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031312"/>
        <c:axId val="1309043280"/>
      </c:scatterChart>
      <c:valAx>
        <c:axId val="1309031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3280"/>
        <c:crosses val="autoZero"/>
        <c:crossBetween val="midCat"/>
      </c:valAx>
      <c:valAx>
        <c:axId val="130904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31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048720"/>
        <c:axId val="1309054704"/>
      </c:scatterChart>
      <c:valAx>
        <c:axId val="1309048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54704"/>
        <c:crosses val="autoZero"/>
        <c:crossBetween val="midCat"/>
      </c:valAx>
      <c:valAx>
        <c:axId val="130905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8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1.7449251390085898</c:v>
                </c:pt>
                <c:pt idx="2">
                  <c:v>2.2809376025435477</c:v>
                </c:pt>
                <c:pt idx="3">
                  <c:v>2.9822833276946241</c:v>
                </c:pt>
                <c:pt idx="4">
                  <c:v>3.9001571600180096</c:v>
                </c:pt>
                <c:pt idx="5">
                  <c:v>5.1016635899209382</c:v>
                </c:pt>
                <c:pt idx="6">
                  <c:v>6.674777505121912</c:v>
                </c:pt>
                <c:pt idx="7">
                  <c:v>8.7348565137458856</c:v>
                </c:pt>
                <c:pt idx="8">
                  <c:v>11.433191489774819</c:v>
                </c:pt>
                <c:pt idx="9">
                  <c:v>14.968235022707001</c:v>
                </c:pt>
                <c:pt idx="10">
                  <c:v>38.747109074845028</c:v>
                </c:pt>
                <c:pt idx="11">
                  <c:v>66.741456814893795</c:v>
                </c:pt>
                <c:pt idx="12">
                  <c:v>96.721618582152942</c:v>
                </c:pt>
                <c:pt idx="13">
                  <c:v>131.02768204978244</c:v>
                </c:pt>
                <c:pt idx="14">
                  <c:v>165.11498091711022</c:v>
                </c:pt>
                <c:pt idx="15">
                  <c:v>199.03536384883367</c:v>
                </c:pt>
                <c:pt idx="16">
                  <c:v>232.82137058696435</c:v>
                </c:pt>
                <c:pt idx="17">
                  <c:v>266.49526739056409</c:v>
                </c:pt>
                <c:pt idx="18">
                  <c:v>297.8374076567593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040560"/>
        <c:axId val="1309044368"/>
      </c:scatterChart>
      <c:valAx>
        <c:axId val="1309040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4368"/>
        <c:crosses val="autoZero"/>
        <c:crossBetween val="midCat"/>
      </c:valAx>
      <c:valAx>
        <c:axId val="130904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0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4.1554022559585615</c:v>
                </c:pt>
                <c:pt idx="2">
                  <c:v>7.4810756129266176</c:v>
                </c:pt>
                <c:pt idx="3">
                  <c:v>13.482250649907614</c:v>
                </c:pt>
                <c:pt idx="4">
                  <c:v>24.32172942966254</c:v>
                </c:pt>
                <c:pt idx="5">
                  <c:v>43.918360080877228</c:v>
                </c:pt>
                <c:pt idx="6">
                  <c:v>61.3063458573669</c:v>
                </c:pt>
                <c:pt idx="7">
                  <c:v>78.564849319849884</c:v>
                </c:pt>
                <c:pt idx="8">
                  <c:v>95.726630779970719</c:v>
                </c:pt>
                <c:pt idx="9">
                  <c:v>112.81157172284345</c:v>
                </c:pt>
                <c:pt idx="10">
                  <c:v>129.83298609190561</c:v>
                </c:pt>
                <c:pt idx="11">
                  <c:v>112.81157172284345</c:v>
                </c:pt>
                <c:pt idx="12">
                  <c:v>129.43778416851515</c:v>
                </c:pt>
                <c:pt idx="13">
                  <c:v>146.01229748017053</c:v>
                </c:pt>
                <c:pt idx="14">
                  <c:v>162.54181354343532</c:v>
                </c:pt>
                <c:pt idx="15">
                  <c:v>179.03155609796647</c:v>
                </c:pt>
                <c:pt idx="16">
                  <c:v>168.43533711884822</c:v>
                </c:pt>
                <c:pt idx="17">
                  <c:v>183.34426585713672</c:v>
                </c:pt>
                <c:pt idx="18">
                  <c:v>198.2248532935146</c:v>
                </c:pt>
                <c:pt idx="19">
                  <c:v>213.07952740360665</c:v>
                </c:pt>
                <c:pt idx="20">
                  <c:v>227.91034965501251</c:v>
                </c:pt>
                <c:pt idx="21">
                  <c:v>220.88807818771133</c:v>
                </c:pt>
                <c:pt idx="22">
                  <c:v>233.36868457739772</c:v>
                </c:pt>
                <c:pt idx="23">
                  <c:v>245.83405537221128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032944"/>
        <c:axId val="1309033488"/>
      </c:scatterChart>
      <c:valAx>
        <c:axId val="1309032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33488"/>
        <c:crosses val="autoZero"/>
        <c:crossBetween val="midCat"/>
      </c:valAx>
      <c:valAx>
        <c:axId val="130903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32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040016"/>
        <c:axId val="1309041104"/>
      </c:scatterChart>
      <c:valAx>
        <c:axId val="1309040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1104"/>
        <c:crosses val="autoZero"/>
        <c:crossBetween val="midCat"/>
      </c:valAx>
      <c:valAx>
        <c:axId val="13090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0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51.452977619505397</c:v>
                </c:pt>
                <c:pt idx="22">
                  <c:v>66.244820001279194</c:v>
                </c:pt>
                <c:pt idx="23">
                  <c:v>80.950986488725476</c:v>
                </c:pt>
                <c:pt idx="24">
                  <c:v>95.589333040289148</c:v>
                </c:pt>
                <c:pt idx="25">
                  <c:v>110.1717474820732</c:v>
                </c:pt>
                <c:pt idx="26">
                  <c:v>124.32474628741488</c:v>
                </c:pt>
                <c:pt idx="27">
                  <c:v>138.43860238853472</c:v>
                </c:pt>
                <c:pt idx="28">
                  <c:v>152.51787303662658</c:v>
                </c:pt>
                <c:pt idx="29">
                  <c:v>166.56620334791356</c:v>
                </c:pt>
                <c:pt idx="30">
                  <c:v>180.58657218998465</c:v>
                </c:pt>
                <c:pt idx="31">
                  <c:v>134.24638938649051</c:v>
                </c:pt>
                <c:pt idx="32">
                  <c:v>146.81397834828738</c:v>
                </c:pt>
                <c:pt idx="33">
                  <c:v>159.35586286360197</c:v>
                </c:pt>
                <c:pt idx="34">
                  <c:v>171.87435267338171</c:v>
                </c:pt>
                <c:pt idx="35">
                  <c:v>184.37139305479852</c:v>
                </c:pt>
                <c:pt idx="36">
                  <c:v>194.95936423701301</c:v>
                </c:pt>
                <c:pt idx="37">
                  <c:v>205.53397529366748</c:v>
                </c:pt>
                <c:pt idx="38">
                  <c:v>216.09601105321735</c:v>
                </c:pt>
                <c:pt idx="39">
                  <c:v>226.64617327952342</c:v>
                </c:pt>
                <c:pt idx="40">
                  <c:v>237.18509300501162</c:v>
                </c:pt>
                <c:pt idx="41">
                  <c:v>193.82559249840713</c:v>
                </c:pt>
                <c:pt idx="42">
                  <c:v>203.26907123098991</c:v>
                </c:pt>
                <c:pt idx="43">
                  <c:v>212.70239804910193</c:v>
                </c:pt>
                <c:pt idx="44">
                  <c:v>222.12608711761615</c:v>
                </c:pt>
                <c:pt idx="45">
                  <c:v>231.54060536306474</c:v>
                </c:pt>
                <c:pt idx="46">
                  <c:v>239.44202608060968</c:v>
                </c:pt>
                <c:pt idx="47">
                  <c:v>247.3375095024121</c:v>
                </c:pt>
                <c:pt idx="48">
                  <c:v>255.22727211134475</c:v>
                </c:pt>
                <c:pt idx="49">
                  <c:v>263.11151589765069</c:v>
                </c:pt>
                <c:pt idx="50">
                  <c:v>270.99042974399339</c:v>
                </c:pt>
                <c:pt idx="51">
                  <c:v>230.41133295181569</c:v>
                </c:pt>
                <c:pt idx="52">
                  <c:v>236.80889001154424</c:v>
                </c:pt>
                <c:pt idx="53">
                  <c:v>243.20250692836794</c:v>
                </c:pt>
                <c:pt idx="54">
                  <c:v>249.59230205465974</c:v>
                </c:pt>
                <c:pt idx="55">
                  <c:v>255.97838717928323</c:v>
                </c:pt>
                <c:pt idx="56">
                  <c:v>261.98552595095452</c:v>
                </c:pt>
                <c:pt idx="57">
                  <c:v>267.98955571724849</c:v>
                </c:pt>
                <c:pt idx="58">
                  <c:v>273.99055606211817</c:v>
                </c:pt>
                <c:pt idx="59">
                  <c:v>279.98860279382745</c:v>
                </c:pt>
                <c:pt idx="60">
                  <c:v>285.98376820295493</c:v>
                </c:pt>
                <c:pt idx="61">
                  <c:v>260.85942671475146</c:v>
                </c:pt>
                <c:pt idx="62">
                  <c:v>265.73840375453756</c:v>
                </c:pt>
                <c:pt idx="63">
                  <c:v>270.61536157536972</c:v>
                </c:pt>
                <c:pt idx="64">
                  <c:v>275.49034176419678</c:v>
                </c:pt>
                <c:pt idx="65">
                  <c:v>280.36338431358672</c:v>
                </c:pt>
                <c:pt idx="66">
                  <c:v>284.48524314677434</c:v>
                </c:pt>
                <c:pt idx="67">
                  <c:v>288.60576477216398</c:v>
                </c:pt>
                <c:pt idx="68">
                  <c:v>292.72497100977245</c:v>
                </c:pt>
                <c:pt idx="69">
                  <c:v>296.84288301434077</c:v>
                </c:pt>
                <c:pt idx="70">
                  <c:v>300.95952130477946</c:v>
                </c:pt>
                <c:pt idx="71">
                  <c:v>280.73815459645272</c:v>
                </c:pt>
                <c:pt idx="72">
                  <c:v>284.85989094555725</c:v>
                </c:pt>
                <c:pt idx="73">
                  <c:v>288.98029209880133</c:v>
                </c:pt>
                <c:pt idx="74">
                  <c:v>293.09937981445779</c:v>
                </c:pt>
                <c:pt idx="75">
                  <c:v>297.21717518827501</c:v>
                </c:pt>
                <c:pt idx="76">
                  <c:v>300.58533356518427</c:v>
                </c:pt>
                <c:pt idx="77">
                  <c:v>303.95265143464201</c:v>
                </c:pt>
                <c:pt idx="78">
                  <c:v>307.3191394396128</c:v>
                </c:pt>
                <c:pt idx="79">
                  <c:v>310.68480797043929</c:v>
                </c:pt>
                <c:pt idx="80">
                  <c:v>314.04966717357314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041648"/>
        <c:axId val="1309028592"/>
      </c:scatterChart>
      <c:valAx>
        <c:axId val="1309041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28592"/>
        <c:crosses val="autoZero"/>
        <c:crossBetween val="midCat"/>
      </c:valAx>
      <c:valAx>
        <c:axId val="130902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1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3.1628863339481534</c:v>
                </c:pt>
                <c:pt idx="2">
                  <c:v>3.6628992871920438</c:v>
                </c:pt>
                <c:pt idx="3">
                  <c:v>4.2422409244936503</c:v>
                </c:pt>
                <c:pt idx="4">
                  <c:v>4.9135393564650593</c:v>
                </c:pt>
                <c:pt idx="5">
                  <c:v>5.6914392471718847</c:v>
                </c:pt>
                <c:pt idx="6">
                  <c:v>6.5929247726706288</c:v>
                </c:pt>
                <c:pt idx="7">
                  <c:v>7.6376944418802752</c:v>
                </c:pt>
                <c:pt idx="8">
                  <c:v>8.8485961287004873</c:v>
                </c:pt>
                <c:pt idx="9">
                  <c:v>10.252132011350932</c:v>
                </c:pt>
                <c:pt idx="10">
                  <c:v>11.879044679757373</c:v>
                </c:pt>
                <c:pt idx="11">
                  <c:v>13.764997489727833</c:v>
                </c:pt>
                <c:pt idx="12">
                  <c:v>15.951364354646456</c:v>
                </c:pt>
                <c:pt idx="13">
                  <c:v>18.486146619119001</c:v>
                </c:pt>
                <c:pt idx="14">
                  <c:v>21.425037509820857</c:v>
                </c:pt>
                <c:pt idx="15">
                  <c:v>24.832657971109484</c:v>
                </c:pt>
                <c:pt idx="16">
                  <c:v>28.783991541603669</c:v>
                </c:pt>
                <c:pt idx="17">
                  <c:v>33.366050399895471</c:v>
                </c:pt>
                <c:pt idx="18">
                  <c:v>38.679809903968007</c:v>
                </c:pt>
                <c:pt idx="19">
                  <c:v>44.842454987298908</c:v>
                </c:pt>
                <c:pt idx="20">
                  <c:v>51.989988791691758</c:v>
                </c:pt>
                <c:pt idx="21">
                  <c:v>59.194676379503932</c:v>
                </c:pt>
                <c:pt idx="22">
                  <c:v>66.376471349621667</c:v>
                </c:pt>
                <c:pt idx="23">
                  <c:v>73.538207482585321</c:v>
                </c:pt>
                <c:pt idx="24">
                  <c:v>80.682119006165934</c:v>
                </c:pt>
                <c:pt idx="25">
                  <c:v>87.810010625275268</c:v>
                </c:pt>
                <c:pt idx="26">
                  <c:v>96.344409983623464</c:v>
                </c:pt>
                <c:pt idx="27">
                  <c:v>104.85998913171427</c:v>
                </c:pt>
                <c:pt idx="28">
                  <c:v>113.3584947279664</c:v>
                </c:pt>
                <c:pt idx="29">
                  <c:v>121.84138944928242</c:v>
                </c:pt>
                <c:pt idx="30">
                  <c:v>130.30991517841125</c:v>
                </c:pt>
                <c:pt idx="31">
                  <c:v>138.76513884586331</c:v>
                </c:pt>
                <c:pt idx="32">
                  <c:v>147.20798647794683</c:v>
                </c:pt>
                <c:pt idx="33">
                  <c:v>155.63926900235728</c:v>
                </c:pt>
                <c:pt idx="34">
                  <c:v>164.05970215478595</c:v>
                </c:pt>
                <c:pt idx="35">
                  <c:v>172.4699220751078</c:v>
                </c:pt>
                <c:pt idx="36">
                  <c:v>142.04989216192445</c:v>
                </c:pt>
                <c:pt idx="37">
                  <c:v>151.42502661477829</c:v>
                </c:pt>
                <c:pt idx="38">
                  <c:v>160.78633625957769</c:v>
                </c:pt>
                <c:pt idx="39">
                  <c:v>170.13474046014426</c:v>
                </c:pt>
                <c:pt idx="40">
                  <c:v>179.47104913917383</c:v>
                </c:pt>
                <c:pt idx="41">
                  <c:v>188.32999436925604</c:v>
                </c:pt>
                <c:pt idx="42">
                  <c:v>197.17922416826374</c:v>
                </c:pt>
                <c:pt idx="43">
                  <c:v>206.01923654428722</c:v>
                </c:pt>
                <c:pt idx="44">
                  <c:v>214.85048322218776</c:v>
                </c:pt>
                <c:pt idx="45">
                  <c:v>223.6733757126764</c:v>
                </c:pt>
                <c:pt idx="46">
                  <c:v>190.65965977632126</c:v>
                </c:pt>
                <c:pt idx="47">
                  <c:v>199.50641766256544</c:v>
                </c:pt>
                <c:pt idx="48">
                  <c:v>208.34408122016089</c:v>
                </c:pt>
                <c:pt idx="49">
                  <c:v>217.17309104815993</c:v>
                </c:pt>
                <c:pt idx="50">
                  <c:v>225.9938489517518</c:v>
                </c:pt>
                <c:pt idx="51">
                  <c:v>235.27034637020085</c:v>
                </c:pt>
                <c:pt idx="52">
                  <c:v>244.53850101874687</c:v>
                </c:pt>
                <c:pt idx="53">
                  <c:v>253.79867396956936</c:v>
                </c:pt>
                <c:pt idx="54">
                  <c:v>263.05119776940052</c:v>
                </c:pt>
                <c:pt idx="55">
                  <c:v>272.29637963914479</c:v>
                </c:pt>
                <c:pt idx="56">
                  <c:v>237.12463272796342</c:v>
                </c:pt>
                <c:pt idx="57">
                  <c:v>245.92802736230567</c:v>
                </c:pt>
                <c:pt idx="58">
                  <c:v>254.72426530340337</c:v>
                </c:pt>
                <c:pt idx="59">
                  <c:v>263.51362878037509</c:v>
                </c:pt>
                <c:pt idx="60">
                  <c:v>272.29637963914473</c:v>
                </c:pt>
                <c:pt idx="61">
                  <c:v>281.07276143896291</c:v>
                </c:pt>
                <c:pt idx="62">
                  <c:v>289.84300127315146</c:v>
                </c:pt>
                <c:pt idx="63">
                  <c:v>298.60731135776933</c:v>
                </c:pt>
                <c:pt idx="64">
                  <c:v>307.36589042386942</c:v>
                </c:pt>
                <c:pt idx="65">
                  <c:v>316.1189249426497</c:v>
                </c:pt>
                <c:pt idx="66">
                  <c:v>278.301946435746</c:v>
                </c:pt>
                <c:pt idx="67">
                  <c:v>286.61256112608555</c:v>
                </c:pt>
                <c:pt idx="68">
                  <c:v>294.91778523157933</c:v>
                </c:pt>
                <c:pt idx="69">
                  <c:v>303.21779210740073</c:v>
                </c:pt>
                <c:pt idx="70">
                  <c:v>311.51274483481546</c:v>
                </c:pt>
                <c:pt idx="71">
                  <c:v>319.34236469301567</c:v>
                </c:pt>
                <c:pt idx="72">
                  <c:v>327.16773590634534</c:v>
                </c:pt>
                <c:pt idx="73">
                  <c:v>334.98897452037232</c:v>
                </c:pt>
                <c:pt idx="74">
                  <c:v>342.80619071488059</c:v>
                </c:pt>
                <c:pt idx="75">
                  <c:v>350.61948923031787</c:v>
                </c:pt>
                <c:pt idx="76">
                  <c:v>312.43410102603713</c:v>
                </c:pt>
                <c:pt idx="77">
                  <c:v>320.26321481869581</c:v>
                </c:pt>
                <c:pt idx="78">
                  <c:v>328.08809393827681</c:v>
                </c:pt>
                <c:pt idx="79">
                  <c:v>335.90885371669873</c:v>
                </c:pt>
                <c:pt idx="80">
                  <c:v>343.72560367250861</c:v>
                </c:pt>
                <c:pt idx="81">
                  <c:v>350.61948923031787</c:v>
                </c:pt>
                <c:pt idx="82">
                  <c:v>357.51040237087665</c:v>
                </c:pt>
                <c:pt idx="83">
                  <c:v>364.39840852244924</c:v>
                </c:pt>
                <c:pt idx="84">
                  <c:v>371.28357043570492</c:v>
                </c:pt>
                <c:pt idx="85">
                  <c:v>378.1659483420201</c:v>
                </c:pt>
                <c:pt idx="86">
                  <c:v>344.18528987135369</c:v>
                </c:pt>
                <c:pt idx="87">
                  <c:v>351.53844793236181</c:v>
                </c:pt>
                <c:pt idx="88">
                  <c:v>358.8882341147721</c:v>
                </c:pt>
                <c:pt idx="89">
                  <c:v>366.23472727218899</c:v>
                </c:pt>
                <c:pt idx="90">
                  <c:v>373.57800283389633</c:v>
                </c:pt>
                <c:pt idx="91">
                  <c:v>380.00078636560312</c:v>
                </c:pt>
                <c:pt idx="92">
                  <c:v>386.42120824586385</c:v>
                </c:pt>
                <c:pt idx="93">
                  <c:v>392.83931328480293</c:v>
                </c:pt>
                <c:pt idx="94">
                  <c:v>399.25514470759913</c:v>
                </c:pt>
                <c:pt idx="95">
                  <c:v>405.66874423568089</c:v>
                </c:pt>
                <c:pt idx="96">
                  <c:v>371.28357043570492</c:v>
                </c:pt>
                <c:pt idx="97">
                  <c:v>378.1659483420201</c:v>
                </c:pt>
                <c:pt idx="98">
                  <c:v>385.04560009964825</c:v>
                </c:pt>
                <c:pt idx="99">
                  <c:v>391.92258132889066</c:v>
                </c:pt>
                <c:pt idx="100">
                  <c:v>398.79694553728069</c:v>
                </c:pt>
                <c:pt idx="101">
                  <c:v>405.21070313365345</c:v>
                </c:pt>
                <c:pt idx="102">
                  <c:v>411.62226629649246</c:v>
                </c:pt>
                <c:pt idx="103">
                  <c:v>418.03167405681643</c:v>
                </c:pt>
                <c:pt idx="104">
                  <c:v>424.43896415017315</c:v>
                </c:pt>
                <c:pt idx="105">
                  <c:v>430.8441730789794</c:v>
                </c:pt>
                <c:pt idx="106">
                  <c:v>396.50577836169577</c:v>
                </c:pt>
                <c:pt idx="107">
                  <c:v>403.37842662539197</c:v>
                </c:pt>
                <c:pt idx="108">
                  <c:v>410.2485426639725</c:v>
                </c:pt>
                <c:pt idx="109">
                  <c:v>417.11617489634546</c:v>
                </c:pt>
                <c:pt idx="110">
                  <c:v>423.98137001578169</c:v>
                </c:pt>
                <c:pt idx="111">
                  <c:v>430.8441730789794</c:v>
                </c:pt>
                <c:pt idx="112">
                  <c:v>437.70462758915534</c:v>
                </c:pt>
                <c:pt idx="113">
                  <c:v>444.5627755736532</c:v>
                </c:pt>
                <c:pt idx="114">
                  <c:v>451.41865765651147</c:v>
                </c:pt>
                <c:pt idx="115">
                  <c:v>458.27231312639066</c:v>
                </c:pt>
                <c:pt idx="116">
                  <c:v>465.12378000022363</c:v>
                </c:pt>
                <c:pt idx="117">
                  <c:v>471.97309508291988</c:v>
                </c:pt>
                <c:pt idx="118">
                  <c:v>478.82029402342158</c:v>
                </c:pt>
                <c:pt idx="119">
                  <c:v>485.66541136738397</c:v>
                </c:pt>
                <c:pt idx="120">
                  <c:v>492.50848060673189</c:v>
                </c:pt>
                <c:pt idx="121">
                  <c:v>1.8017017738191463E-12</c:v>
                </c:pt>
                <c:pt idx="122">
                  <c:v>1.8017017738191463E-12</c:v>
                </c:pt>
                <c:pt idx="123">
                  <c:v>1.8017017738191463E-12</c:v>
                </c:pt>
                <c:pt idx="124">
                  <c:v>1.8017017738191463E-12</c:v>
                </c:pt>
                <c:pt idx="125">
                  <c:v>1.8017017738191463E-12</c:v>
                </c:pt>
                <c:pt idx="126">
                  <c:v>1.8017017738191463E-12</c:v>
                </c:pt>
                <c:pt idx="127">
                  <c:v>1.8017017738191463E-12</c:v>
                </c:pt>
                <c:pt idx="128">
                  <c:v>1.8017017738191463E-12</c:v>
                </c:pt>
                <c:pt idx="129">
                  <c:v>1.8017017738191463E-12</c:v>
                </c:pt>
                <c:pt idx="130">
                  <c:v>1.8017017738191463E-12</c:v>
                </c:pt>
                <c:pt idx="131">
                  <c:v>1.8017017738191463E-12</c:v>
                </c:pt>
                <c:pt idx="132">
                  <c:v>1.8017017738191463E-12</c:v>
                </c:pt>
                <c:pt idx="133">
                  <c:v>1.8017017738191463E-12</c:v>
                </c:pt>
                <c:pt idx="134">
                  <c:v>1.8017017738191463E-12</c:v>
                </c:pt>
                <c:pt idx="135">
                  <c:v>1.8017017738191463E-12</c:v>
                </c:pt>
                <c:pt idx="136">
                  <c:v>1.8017017738191463E-12</c:v>
                </c:pt>
                <c:pt idx="137">
                  <c:v>1.8017017738191463E-12</c:v>
                </c:pt>
                <c:pt idx="138">
                  <c:v>1.8017017738191463E-12</c:v>
                </c:pt>
                <c:pt idx="139">
                  <c:v>1.8017017738191463E-12</c:v>
                </c:pt>
                <c:pt idx="140">
                  <c:v>1.8017017738191463E-12</c:v>
                </c:pt>
                <c:pt idx="141">
                  <c:v>1.8017017738191463E-12</c:v>
                </c:pt>
                <c:pt idx="142">
                  <c:v>1.8017017738191463E-12</c:v>
                </c:pt>
                <c:pt idx="143">
                  <c:v>1.8017017738191463E-12</c:v>
                </c:pt>
                <c:pt idx="144">
                  <c:v>1.8017017738191463E-12</c:v>
                </c:pt>
                <c:pt idx="145">
                  <c:v>1.8017017738191463E-12</c:v>
                </c:pt>
                <c:pt idx="146">
                  <c:v>1.8017017738191463E-12</c:v>
                </c:pt>
                <c:pt idx="147">
                  <c:v>1.8017017738191463E-12</c:v>
                </c:pt>
                <c:pt idx="148">
                  <c:v>1.8017017738191463E-12</c:v>
                </c:pt>
                <c:pt idx="149">
                  <c:v>1.8017017738191463E-12</c:v>
                </c:pt>
                <c:pt idx="150">
                  <c:v>1.8017017738191463E-12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045456"/>
        <c:axId val="1309029136"/>
      </c:scatterChart>
      <c:valAx>
        <c:axId val="1309045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29136"/>
        <c:crosses val="autoZero"/>
        <c:crossBetween val="midCat"/>
      </c:valAx>
      <c:valAx>
        <c:axId val="130902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5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85.095907314816401</c:v>
                </c:pt>
                <c:pt idx="17">
                  <c:v>98.377811836935564</c:v>
                </c:pt>
                <c:pt idx="18">
                  <c:v>111.61512570313762</c:v>
                </c:pt>
                <c:pt idx="19">
                  <c:v>124.81389250757191</c:v>
                </c:pt>
                <c:pt idx="20">
                  <c:v>137.97876857105169</c:v>
                </c:pt>
                <c:pt idx="21">
                  <c:v>152.8626230482474</c:v>
                </c:pt>
                <c:pt idx="22">
                  <c:v>167.71198305973977</c:v>
                </c:pt>
                <c:pt idx="23">
                  <c:v>182.53033488053475</c:v>
                </c:pt>
                <c:pt idx="24">
                  <c:v>197.32055161106871</c:v>
                </c:pt>
                <c:pt idx="25">
                  <c:v>212.08503993201154</c:v>
                </c:pt>
                <c:pt idx="26">
                  <c:v>227.40345702308142</c:v>
                </c:pt>
                <c:pt idx="27">
                  <c:v>242.69825965817117</c:v>
                </c:pt>
                <c:pt idx="28">
                  <c:v>257.97114577920252</c:v>
                </c:pt>
                <c:pt idx="29">
                  <c:v>273.22359576358815</c:v>
                </c:pt>
                <c:pt idx="30">
                  <c:v>288.45691115019287</c:v>
                </c:pt>
                <c:pt idx="31">
                  <c:v>240.39105366248293</c:v>
                </c:pt>
                <c:pt idx="32">
                  <c:v>255.66714821510956</c:v>
                </c:pt>
                <c:pt idx="33">
                  <c:v>270.92259547869656</c:v>
                </c:pt>
                <c:pt idx="34">
                  <c:v>286.15872187513997</c:v>
                </c:pt>
                <c:pt idx="35">
                  <c:v>301.37670100579004</c:v>
                </c:pt>
                <c:pt idx="36">
                  <c:v>316.00425931230865</c:v>
                </c:pt>
                <c:pt idx="37">
                  <c:v>330.61681894119141</c:v>
                </c:pt>
                <c:pt idx="38">
                  <c:v>345.21513616565261</c:v>
                </c:pt>
                <c:pt idx="39">
                  <c:v>359.79989807187752</c:v>
                </c:pt>
                <c:pt idx="40">
                  <c:v>374.3717314954622</c:v>
                </c:pt>
                <c:pt idx="41">
                  <c:v>338.34706882980078</c:v>
                </c:pt>
                <c:pt idx="42">
                  <c:v>352.36618279610326</c:v>
                </c:pt>
                <c:pt idx="43">
                  <c:v>366.37307423131756</c:v>
                </c:pt>
                <c:pt idx="44">
                  <c:v>380.3682762367792</c:v>
                </c:pt>
                <c:pt idx="45">
                  <c:v>394.35227948231795</c:v>
                </c:pt>
                <c:pt idx="46">
                  <c:v>407.75540484100776</c:v>
                </c:pt>
                <c:pt idx="47">
                  <c:v>421.14901471610159</c:v>
                </c:pt>
                <c:pt idx="48">
                  <c:v>434.53345434246239</c:v>
                </c:pt>
                <c:pt idx="49">
                  <c:v>447.90904595354408</c:v>
                </c:pt>
                <c:pt idx="50">
                  <c:v>461.27609096941552</c:v>
                </c:pt>
                <c:pt idx="51">
                  <c:v>419.72460434236359</c:v>
                </c:pt>
                <c:pt idx="52">
                  <c:v>432.25588530441445</c:v>
                </c:pt>
                <c:pt idx="53">
                  <c:v>444.77936519493966</c:v>
                </c:pt>
                <c:pt idx="54">
                  <c:v>457.2952946141495</c:v>
                </c:pt>
                <c:pt idx="55">
                  <c:v>469.80390932615688</c:v>
                </c:pt>
                <c:pt idx="56">
                  <c:v>481.45327595412624</c:v>
                </c:pt>
                <c:pt idx="57">
                  <c:v>493.09665437546749</c:v>
                </c:pt>
                <c:pt idx="58">
                  <c:v>504.73420591215864</c:v>
                </c:pt>
                <c:pt idx="59">
                  <c:v>516.3660838407244</c:v>
                </c:pt>
                <c:pt idx="60">
                  <c:v>527.99243396951181</c:v>
                </c:pt>
                <c:pt idx="61">
                  <c:v>485.14571936914029</c:v>
                </c:pt>
                <c:pt idx="62">
                  <c:v>496.21948974271317</c:v>
                </c:pt>
                <c:pt idx="63">
                  <c:v>507.28802580021755</c:v>
                </c:pt>
                <c:pt idx="64">
                  <c:v>518.35145784639667</c:v>
                </c:pt>
                <c:pt idx="65">
                  <c:v>529.40991017019905</c:v>
                </c:pt>
                <c:pt idx="66">
                  <c:v>540.18013580779473</c:v>
                </c:pt>
                <c:pt idx="67">
                  <c:v>550.94585148491763</c:v>
                </c:pt>
                <c:pt idx="68">
                  <c:v>561.70715774350776</c:v>
                </c:pt>
                <c:pt idx="69">
                  <c:v>572.4641509593182</c:v>
                </c:pt>
                <c:pt idx="70">
                  <c:v>583.21692359125188</c:v>
                </c:pt>
                <c:pt idx="71">
                  <c:v>542.16362979037569</c:v>
                </c:pt>
                <c:pt idx="72">
                  <c:v>552.07882650510749</c:v>
                </c:pt>
                <c:pt idx="73">
                  <c:v>561.99029135597004</c:v>
                </c:pt>
                <c:pt idx="74">
                  <c:v>571.89809943666535</c:v>
                </c:pt>
                <c:pt idx="75">
                  <c:v>581.80232302690615</c:v>
                </c:pt>
                <c:pt idx="76">
                  <c:v>591.42020251323834</c:v>
                </c:pt>
                <c:pt idx="77">
                  <c:v>601.03482666056914</c:v>
                </c:pt>
                <c:pt idx="78">
                  <c:v>610.64625488100796</c:v>
                </c:pt>
                <c:pt idx="79">
                  <c:v>620.25454456407806</c:v>
                </c:pt>
                <c:pt idx="80">
                  <c:v>629.85975117650617</c:v>
                </c:pt>
                <c:pt idx="81">
                  <c:v>589.15746715790237</c:v>
                </c:pt>
                <c:pt idx="82">
                  <c:v>597.92456551950988</c:v>
                </c:pt>
                <c:pt idx="83">
                  <c:v>606.68899129254567</c:v>
                </c:pt>
                <c:pt idx="84">
                  <c:v>615.45078852910217</c:v>
                </c:pt>
                <c:pt idx="85">
                  <c:v>624.20999992474549</c:v>
                </c:pt>
                <c:pt idx="86">
                  <c:v>632.68423305275508</c:v>
                </c:pt>
                <c:pt idx="87">
                  <c:v>641.15611967114364</c:v>
                </c:pt>
                <c:pt idx="88">
                  <c:v>649.62569515483597</c:v>
                </c:pt>
                <c:pt idx="89">
                  <c:v>658.09299388120962</c:v>
                </c:pt>
                <c:pt idx="90">
                  <c:v>666.5580492709729</c:v>
                </c:pt>
                <c:pt idx="91">
                  <c:v>627.59997706387446</c:v>
                </c:pt>
                <c:pt idx="92">
                  <c:v>635.22604379249128</c:v>
                </c:pt>
                <c:pt idx="93">
                  <c:v>642.8502185444828</c:v>
                </c:pt>
                <c:pt idx="94">
                  <c:v>650.47252692274378</c:v>
                </c:pt>
                <c:pt idx="95">
                  <c:v>658.09299388120962</c:v>
                </c:pt>
                <c:pt idx="96">
                  <c:v>665.71164374879129</c:v>
                </c:pt>
                <c:pt idx="97">
                  <c:v>673.32850025215942</c:v>
                </c:pt>
                <c:pt idx="98">
                  <c:v>680.943586537442</c:v>
                </c:pt>
                <c:pt idx="99">
                  <c:v>688.55692519090269</c:v>
                </c:pt>
                <c:pt idx="100">
                  <c:v>696.16853825865599</c:v>
                </c:pt>
                <c:pt idx="101">
                  <c:v>658.09299388120962</c:v>
                </c:pt>
                <c:pt idx="102">
                  <c:v>665.14736110281672</c:v>
                </c:pt>
                <c:pt idx="103">
                  <c:v>672.20018932008873</c:v>
                </c:pt>
                <c:pt idx="104">
                  <c:v>679.25149695725497</c:v>
                </c:pt>
                <c:pt idx="105">
                  <c:v>686.30130202483861</c:v>
                </c:pt>
                <c:pt idx="106">
                  <c:v>693.34962213319204</c:v>
                </c:pt>
                <c:pt idx="107">
                  <c:v>700.39647450545351</c:v>
                </c:pt>
                <c:pt idx="108">
                  <c:v>707.44187598995484</c:v>
                </c:pt>
                <c:pt idx="109">
                  <c:v>714.48584307211024</c:v>
                </c:pt>
                <c:pt idx="110">
                  <c:v>721.52839188581265</c:v>
                </c:pt>
                <c:pt idx="111">
                  <c:v>685.59638862873953</c:v>
                </c:pt>
                <c:pt idx="112">
                  <c:v>691.94007607607489</c:v>
                </c:pt>
                <c:pt idx="113">
                  <c:v>698.28257189646683</c:v>
                </c:pt>
                <c:pt idx="114">
                  <c:v>704.62388843962435</c:v>
                </c:pt>
                <c:pt idx="115">
                  <c:v>710.96403781484867</c:v>
                </c:pt>
                <c:pt idx="116">
                  <c:v>717.30303189786616</c:v>
                </c:pt>
                <c:pt idx="117">
                  <c:v>723.64088233740028</c:v>
                </c:pt>
                <c:pt idx="118">
                  <c:v>729.97760056150412</c:v>
                </c:pt>
                <c:pt idx="119">
                  <c:v>736.31319778366208</c:v>
                </c:pt>
                <c:pt idx="120">
                  <c:v>742.64768500866955</c:v>
                </c:pt>
                <c:pt idx="121">
                  <c:v>708.99167125142458</c:v>
                </c:pt>
                <c:pt idx="122">
                  <c:v>714.76757214919553</c:v>
                </c:pt>
                <c:pt idx="123">
                  <c:v>720.54251983862753</c:v>
                </c:pt>
                <c:pt idx="124">
                  <c:v>726.31652303665248</c:v>
                </c:pt>
                <c:pt idx="125">
                  <c:v>732.08959031030997</c:v>
                </c:pt>
                <c:pt idx="126">
                  <c:v>737.86173008051219</c:v>
                </c:pt>
                <c:pt idx="127">
                  <c:v>743.63295062568523</c:v>
                </c:pt>
                <c:pt idx="128">
                  <c:v>749.40326008529053</c:v>
                </c:pt>
                <c:pt idx="129">
                  <c:v>755.17266646323208</c:v>
                </c:pt>
                <c:pt idx="130">
                  <c:v>760.94117763115719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047632"/>
        <c:axId val="1309048176"/>
      </c:scatterChart>
      <c:valAx>
        <c:axId val="1309047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8176"/>
        <c:crosses val="autoZero"/>
        <c:crossBetween val="midCat"/>
      </c:valAx>
      <c:valAx>
        <c:axId val="130904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7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046000"/>
        <c:axId val="1309054160"/>
      </c:scatterChart>
      <c:valAx>
        <c:axId val="1309046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54160"/>
        <c:crosses val="autoZero"/>
        <c:crossBetween val="midCat"/>
      </c:valAx>
      <c:valAx>
        <c:axId val="130905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6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055792"/>
        <c:axId val="1309046544"/>
      </c:scatterChart>
      <c:valAx>
        <c:axId val="1309055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46544"/>
        <c:crosses val="autoZero"/>
        <c:crossBetween val="midCat"/>
      </c:valAx>
      <c:valAx>
        <c:axId val="130904654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055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00" zoomScale="70" zoomScaleNormal="70" workbookViewId="0">
      <selection activeCell="C7" sqref="C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5.4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111</v>
      </c>
      <c r="C9" s="35">
        <v>0.44400000000000001</v>
      </c>
      <c r="D9" s="36">
        <f t="shared" ref="D9:D18" si="0">C9*$C$5</f>
        <v>2.3976000000000002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127</v>
      </c>
      <c r="C10" s="35">
        <v>0.222</v>
      </c>
      <c r="D10" s="36">
        <f t="shared" si="0"/>
        <v>1.1988000000000001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44</v>
      </c>
      <c r="C11" s="35">
        <v>0.16700000000000001</v>
      </c>
      <c r="D11" s="36">
        <f t="shared" si="0"/>
        <v>0.90180000000000016</v>
      </c>
      <c r="E11" s="37">
        <v>45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12</v>
      </c>
      <c r="C12" s="35">
        <v>0.1</v>
      </c>
      <c r="D12" s="36">
        <f t="shared" si="0"/>
        <v>0.54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21</v>
      </c>
      <c r="C13" s="35">
        <v>3.3000000000000002E-2</v>
      </c>
      <c r="D13" s="36">
        <f t="shared" si="0"/>
        <v>0.17820000000000003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52</v>
      </c>
      <c r="C14" s="35">
        <v>1.7000000000000001E-2</v>
      </c>
      <c r="D14" s="36">
        <f t="shared" si="0"/>
        <v>9.1800000000000007E-2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9</v>
      </c>
      <c r="C15" s="35">
        <v>1.7000000000000001E-2</v>
      </c>
      <c r="D15" s="36">
        <f t="shared" si="0"/>
        <v>9.1800000000000007E-2</v>
      </c>
      <c r="E15" s="37">
        <v>130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5.4000000000000012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I-214</v>
      </c>
      <c r="C32" s="292" t="s">
        <v>324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8</v>
      </c>
      <c r="B36" s="63">
        <v>2.04</v>
      </c>
      <c r="C36" s="63"/>
      <c r="D36" s="63"/>
      <c r="E36" s="54"/>
      <c r="F36" s="54"/>
      <c r="G36" s="54"/>
      <c r="H36" s="54"/>
      <c r="I36" s="52">
        <f>IFERROR(B36/A36,"")</f>
        <v>0.255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9</v>
      </c>
      <c r="B37" s="63">
        <v>18.36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16.32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10</v>
      </c>
      <c r="B38" s="63">
        <v>38.76</v>
      </c>
      <c r="C38" s="63"/>
      <c r="D38" s="63"/>
      <c r="E38" s="54"/>
      <c r="F38" s="54"/>
      <c r="G38" s="54"/>
      <c r="H38" s="54"/>
      <c r="I38" s="56">
        <f t="shared" si="1"/>
        <v>20.399999999999999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11</v>
      </c>
      <c r="B39" s="63">
        <v>63.24</v>
      </c>
      <c r="C39" s="63"/>
      <c r="D39" s="63"/>
      <c r="E39" s="54"/>
      <c r="F39" s="54"/>
      <c r="G39" s="54"/>
      <c r="H39" s="54"/>
      <c r="I39" s="52">
        <f t="shared" si="1"/>
        <v>24.480000000000004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12</v>
      </c>
      <c r="B40" s="63">
        <v>93.84</v>
      </c>
      <c r="C40" s="63"/>
      <c r="D40" s="63"/>
      <c r="E40" s="54"/>
      <c r="F40" s="54"/>
      <c r="G40" s="54"/>
      <c r="H40" s="54"/>
      <c r="I40" s="52">
        <f t="shared" si="1"/>
        <v>30.6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13</v>
      </c>
      <c r="B41" s="63">
        <v>126.48</v>
      </c>
      <c r="C41" s="63"/>
      <c r="D41" s="63"/>
      <c r="E41" s="54"/>
      <c r="F41" s="54"/>
      <c r="G41" s="54"/>
      <c r="H41" s="54"/>
      <c r="I41" s="56">
        <f t="shared" si="1"/>
        <v>32.64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14</v>
      </c>
      <c r="B42" s="63">
        <v>165.24</v>
      </c>
      <c r="C42" s="63"/>
      <c r="D42" s="63"/>
      <c r="E42" s="54"/>
      <c r="F42" s="54"/>
      <c r="G42" s="54"/>
      <c r="H42" s="54"/>
      <c r="I42" s="56">
        <f t="shared" si="1"/>
        <v>38.760000000000005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15</v>
      </c>
      <c r="B43" s="63">
        <v>210.12</v>
      </c>
      <c r="C43" s="63"/>
      <c r="D43" s="63"/>
      <c r="E43" s="54"/>
      <c r="F43" s="54"/>
      <c r="G43" s="54"/>
      <c r="H43" s="54"/>
      <c r="I43" s="52">
        <f t="shared" si="1"/>
        <v>44.879999999999995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16</v>
      </c>
      <c r="B44" s="63">
        <v>257.04000000000002</v>
      </c>
      <c r="C44" s="63"/>
      <c r="D44" s="63"/>
      <c r="E44" s="54"/>
      <c r="F44" s="54"/>
      <c r="G44" s="54"/>
      <c r="H44" s="54"/>
      <c r="I44" s="52">
        <f t="shared" si="1"/>
        <v>46.920000000000016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17</v>
      </c>
      <c r="B45" s="63">
        <v>306</v>
      </c>
      <c r="C45" s="63"/>
      <c r="D45" s="63"/>
      <c r="E45" s="54"/>
      <c r="F45" s="54"/>
      <c r="G45" s="54"/>
      <c r="H45" s="54"/>
      <c r="I45" s="52">
        <f t="shared" si="1"/>
        <v>48.95999999999998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18</v>
      </c>
      <c r="B46" s="63">
        <v>361.08</v>
      </c>
      <c r="C46" s="63">
        <v>1</v>
      </c>
      <c r="D46" s="63">
        <f>B46</f>
        <v>361.08</v>
      </c>
      <c r="E46" s="54">
        <v>0.78</v>
      </c>
      <c r="F46" s="54"/>
      <c r="G46" s="54">
        <v>0.1</v>
      </c>
      <c r="H46" s="54">
        <v>0.12</v>
      </c>
      <c r="I46" s="52">
        <f t="shared" si="1"/>
        <v>55.079999999999984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63"/>
      <c r="C50" s="63"/>
      <c r="D50" s="6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63"/>
      <c r="C51" s="63"/>
      <c r="D51" s="6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63"/>
      <c r="C52" s="63"/>
      <c r="D52" s="6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63"/>
      <c r="C53" s="63"/>
      <c r="D53" s="6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63"/>
      <c r="C54" s="63"/>
      <c r="D54" s="6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I-45/51</v>
      </c>
      <c r="C58" s="25" t="s">
        <v>325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9</v>
      </c>
      <c r="B62" s="63">
        <v>12.24</v>
      </c>
      <c r="C62" s="63"/>
      <c r="D62" s="63"/>
      <c r="E62" s="54"/>
      <c r="F62" s="54"/>
      <c r="G62" s="54"/>
      <c r="H62" s="54"/>
      <c r="I62" s="56">
        <f>IFERROR(B62/A62,"")</f>
        <v>1.36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10</v>
      </c>
      <c r="B63" s="63">
        <v>32.64</v>
      </c>
      <c r="C63" s="63"/>
      <c r="D63" s="63"/>
      <c r="E63" s="54"/>
      <c r="F63" s="54"/>
      <c r="G63" s="54"/>
      <c r="H63" s="54"/>
      <c r="I63" s="52">
        <f>IF(A63&lt;&gt;0,(B63-(B62-D62))/(A63-A62),"")</f>
        <v>20.399999999999999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11</v>
      </c>
      <c r="B64" s="63">
        <v>57.12</v>
      </c>
      <c r="C64" s="63"/>
      <c r="D64" s="63"/>
      <c r="E64" s="54"/>
      <c r="F64" s="54"/>
      <c r="G64" s="54"/>
      <c r="H64" s="54"/>
      <c r="I64" s="52">
        <f>IF(A64&lt;&gt;0,(B64-(B63-D63))/(A64-A63),"")</f>
        <v>24.479999999999997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12</v>
      </c>
      <c r="B65" s="63">
        <v>83.64</v>
      </c>
      <c r="C65" s="63"/>
      <c r="D65" s="63"/>
      <c r="E65" s="54"/>
      <c r="F65" s="54"/>
      <c r="G65" s="54"/>
      <c r="H65" s="54"/>
      <c r="I65" s="52">
        <f>IF(A65&lt;&gt;0,(B65-(B64-D64))/(A65-A64),"")</f>
        <v>26.520000000000003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13</v>
      </c>
      <c r="B66" s="63">
        <v>114.24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30.599999999999994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14</v>
      </c>
      <c r="B67" s="63">
        <v>144.84</v>
      </c>
      <c r="C67" s="63"/>
      <c r="D67" s="63"/>
      <c r="E67" s="54"/>
      <c r="F67" s="54"/>
      <c r="G67" s="54"/>
      <c r="H67" s="54"/>
      <c r="I67" s="52">
        <f t="shared" si="2"/>
        <v>30.600000000000009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15</v>
      </c>
      <c r="B68" s="63">
        <v>175.44</v>
      </c>
      <c r="C68" s="63"/>
      <c r="D68" s="63"/>
      <c r="E68" s="54"/>
      <c r="F68" s="54"/>
      <c r="G68" s="54"/>
      <c r="H68" s="54"/>
      <c r="I68" s="52">
        <f t="shared" si="2"/>
        <v>30.599999999999994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16</v>
      </c>
      <c r="B69" s="63">
        <v>206.04</v>
      </c>
      <c r="C69" s="63"/>
      <c r="D69" s="63"/>
      <c r="E69" s="54"/>
      <c r="F69" s="54"/>
      <c r="G69" s="54"/>
      <c r="H69" s="54"/>
      <c r="I69" s="52">
        <f t="shared" si="2"/>
        <v>30.599999999999994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17</v>
      </c>
      <c r="B70" s="63">
        <v>236.64</v>
      </c>
      <c r="C70" s="63"/>
      <c r="D70" s="63"/>
      <c r="E70" s="54"/>
      <c r="F70" s="54"/>
      <c r="G70" s="54"/>
      <c r="H70" s="54"/>
      <c r="I70" s="52">
        <f t="shared" si="2"/>
        <v>30.599999999999994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18</v>
      </c>
      <c r="B71" s="63">
        <v>265.2</v>
      </c>
      <c r="C71" s="63">
        <v>1</v>
      </c>
      <c r="D71" s="63">
        <f>B71</f>
        <v>265.2</v>
      </c>
      <c r="E71" s="54">
        <v>0.78</v>
      </c>
      <c r="F71" s="54"/>
      <c r="G71" s="54"/>
      <c r="H71" s="54">
        <v>0.22</v>
      </c>
      <c r="I71" s="52">
        <f t="shared" si="2"/>
        <v>28.560000000000002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63"/>
      <c r="C72" s="63"/>
      <c r="D72" s="6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63"/>
      <c r="C73" s="63"/>
      <c r="D73" s="6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63"/>
      <c r="D75" s="6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Robinier faux-acacia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5</v>
      </c>
      <c r="B88" s="63">
        <f>19+2</f>
        <v>21</v>
      </c>
      <c r="C88" s="63"/>
      <c r="D88" s="63"/>
      <c r="E88" s="54"/>
      <c r="F88" s="54"/>
      <c r="G88" s="54"/>
      <c r="H88" s="93"/>
      <c r="I88" s="56">
        <f>IFERROR(B88/A88,"")</f>
        <v>4.2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10</v>
      </c>
      <c r="B89" s="63">
        <f>47+15+2</f>
        <v>64</v>
      </c>
      <c r="C89" s="63">
        <v>1</v>
      </c>
      <c r="D89" s="63">
        <f>15+2</f>
        <v>17</v>
      </c>
      <c r="E89" s="54"/>
      <c r="F89" s="54"/>
      <c r="G89" s="54"/>
      <c r="H89" s="93">
        <v>1</v>
      </c>
      <c r="I89" s="56">
        <f t="shared" ref="I89:I107" si="3">IF(A89&lt;&gt;0,(B89-(B88-D88))/(A89-A88),"")</f>
        <v>8.6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15</v>
      </c>
      <c r="B90" s="63">
        <f>76+13</f>
        <v>89</v>
      </c>
      <c r="C90" s="63">
        <v>2</v>
      </c>
      <c r="D90" s="63">
        <f>13</f>
        <v>13</v>
      </c>
      <c r="E90" s="93"/>
      <c r="F90" s="93"/>
      <c r="G90" s="93"/>
      <c r="H90" s="93">
        <v>1</v>
      </c>
      <c r="I90" s="56">
        <f t="shared" si="3"/>
        <v>8.4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20</v>
      </c>
      <c r="B91" s="63">
        <f>104+10</f>
        <v>114</v>
      </c>
      <c r="C91" s="63">
        <v>3</v>
      </c>
      <c r="D91" s="63">
        <f>10</f>
        <v>10</v>
      </c>
      <c r="E91" s="93"/>
      <c r="F91" s="93"/>
      <c r="G91" s="93"/>
      <c r="H91" s="93">
        <v>1</v>
      </c>
      <c r="I91" s="56">
        <f t="shared" si="3"/>
        <v>7.6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25</v>
      </c>
      <c r="B92" s="63">
        <f>128+8</f>
        <v>136</v>
      </c>
      <c r="C92" s="63">
        <v>4</v>
      </c>
      <c r="D92" s="63">
        <f>8</f>
        <v>8</v>
      </c>
      <c r="E92" s="93"/>
      <c r="F92" s="93"/>
      <c r="G92" s="93"/>
      <c r="H92" s="93">
        <v>1</v>
      </c>
      <c r="I92" s="56">
        <f t="shared" si="3"/>
        <v>6.4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30</v>
      </c>
      <c r="B93" s="63">
        <f>148+6</f>
        <v>154</v>
      </c>
      <c r="C93" s="63">
        <v>5</v>
      </c>
      <c r="D93" s="63">
        <f>6</f>
        <v>6</v>
      </c>
      <c r="E93" s="93"/>
      <c r="F93" s="93"/>
      <c r="G93" s="93"/>
      <c r="H93" s="93">
        <v>1</v>
      </c>
      <c r="I93" s="56">
        <f t="shared" si="3"/>
        <v>5.2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35</v>
      </c>
      <c r="B94" s="63">
        <f>164+5</f>
        <v>169</v>
      </c>
      <c r="C94" s="63">
        <v>6</v>
      </c>
      <c r="D94" s="63">
        <f>5</f>
        <v>5</v>
      </c>
      <c r="E94" s="93"/>
      <c r="F94" s="93"/>
      <c r="G94" s="93"/>
      <c r="H94" s="93"/>
      <c r="I94" s="56">
        <f t="shared" si="3"/>
        <v>4.2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40</v>
      </c>
      <c r="B95" s="63">
        <f>179+4</f>
        <v>183</v>
      </c>
      <c r="C95" s="63">
        <v>7</v>
      </c>
      <c r="D95" s="63">
        <f>4</f>
        <v>4</v>
      </c>
      <c r="E95" s="93"/>
      <c r="F95" s="93"/>
      <c r="G95" s="93"/>
      <c r="H95" s="93"/>
      <c r="I95" s="56">
        <f t="shared" si="3"/>
        <v>3.8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45</v>
      </c>
      <c r="B96" s="63">
        <f>194+4</f>
        <v>198</v>
      </c>
      <c r="C96" s="63">
        <v>8</v>
      </c>
      <c r="D96" s="63">
        <f>198</f>
        <v>198</v>
      </c>
      <c r="E96" s="93"/>
      <c r="F96" s="93"/>
      <c r="G96" s="93"/>
      <c r="H96" s="93"/>
      <c r="I96" s="56">
        <f t="shared" si="3"/>
        <v>3.8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93"/>
      <c r="F100" s="93"/>
      <c r="G100" s="93"/>
      <c r="H100" s="93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pubescent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42</v>
      </c>
      <c r="C114" s="63"/>
      <c r="D114" s="63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f>62+8</f>
        <v>70</v>
      </c>
      <c r="C115" s="63"/>
      <c r="D115" s="63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f>76+8+21</f>
        <v>105</v>
      </c>
      <c r="C116" s="63">
        <v>1</v>
      </c>
      <c r="D116" s="63">
        <f>8+21</f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f>95+21</f>
        <v>116</v>
      </c>
      <c r="C117" s="63"/>
      <c r="D117" s="63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f>116+21+21</f>
        <v>158</v>
      </c>
      <c r="C118" s="63">
        <v>2</v>
      </c>
      <c r="D118" s="63">
        <f>21+21</f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f>137+21</f>
        <v>158</v>
      </c>
      <c r="C119" s="63"/>
      <c r="D119" s="63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3">
        <f>157+21+21</f>
        <v>199</v>
      </c>
      <c r="C120" s="63">
        <v>3</v>
      </c>
      <c r="D120" s="63">
        <f>21+21</f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63">
        <f>176+21</f>
        <v>197</v>
      </c>
      <c r="C121" s="63"/>
      <c r="D121" s="63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Erable champêtre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3">
        <f>18</f>
        <v>18</v>
      </c>
      <c r="C140" s="63"/>
      <c r="D140" s="63"/>
      <c r="E140" s="54"/>
      <c r="F140" s="54"/>
      <c r="G140" s="54"/>
      <c r="H140" s="54"/>
      <c r="I140" s="60">
        <f>IFERROR(B140/A140,"")</f>
        <v>0.9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3">
        <f>53+3</f>
        <v>56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7.6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3">
        <f>76+3+14</f>
        <v>93</v>
      </c>
      <c r="C142" s="63">
        <v>1</v>
      </c>
      <c r="D142" s="63">
        <f>3+14+14</f>
        <v>31</v>
      </c>
      <c r="E142" s="54"/>
      <c r="F142" s="54"/>
      <c r="G142" s="54"/>
      <c r="H142" s="54">
        <v>1</v>
      </c>
      <c r="I142" s="60">
        <f t="shared" si="5"/>
        <v>7.4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3">
        <f>95</f>
        <v>95</v>
      </c>
      <c r="C143" s="63"/>
      <c r="D143" s="63"/>
      <c r="E143" s="54"/>
      <c r="F143" s="54"/>
      <c r="G143" s="54"/>
      <c r="H143" s="54"/>
      <c r="I143" s="60">
        <f t="shared" si="5"/>
        <v>6.6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3">
        <f>109+14</f>
        <v>123</v>
      </c>
      <c r="C144" s="63">
        <v>2</v>
      </c>
      <c r="D144" s="63">
        <f>14+14</f>
        <v>28</v>
      </c>
      <c r="E144" s="54"/>
      <c r="F144" s="54"/>
      <c r="G144" s="54"/>
      <c r="H144" s="54"/>
      <c r="I144" s="60">
        <f t="shared" si="5"/>
        <v>5.6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3">
        <f>120</f>
        <v>120</v>
      </c>
      <c r="C145" s="63"/>
      <c r="D145" s="63"/>
      <c r="E145" s="54"/>
      <c r="F145" s="54"/>
      <c r="G145" s="54"/>
      <c r="H145" s="54"/>
      <c r="I145" s="60">
        <f t="shared" si="5"/>
        <v>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3">
        <f>127+14</f>
        <v>141</v>
      </c>
      <c r="C146" s="63">
        <v>3</v>
      </c>
      <c r="D146" s="63">
        <f>14+11</f>
        <v>25</v>
      </c>
      <c r="E146" s="54"/>
      <c r="F146" s="54"/>
      <c r="G146" s="54"/>
      <c r="H146" s="54"/>
      <c r="I146" s="60">
        <f t="shared" si="5"/>
        <v>4.2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63">
        <f>133</f>
        <v>133</v>
      </c>
      <c r="C147" s="63"/>
      <c r="D147" s="63"/>
      <c r="E147" s="54"/>
      <c r="F147" s="54"/>
      <c r="G147" s="54"/>
      <c r="H147" s="54"/>
      <c r="I147" s="60">
        <f>IF(A147&lt;&gt;0,(B147-(B146-D146))/(A147-A146),"")</f>
        <v>3.4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63">
        <f>140+9</f>
        <v>149</v>
      </c>
      <c r="C148" s="63">
        <v>4</v>
      </c>
      <c r="D148" s="63">
        <f>9+7</f>
        <v>16</v>
      </c>
      <c r="E148" s="54"/>
      <c r="F148" s="54"/>
      <c r="G148" s="54"/>
      <c r="H148" s="54"/>
      <c r="I148" s="60">
        <f t="shared" si="5"/>
        <v>3.2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63">
        <f>146</f>
        <v>146</v>
      </c>
      <c r="C149" s="63"/>
      <c r="D149" s="63"/>
      <c r="E149" s="54"/>
      <c r="F149" s="54"/>
      <c r="G149" s="54"/>
      <c r="H149" s="54"/>
      <c r="I149" s="60">
        <f t="shared" si="5"/>
        <v>2.6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63">
        <f>151+6</f>
        <v>157</v>
      </c>
      <c r="C150" s="63">
        <v>5</v>
      </c>
      <c r="D150" s="63">
        <f>7+6</f>
        <v>13</v>
      </c>
      <c r="E150" s="54"/>
      <c r="F150" s="54"/>
      <c r="G150" s="54"/>
      <c r="H150" s="54"/>
      <c r="I150" s="60">
        <f t="shared" si="5"/>
        <v>2.2000000000000002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63">
        <f>155</f>
        <v>155</v>
      </c>
      <c r="C151" s="63"/>
      <c r="D151" s="63"/>
      <c r="E151" s="54"/>
      <c r="F151" s="54"/>
      <c r="G151" s="54"/>
      <c r="H151" s="54"/>
      <c r="I151" s="60">
        <f t="shared" si="5"/>
        <v>2.2000000000000002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63">
        <f>160+4</f>
        <v>164</v>
      </c>
      <c r="C152" s="63">
        <v>6</v>
      </c>
      <c r="D152" s="63">
        <f>B152</f>
        <v>164</v>
      </c>
      <c r="E152" s="54"/>
      <c r="F152" s="54"/>
      <c r="G152" s="54"/>
      <c r="H152" s="54"/>
      <c r="I152" s="60">
        <f t="shared" si="5"/>
        <v>1.8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4"/>
      <c r="F153" s="54"/>
      <c r="G153" s="54"/>
      <c r="H153" s="54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Cormier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3">
        <f>21+0</f>
        <v>21</v>
      </c>
      <c r="C166" s="63"/>
      <c r="D166" s="63"/>
      <c r="E166" s="54"/>
      <c r="F166" s="54"/>
      <c r="G166" s="54"/>
      <c r="H166" s="54"/>
      <c r="I166" s="52">
        <f>IFERROR(B166/A166,"")</f>
        <v>1.05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3">
        <f>36+0+0</f>
        <v>36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3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3">
        <f>45+0+0+9</f>
        <v>54</v>
      </c>
      <c r="C168" s="63"/>
      <c r="D168" s="63"/>
      <c r="E168" s="54"/>
      <c r="F168" s="54"/>
      <c r="G168" s="54"/>
      <c r="H168" s="54"/>
      <c r="I168" s="52">
        <f t="shared" si="6"/>
        <v>3.6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3">
        <f>55+9+8</f>
        <v>72</v>
      </c>
      <c r="C169" s="63">
        <v>1</v>
      </c>
      <c r="D169" s="63">
        <f>9+8</f>
        <v>17</v>
      </c>
      <c r="E169" s="54"/>
      <c r="F169" s="54"/>
      <c r="G169" s="54"/>
      <c r="H169" s="54"/>
      <c r="I169" s="52">
        <f t="shared" si="6"/>
        <v>3.6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3">
        <f>66+9</f>
        <v>75</v>
      </c>
      <c r="C170" s="63"/>
      <c r="D170" s="63"/>
      <c r="E170" s="54"/>
      <c r="F170" s="54"/>
      <c r="G170" s="54"/>
      <c r="H170" s="54"/>
      <c r="I170" s="52">
        <f t="shared" si="6"/>
        <v>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3">
        <f>76+9+9</f>
        <v>94</v>
      </c>
      <c r="C171" s="63">
        <v>2</v>
      </c>
      <c r="D171" s="63">
        <f>9+9</f>
        <v>18</v>
      </c>
      <c r="E171" s="54"/>
      <c r="F171" s="54"/>
      <c r="G171" s="54"/>
      <c r="H171" s="54"/>
      <c r="I171" s="52">
        <f t="shared" si="6"/>
        <v>3.8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3">
        <f>86+9</f>
        <v>95</v>
      </c>
      <c r="C172" s="63"/>
      <c r="D172" s="63"/>
      <c r="E172" s="54"/>
      <c r="F172" s="54"/>
      <c r="G172" s="54"/>
      <c r="H172" s="54"/>
      <c r="I172" s="52">
        <f t="shared" si="6"/>
        <v>3.8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63">
        <f>96+9+10</f>
        <v>115</v>
      </c>
      <c r="C173" s="63">
        <v>3</v>
      </c>
      <c r="D173" s="63">
        <f>9+10</f>
        <v>19</v>
      </c>
      <c r="E173" s="54"/>
      <c r="F173" s="54"/>
      <c r="G173" s="54"/>
      <c r="H173" s="54"/>
      <c r="I173" s="52">
        <f t="shared" si="6"/>
        <v>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63">
        <f>105+10</f>
        <v>115</v>
      </c>
      <c r="C174" s="63"/>
      <c r="D174" s="63"/>
      <c r="E174" s="54"/>
      <c r="F174" s="54"/>
      <c r="G174" s="54"/>
      <c r="H174" s="54"/>
      <c r="I174" s="52">
        <f t="shared" si="6"/>
        <v>3.8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63">
        <f>114+10+10</f>
        <v>134</v>
      </c>
      <c r="C175" s="63">
        <v>4</v>
      </c>
      <c r="D175" s="63">
        <f>10+10</f>
        <v>20</v>
      </c>
      <c r="E175" s="54"/>
      <c r="F175" s="54"/>
      <c r="G175" s="54"/>
      <c r="H175" s="54"/>
      <c r="I175" s="52">
        <f t="shared" si="6"/>
        <v>3.8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63">
        <f>122+10</f>
        <v>132</v>
      </c>
      <c r="C176" s="63"/>
      <c r="D176" s="63"/>
      <c r="E176" s="54"/>
      <c r="F176" s="54"/>
      <c r="G176" s="54"/>
      <c r="H176" s="54"/>
      <c r="I176" s="52">
        <f t="shared" si="6"/>
        <v>3.6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63">
        <f>129+10+10</f>
        <v>149</v>
      </c>
      <c r="C177" s="63">
        <v>5</v>
      </c>
      <c r="D177" s="63">
        <f>10+10</f>
        <v>20</v>
      </c>
      <c r="E177" s="54"/>
      <c r="F177" s="54"/>
      <c r="G177" s="54"/>
      <c r="H177" s="54"/>
      <c r="I177" s="52">
        <f t="shared" si="6"/>
        <v>3.4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63">
        <f>137+9</f>
        <v>146</v>
      </c>
      <c r="C178" s="63"/>
      <c r="D178" s="63"/>
      <c r="E178" s="54"/>
      <c r="F178" s="54"/>
      <c r="G178" s="54"/>
      <c r="H178" s="54"/>
      <c r="I178" s="52">
        <f t="shared" si="6"/>
        <v>3.4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85</v>
      </c>
      <c r="B179" s="63">
        <f>143+9+9</f>
        <v>161</v>
      </c>
      <c r="C179" s="63">
        <v>6</v>
      </c>
      <c r="D179" s="63">
        <f>9+9</f>
        <v>18</v>
      </c>
      <c r="E179" s="54"/>
      <c r="F179" s="54"/>
      <c r="G179" s="54"/>
      <c r="H179" s="54"/>
      <c r="I179" s="52">
        <f t="shared" si="6"/>
        <v>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90</v>
      </c>
      <c r="B180" s="63">
        <f>150+9</f>
        <v>159</v>
      </c>
      <c r="C180" s="63"/>
      <c r="D180" s="63"/>
      <c r="E180" s="54"/>
      <c r="F180" s="54"/>
      <c r="G180" s="54"/>
      <c r="H180" s="54"/>
      <c r="I180" s="52">
        <f t="shared" si="6"/>
        <v>3.2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95</v>
      </c>
      <c r="B181" s="63">
        <f>155+9+9</f>
        <v>173</v>
      </c>
      <c r="C181" s="63">
        <v>7</v>
      </c>
      <c r="D181" s="63">
        <f>9+9</f>
        <v>18</v>
      </c>
      <c r="E181" s="54"/>
      <c r="F181" s="54"/>
      <c r="G181" s="54"/>
      <c r="H181" s="54"/>
      <c r="I181" s="52">
        <f t="shared" si="6"/>
        <v>2.8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100</v>
      </c>
      <c r="B182" s="63">
        <f>161+9</f>
        <v>170</v>
      </c>
      <c r="C182" s="63"/>
      <c r="D182" s="63"/>
      <c r="E182" s="57"/>
      <c r="F182" s="57"/>
      <c r="G182" s="57"/>
      <c r="H182" s="57"/>
      <c r="I182" s="52">
        <f t="shared" si="6"/>
        <v>3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105</v>
      </c>
      <c r="B183" s="63">
        <f>166+9+9</f>
        <v>184</v>
      </c>
      <c r="C183" s="53">
        <v>8</v>
      </c>
      <c r="D183" s="63">
        <f>9+9</f>
        <v>18</v>
      </c>
      <c r="E183" s="54"/>
      <c r="F183" s="54"/>
      <c r="G183" s="54"/>
      <c r="H183" s="54"/>
      <c r="I183" s="52">
        <f t="shared" si="6"/>
        <v>2.8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110</v>
      </c>
      <c r="B184" s="63">
        <f>171+10</f>
        <v>181</v>
      </c>
      <c r="C184" s="53"/>
      <c r="D184" s="63"/>
      <c r="E184" s="54"/>
      <c r="F184" s="54"/>
      <c r="G184" s="54"/>
      <c r="H184" s="54"/>
      <c r="I184" s="52">
        <f t="shared" si="6"/>
        <v>3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120</v>
      </c>
      <c r="B185" s="63">
        <f>181+10+10+10</f>
        <v>211</v>
      </c>
      <c r="C185" s="53">
        <v>9</v>
      </c>
      <c r="D185" s="63">
        <f>B185</f>
        <v>211</v>
      </c>
      <c r="E185" s="54"/>
      <c r="F185" s="54"/>
      <c r="G185" s="54"/>
      <c r="H185" s="54"/>
      <c r="I185" s="52">
        <f t="shared" si="6"/>
        <v>3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Chêne chevelu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3">
        <f>(47)/1.56</f>
        <v>30.128205128205128</v>
      </c>
      <c r="C192" s="54"/>
      <c r="D192" s="63"/>
      <c r="E192" s="63"/>
      <c r="F192" s="54"/>
      <c r="G192" s="54"/>
      <c r="H192" s="54"/>
      <c r="I192" s="52">
        <f>IFERROR(B192/A192,"")</f>
        <v>2.0085470085470085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3">
        <f>(86+6)/1.56</f>
        <v>58.974358974358971</v>
      </c>
      <c r="C193" s="63"/>
      <c r="D193" s="63"/>
      <c r="E193" s="63"/>
      <c r="F193" s="54"/>
      <c r="G193" s="54"/>
      <c r="H193" s="54"/>
      <c r="I193" s="52">
        <f t="shared" ref="I193:I211" si="7">IF(A193&lt;&gt;0,(B193-(B192-D192))/(A193-A192),"")</f>
        <v>5.7692307692307683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63">
        <f>(127+6+10)/1.56</f>
        <v>91.666666666666657</v>
      </c>
      <c r="C194" s="63"/>
      <c r="D194" s="63"/>
      <c r="E194" s="63"/>
      <c r="F194" s="54"/>
      <c r="G194" s="54"/>
      <c r="H194" s="54"/>
      <c r="I194" s="52">
        <f t="shared" si="7"/>
        <v>6.5384615384615374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63">
        <f>(167+6+10+13)/1.56</f>
        <v>125.64102564102564</v>
      </c>
      <c r="C195" s="63">
        <v>1</v>
      </c>
      <c r="D195" s="63">
        <f>(6+10+13+15)/1.56</f>
        <v>28.205128205128204</v>
      </c>
      <c r="E195" s="63"/>
      <c r="F195" s="54"/>
      <c r="G195" s="54"/>
      <c r="H195" s="54">
        <v>1</v>
      </c>
      <c r="I195" s="52">
        <f t="shared" si="7"/>
        <v>6.7948717948717956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63">
        <f>(205)/1.56</f>
        <v>131.41025641025641</v>
      </c>
      <c r="C196" s="63"/>
      <c r="D196" s="63"/>
      <c r="E196" s="63"/>
      <c r="F196" s="54"/>
      <c r="G196" s="54"/>
      <c r="H196" s="54"/>
      <c r="I196" s="52">
        <f t="shared" si="7"/>
        <v>6.7948717948717956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40</v>
      </c>
      <c r="B197" s="63">
        <f>(239+17)/1.56</f>
        <v>164.10256410256409</v>
      </c>
      <c r="C197" s="63">
        <v>2</v>
      </c>
      <c r="D197" s="63">
        <f>(17+18)/1.56</f>
        <v>22.435897435897434</v>
      </c>
      <c r="E197" s="63"/>
      <c r="F197" s="54"/>
      <c r="G197" s="54"/>
      <c r="H197" s="54"/>
      <c r="I197" s="52">
        <f t="shared" si="7"/>
        <v>6.5384615384615357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45</v>
      </c>
      <c r="B198" s="63">
        <f>(270)/1.56</f>
        <v>173.07692307692307</v>
      </c>
      <c r="C198" s="63"/>
      <c r="D198" s="63"/>
      <c r="E198" s="63"/>
      <c r="F198" s="54"/>
      <c r="G198" s="54"/>
      <c r="H198" s="54"/>
      <c r="I198" s="52">
        <f t="shared" si="7"/>
        <v>6.2820512820512819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283">
        <v>50</v>
      </c>
      <c r="B199" s="63">
        <f>(298+19)/1.56</f>
        <v>203.2051282051282</v>
      </c>
      <c r="C199" s="63">
        <v>3</v>
      </c>
      <c r="D199" s="63">
        <f>(19+19)/1.56</f>
        <v>24.358974358974358</v>
      </c>
      <c r="E199" s="63"/>
      <c r="F199" s="54"/>
      <c r="G199" s="54"/>
      <c r="H199" s="54"/>
      <c r="I199" s="52">
        <f t="shared" si="7"/>
        <v>6.0256410256410273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283">
        <v>55</v>
      </c>
      <c r="B200" s="63">
        <f>(323)/1.56</f>
        <v>207.05128205128204</v>
      </c>
      <c r="C200" s="63"/>
      <c r="D200" s="63"/>
      <c r="E200" s="63"/>
      <c r="F200" s="54"/>
      <c r="G200" s="54"/>
      <c r="H200" s="54"/>
      <c r="I200" s="52">
        <f t="shared" si="7"/>
        <v>5.6410256410256405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283">
        <v>60</v>
      </c>
      <c r="B201" s="63">
        <f>(345+19)/1.56</f>
        <v>233.33333333333331</v>
      </c>
      <c r="C201" s="63">
        <v>4</v>
      </c>
      <c r="D201" s="63">
        <f>(19+19)/1.56</f>
        <v>24.358974358974358</v>
      </c>
      <c r="E201" s="63"/>
      <c r="F201" s="54"/>
      <c r="G201" s="54"/>
      <c r="H201" s="54"/>
      <c r="I201" s="52">
        <f t="shared" si="7"/>
        <v>5.2564102564102537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283">
        <v>65</v>
      </c>
      <c r="B202" s="63">
        <f>(365)/1.56</f>
        <v>233.97435897435898</v>
      </c>
      <c r="C202" s="63"/>
      <c r="D202" s="63"/>
      <c r="E202" s="63"/>
      <c r="F202" s="54"/>
      <c r="G202" s="54"/>
      <c r="H202" s="54"/>
      <c r="I202" s="52">
        <f t="shared" si="7"/>
        <v>5.0000000000000053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283">
        <v>70</v>
      </c>
      <c r="B203" s="63">
        <f>(385+18)/1.56</f>
        <v>258.33333333333331</v>
      </c>
      <c r="C203" s="63">
        <v>5</v>
      </c>
      <c r="D203" s="63">
        <f>(18+18)/1.56</f>
        <v>23.076923076923077</v>
      </c>
      <c r="E203" s="63"/>
      <c r="F203" s="54"/>
      <c r="G203" s="54"/>
      <c r="H203" s="54"/>
      <c r="I203" s="52">
        <f t="shared" si="7"/>
        <v>4.8717948717948669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283">
        <v>75</v>
      </c>
      <c r="B204" s="63">
        <f>(402)/1.56</f>
        <v>257.69230769230768</v>
      </c>
      <c r="C204" s="63"/>
      <c r="D204" s="63"/>
      <c r="E204" s="63"/>
      <c r="F204" s="54"/>
      <c r="G204" s="54"/>
      <c r="H204" s="54"/>
      <c r="I204" s="52">
        <f t="shared" si="7"/>
        <v>4.4871794871794863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283">
        <v>80</v>
      </c>
      <c r="B205" s="63">
        <f>(418+18)/1.56</f>
        <v>279.4871794871795</v>
      </c>
      <c r="C205" s="63">
        <v>6</v>
      </c>
      <c r="D205" s="63">
        <f>(18+17)/1.56</f>
        <v>22.435897435897434</v>
      </c>
      <c r="E205" s="63"/>
      <c r="F205" s="54"/>
      <c r="G205" s="54"/>
      <c r="H205" s="54"/>
      <c r="I205" s="52">
        <f t="shared" si="7"/>
        <v>4.3589743589743648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283">
        <v>85</v>
      </c>
      <c r="B206" s="63">
        <f>(432)/1.56</f>
        <v>276.92307692307691</v>
      </c>
      <c r="C206" s="53"/>
      <c r="D206" s="63"/>
      <c r="E206" s="63"/>
      <c r="F206" s="54"/>
      <c r="G206" s="54"/>
      <c r="H206" s="54"/>
      <c r="I206" s="52">
        <f t="shared" si="7"/>
        <v>3.9743589743589722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283">
        <v>90</v>
      </c>
      <c r="B207" s="63">
        <f>(445+17)/1.56</f>
        <v>296.15384615384613</v>
      </c>
      <c r="C207" s="53">
        <v>7</v>
      </c>
      <c r="D207" s="63">
        <f>(17+16)/1.56</f>
        <v>21.153846153846153</v>
      </c>
      <c r="E207" s="63"/>
      <c r="F207" s="54"/>
      <c r="G207" s="54"/>
      <c r="H207" s="54"/>
      <c r="I207" s="52">
        <f t="shared" si="7"/>
        <v>3.8461538461538454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283">
        <v>100</v>
      </c>
      <c r="B208" s="63">
        <f>(467+16)/1.56</f>
        <v>309.61538461538458</v>
      </c>
      <c r="C208" s="53">
        <v>8</v>
      </c>
      <c r="D208" s="63">
        <f>(16+16)/1.56</f>
        <v>20.512820512820511</v>
      </c>
      <c r="E208" s="63"/>
      <c r="F208" s="54"/>
      <c r="G208" s="54"/>
      <c r="H208" s="54"/>
      <c r="I208" s="52">
        <f t="shared" si="7"/>
        <v>3.4615384615384586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283">
        <v>110</v>
      </c>
      <c r="B209" s="63">
        <f>(486+15)/1.56</f>
        <v>321.15384615384613</v>
      </c>
      <c r="C209" s="53">
        <v>9</v>
      </c>
      <c r="D209" s="63">
        <f>(15+15)/1.56</f>
        <v>19.23076923076923</v>
      </c>
      <c r="E209" s="63"/>
      <c r="F209" s="54"/>
      <c r="G209" s="54"/>
      <c r="H209" s="54"/>
      <c r="I209" s="52">
        <f t="shared" si="7"/>
        <v>3.2051282051282044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283">
        <v>120</v>
      </c>
      <c r="B210" s="63">
        <f>(502+14)/1.56</f>
        <v>330.76923076923077</v>
      </c>
      <c r="C210" s="53">
        <v>10</v>
      </c>
      <c r="D210" s="63">
        <f>(14+14)/1.56</f>
        <v>17.948717948717949</v>
      </c>
      <c r="E210" s="63"/>
      <c r="F210" s="54"/>
      <c r="G210" s="54"/>
      <c r="H210" s="54"/>
      <c r="I210" s="52">
        <f t="shared" si="7"/>
        <v>2.8846153846153868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283">
        <v>130</v>
      </c>
      <c r="B211" s="63">
        <f>(516+13)/1.56</f>
        <v>339.10256410256409</v>
      </c>
      <c r="C211" s="53">
        <v>11</v>
      </c>
      <c r="D211" s="63">
        <f>B211</f>
        <v>339.10256410256409</v>
      </c>
      <c r="E211" s="63"/>
      <c r="F211" s="54"/>
      <c r="G211" s="54"/>
      <c r="H211" s="54"/>
      <c r="I211" s="52">
        <f t="shared" si="7"/>
        <v>2.6282051282051269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4" sqref="C2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I-214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I-45/51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Robinier faux-acacia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Chêne pubescent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Erable champêtre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Cormier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>Chêne chevelu</v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90.580021122303947</v>
      </c>
      <c r="T3" s="62">
        <f>IF('Données projet'!E9&gt;30,$R$33-$H$33,LOOKUP('Données projet'!$E$9,$A$3:$A$203,R3:R203)-LOOKUP('Données projet'!$E$9,$A$3:$A$203,$H$3:$H$203))</f>
        <v>375.77399473907451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87.3677313039193</v>
      </c>
      <c r="AO3" s="62">
        <f>IF('Données projet'!E10&gt;30,$AM$33-$H$33,LOOKUP('Données projet'!$E$10,$A$3:$A$203,AM3:AM203)-LOOKUP('Données projet'!$E$10,$A$3:$A$203,$H$3:$H$203))</f>
        <v>326.27342751542903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254.91239442958343</v>
      </c>
      <c r="BJ3" s="62">
        <f>IF('Données projet'!E11&gt;30,$BH$33-$H$33,LOOKUP('Données projet'!$E$11,$A$3:$A$203,BH3:BH203)-LOOKUP('Données projet'!$E$11,$A$3:$A$203,$H$3:$H$203))</f>
        <v>361.41009011468407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516.30971934066179</v>
      </c>
      <c r="CE3" s="62">
        <f>IF('Données projet'!E12&gt;30,$CC$33-$H$33,LOOKUP('Données projet'!$E$12,$A$3:$A$203,CC3:CC203)-LOOKUP('Données projet'!$E$12,$A$3:$A$203,$H$3:$H$203))</f>
        <v>290.84286505723571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226.76930997889059</v>
      </c>
      <c r="CZ3" s="62">
        <f>IF('Données projet'!E13&gt;30,$CX$33-$H$33,LOOKUP('Données projet'!$E$13,$A$3:$A$203,CX3:CX203)-LOOKUP('Données projet'!$E$13,$A$3:$A$203,$H$3:$H$203))</f>
        <v>236.36066378969329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315.12428188060306</v>
      </c>
      <c r="DU3" s="62">
        <f>IF('Données projet'!E14&gt;30,$DS$33-$H$33,LOOKUP('Données projet'!$E$14,$A$3:$A$203,DS3:DS203)-LOOKUP('Données projet'!$E$14,$A$3:$A$203,$H$3:$H$203))</f>
        <v>186.08400677811986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530.77325763685963</v>
      </c>
      <c r="EP3" s="62">
        <f>IF('Données projet'!E15&gt;30,$EN$33-$H$33,LOOKUP('Données projet'!$E$15,$A$3:$A$203,EN3:EN203)-LOOKUP('Données projet'!$E$15,$A$3:$A$203,$H$3:$H$203))</f>
        <v>344.23100274990145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0.255</v>
      </c>
      <c r="N4" s="14">
        <f>IF('Données projet'!$A$36&gt;35,N3+M4-V3,IF(A4&lt;'Données projet'!$A$36,$K$205^A4,IF(A4='Données projet'!$A$36,'Données projet'!$B$36,N3+M4-V3)))</f>
        <v>1.093210441104935</v>
      </c>
      <c r="O4" s="14">
        <f>N4*VLOOKUP('Données projet'!$B$9,Paramètres!$A$1:$I$89,3,0)*VLOOKUP('Données projet'!$B$9,Paramètres!$A$1:$I$89,5,0)</f>
        <v>0.48092513725088304</v>
      </c>
      <c r="P4" s="14">
        <f>EXP(-1.0587+0.8836*LN(O4)+0.284)</f>
        <v>0.24134356525848286</v>
      </c>
      <c r="Q4" s="22">
        <f t="shared" ref="Q4:Q34" si="2">(O4+P4)*0.475*44/12</f>
        <v>1.2579513235371456</v>
      </c>
      <c r="R4" s="62">
        <f t="shared" si="0"/>
        <v>169.070385276461</v>
      </c>
      <c r="S4" s="62">
        <f ca="1">AVERAGE(OFFSET($R$3,0,0,'Données projet'!$E$9+1,1))-AVERAGE(OFFSET($H$3,0,0,'Données projet'!$E$9+1,1))</f>
        <v>90.580021122303947</v>
      </c>
      <c r="T4" s="62">
        <f>$T$3</f>
        <v>375.77399473907451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1.36</v>
      </c>
      <c r="AI4" s="14">
        <f>IF('Données projet'!$A$62&gt;35,AI3+AH4-AQ3,IF(A4&lt;'Données projet'!$A$62,$AF$205^A4,IF(A4='Données projet'!$A$62,'Données projet'!$B$62,AI3+AH4-AQ3)))</f>
        <v>1.3208837640453637</v>
      </c>
      <c r="AJ4" s="14">
        <f>AI4*VLOOKUP('Données projet'!$B$10,Paramètres!$A$1:$I$89,3,0)*VLOOKUP('Données projet'!$B$10,Paramètres!$A$1:$I$89,5,0)</f>
        <v>0.67586980438673172</v>
      </c>
      <c r="AK4" s="14">
        <f>EXP(-1.0587+0.8836*LN(AJ4)+0.284)</f>
        <v>0.32600108882394208</v>
      </c>
      <c r="AL4" s="22">
        <f t="shared" ref="AL4:AL67" si="4">(AJ4+AK4)*0.475*44/12</f>
        <v>1.7449251390085898</v>
      </c>
      <c r="AM4" s="62">
        <f t="shared" ref="AM4:AM67" si="5">AL4+(AD4+AE4)*44/12</f>
        <v>169.55735909193243</v>
      </c>
      <c r="AN4" s="62">
        <f ca="1">AVERAGE(OFFSET($AM$3,0,0,'Données projet'!$E$10+1,1))-AVERAGE(OFFSET($H$3,0,0,'Données projet'!$E$10+1,1))</f>
        <v>87.3677313039193</v>
      </c>
      <c r="AO4" s="62">
        <f>$AO$3</f>
        <v>326.27342751542903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4.2</v>
      </c>
      <c r="BD4" s="13">
        <f>IF('Données projet'!$A$88&gt;35,BD3+BC4-BL3,IF(A4&lt;'Données projet'!$A$88,$BA$205^A4,IF(A4='Données projet'!$A$88,'Données projet'!$B$88,BD3+BC4-BL3)))</f>
        <v>1.838416287252544</v>
      </c>
      <c r="BE4" s="14">
        <f>BD4*VLOOKUP('Données projet'!$B$11,Paramètres!$A$1:$I$89,3,0)*VLOOKUP('Données projet'!$B$11,Paramètres!$A$1:$I$89,5,0)</f>
        <v>1.6633990567061017</v>
      </c>
      <c r="BF4" s="14">
        <f>EXP(-1.0587+0.8836*LN(BE4)+0.284)</f>
        <v>0.7224778366672352</v>
      </c>
      <c r="BG4" s="22">
        <f t="shared" ref="BG4:BG67" si="7">(BE4+BF4)*0.475*44/12</f>
        <v>4.1554022559585615</v>
      </c>
      <c r="BH4" s="62">
        <f t="shared" ref="BH4:BH67" si="8">BG4+(AY4+AZ4)*44/12</f>
        <v>171.9678362088824</v>
      </c>
      <c r="BI4" s="62">
        <f ca="1">AVERAGE(OFFSET($BH$3,0,0,'Données projet'!$E$11+1,1))-AVERAGE(OFFSET($H$3,0,0,'Données projet'!$E$11+1,1))</f>
        <v>254.91239442958343</v>
      </c>
      <c r="BJ4" s="62">
        <f>$BJ$3</f>
        <v>361.41009011468407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1.2223636300497438</v>
      </c>
      <c r="CA4" s="14">
        <f>EXP(-1.0587+0.8836*LN(BZ4)+0.284)</f>
        <v>0.55030360208821416</v>
      </c>
      <c r="CB4" s="22">
        <f t="shared" ref="CB4:CB67" si="10">(BZ4+CA4)*0.475*44/12</f>
        <v>3.0873954293069432</v>
      </c>
      <c r="CC4" s="62">
        <f t="shared" ref="CC4:CC67" si="11">CB4+(BT4+BU4)*44/12</f>
        <v>170.89982938223079</v>
      </c>
      <c r="CD4" s="62">
        <f ca="1">AVERAGE(OFFSET($CC$3,0,0,'Données projet'!$E$12+1,1))-AVERAGE(OFFSET($H$3,0,0,'Données projet'!$E$12+1,1))</f>
        <v>516.30971934066179</v>
      </c>
      <c r="CE4" s="62">
        <f>$CE$3</f>
        <v>290.84286505723571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0.9</v>
      </c>
      <c r="CT4" s="13">
        <f>IF('Données projet'!$A$140&gt;35,CT3+CS4-DB3,IF(A4&lt;'Données projet'!$A$140,$CQ$205^A4,IF(A4='Données projet'!$A$140,'Données projet'!$B$140,CT3+CS4-DB3)))</f>
        <v>1.1554831727638066</v>
      </c>
      <c r="CU4" s="18">
        <f>CT4*VLOOKUP('Données projet'!$B$13,Paramètres!$A$1:$I$89,3,0)*VLOOKUP('Données projet'!$B$13,Paramètres!$A$1:$I$89,5,0)</f>
        <v>1.0094300997264616</v>
      </c>
      <c r="CV4" s="14">
        <f>EXP(-1.0587+0.8836*LN(CU4)+0.284)</f>
        <v>0.46467984937949935</v>
      </c>
      <c r="CW4" s="22">
        <f t="shared" ref="CW4:CW67" si="13">(CU4+CV4)*0.475*44/12</f>
        <v>2.5674081613595483</v>
      </c>
      <c r="CX4" s="62">
        <f t="shared" ref="CX4:CX67" si="14">CW4+(CO4+CP4)*44/12</f>
        <v>170.37984211428338</v>
      </c>
      <c r="CY4" s="62">
        <f ca="1">AVERAGE(OFFSET($CX$3,0,0,'Données projet'!$E$13+1,1))-AVERAGE(OFFSET($H$3,0,0,'Données projet'!$E$13+1,1))</f>
        <v>226.76930997889059</v>
      </c>
      <c r="CZ4" s="62">
        <f>$CZ$3</f>
        <v>236.36066378969329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1.05</v>
      </c>
      <c r="DO4" s="13">
        <f>IF('Données projet'!$A$166&gt;35,DO3+DN4-DW3,IF(A4&lt;'Données projet'!$A$166,$DL$205^A4,IF(A4='Données projet'!$A$166,'Données projet'!$B$166,DO3+DN4-DW3)))</f>
        <v>1.1644235083052243</v>
      </c>
      <c r="DP4" s="18">
        <f>DO4*VLOOKUP('Données projet'!$B$14,Paramètres!$A$1:$I$89,3,0)*VLOOKUP('Données projet'!$B$14,Paramètres!$A$1:$I$89,5,0)</f>
        <v>1.2533854643397435</v>
      </c>
      <c r="DQ4" s="14">
        <f>EXP(-1.0587+0.8836*LN(DP4)+0.284)</f>
        <v>0.56262582787929238</v>
      </c>
      <c r="DR4" s="22">
        <f t="shared" ref="DR4:DR67" si="16">(DP4+DQ4)*0.475*44/12</f>
        <v>3.1628863339481534</v>
      </c>
      <c r="DS4" s="62">
        <f t="shared" ref="DS4:DS67" si="17">DR4+(DJ4+DK4)*44/12</f>
        <v>170.97532028687201</v>
      </c>
      <c r="DT4" s="62">
        <f ca="1">AVERAGE(OFFSET($DS$3,0,0,'Données projet'!$E$14+1,1))-AVERAGE(OFFSET($H$3,0,0,'Données projet'!$E$14+1,1))</f>
        <v>315.12428188060306</v>
      </c>
      <c r="DU4" s="62">
        <f>$DU$3</f>
        <v>186.08400677811986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2.0085470085470085</v>
      </c>
      <c r="EJ4" s="13">
        <f>IF('Données projet'!$A$192&gt;35,EJ3+EI4-ER3,IF(A4&lt;'Données projet'!$A$192,$EG$205^A4,IF(A4='Données projet'!$A$192,'Données projet'!$B$192,EJ3+EI4-ER3)))</f>
        <v>1.2548684989282006</v>
      </c>
      <c r="EK4" s="18">
        <f>EJ4*VLOOKUP('Données projet'!$B$15,Paramètres!$A$1:$I$89,3,0)*VLOOKUP('Données projet'!$B$15,Paramètres!$A$1:$I$89,5,0)</f>
        <v>1.3115885550797555</v>
      </c>
      <c r="EL4" s="14">
        <f>EXP(-1.0587+0.8836*LN(EK4)+0.284)</f>
        <v>0.5856498554818651</v>
      </c>
      <c r="EM4" s="22">
        <f t="shared" ref="EM4:EM67" si="19">(EK4+EL4)*0.475*44/12</f>
        <v>3.3043568983948219</v>
      </c>
      <c r="EN4" s="62">
        <f t="shared" ref="EN4:EN67" si="20">EM4+(EE4+EF4)*44/12</f>
        <v>171.11679085131865</v>
      </c>
      <c r="EO4" s="62">
        <f ca="1">AVERAGE(OFFSET($EN$3,0,0,'Données projet'!$E$15+1,1))-AVERAGE(OFFSET($H$3,0,0,'Données projet'!$E$15+1,1))</f>
        <v>530.77325763685963</v>
      </c>
      <c r="EP4" s="62">
        <f>$EP$3</f>
        <v>344.23100274990145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0.255</v>
      </c>
      <c r="N5" s="14">
        <f>IF('Données projet'!$A$36&gt;35,N4+M5-V4,IF(A5&lt;'Données projet'!$A$36,$K$205^A5,IF(A5='Données projet'!$A$36,'Données projet'!$B$36,N4+M5-V4)))</f>
        <v>1.1951090685408465</v>
      </c>
      <c r="O5" s="14">
        <f>N5*VLOOKUP('Données projet'!$B$9,Paramètres!$A$1:$I$89,3,0)*VLOOKUP('Données projet'!$B$9,Paramètres!$A$1:$I$89,5,0)</f>
        <v>0.52575238143248926</v>
      </c>
      <c r="P5" s="14">
        <f t="shared" ref="P5:P68" si="33">EXP(-1.0587+0.8836*LN(O5)+0.284)</f>
        <v>0.26111653621413983</v>
      </c>
      <c r="Q5" s="22">
        <f t="shared" si="2"/>
        <v>1.3704633649012121</v>
      </c>
      <c r="R5" s="62">
        <f t="shared" si="0"/>
        <v>171.96774465240205</v>
      </c>
      <c r="S5" s="62">
        <f ca="1">AVERAGE(OFFSET($R$3,0,0,'Données projet'!$E$9+1,1))-AVERAGE(OFFSET($H$3,0,0,'Données projet'!$E$9+1,1))</f>
        <v>90.580021122303947</v>
      </c>
      <c r="T5" s="62">
        <f t="shared" ref="T5:T68" si="34">$T$3</f>
        <v>375.77399473907451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1.36</v>
      </c>
      <c r="AI5" s="14">
        <f>IF('Données projet'!$A$62&gt;35,AI4+AH5-AQ4,IF(A5&lt;'Données projet'!$A$62,$AF$205^A5,IF(A5='Données projet'!$A$62,'Données projet'!$B$62,AI4+AH5-AQ4)))</f>
        <v>1.7447339181186479</v>
      </c>
      <c r="AJ5" s="14">
        <f>AI5*VLOOKUP('Données projet'!$B$10,Paramètres!$A$1:$I$89,3,0)*VLOOKUP('Données projet'!$B$10,Paramètres!$A$1:$I$89,5,0)</f>
        <v>0.89274545122294979</v>
      </c>
      <c r="AK5" s="14">
        <f t="shared" ref="AK5:AK68" si="35">EXP(-1.0587+0.8836*LN(AJ5)+0.284)</f>
        <v>0.41688379425659927</v>
      </c>
      <c r="AL5" s="22">
        <f t="shared" si="4"/>
        <v>2.2809376025435477</v>
      </c>
      <c r="AM5" s="62">
        <f t="shared" si="5"/>
        <v>172.87821889004439</v>
      </c>
      <c r="AN5" s="62">
        <f ca="1">AVERAGE(OFFSET($AM$3,0,0,'Données projet'!$E$10+1,1))-AVERAGE(OFFSET($H$3,0,0,'Données projet'!$E$10+1,1))</f>
        <v>87.3677313039193</v>
      </c>
      <c r="AO5" s="62">
        <f t="shared" ref="AO5:AO68" si="36">$AO$3</f>
        <v>326.27342751542903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4.2</v>
      </c>
      <c r="BD5" s="13">
        <f>IF('Données projet'!$A$88&gt;35,BD4+BC5-BL4,IF(A5&lt;'Données projet'!$A$88,$BA$205^A5,IF(A5='Données projet'!$A$88,'Données projet'!$B$88,BD4+BC5-BL4)))</f>
        <v>3.3797744452354284</v>
      </c>
      <c r="BE5" s="14">
        <f>BD5*VLOOKUP('Données projet'!$B$11,Paramètres!$A$1:$I$89,3,0)*VLOOKUP('Données projet'!$B$11,Paramètres!$A$1:$I$89,5,0)</f>
        <v>3.0580199180490153</v>
      </c>
      <c r="BF5" s="14">
        <f t="shared" ref="BF5:BF68" si="37">EXP(-1.0587+0.8836*LN(BE5)+0.284)</f>
        <v>1.2373345008562202</v>
      </c>
      <c r="BG5" s="22">
        <f t="shared" si="7"/>
        <v>7.4810756129266176</v>
      </c>
      <c r="BH5" s="62">
        <f t="shared" si="8"/>
        <v>178.07835690042745</v>
      </c>
      <c r="BI5" s="62">
        <f ca="1">AVERAGE(OFFSET($BH$3,0,0,'Données projet'!$E$11+1,1))-AVERAGE(OFFSET($H$3,0,0,'Données projet'!$E$11+1,1))</f>
        <v>254.91239442958343</v>
      </c>
      <c r="BJ5" s="62">
        <f t="shared" ref="BJ5:BJ68" si="38">$BJ$3</f>
        <v>361.41009011468407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1.47354323872622</v>
      </c>
      <c r="CA5" s="14">
        <f t="shared" ref="CA5:CA68" si="39">EXP(-1.0587+0.8836*LN(BZ5)+0.284)</f>
        <v>0.64910881835703094</v>
      </c>
      <c r="CB5" s="22">
        <f t="shared" si="10"/>
        <v>3.6969523327533285</v>
      </c>
      <c r="CC5" s="62">
        <f t="shared" si="11"/>
        <v>174.29423362025418</v>
      </c>
      <c r="CD5" s="62">
        <f ca="1">AVERAGE(OFFSET($CC$3,0,0,'Données projet'!$E$12+1,1))-AVERAGE(OFFSET($H$3,0,0,'Données projet'!$E$12+1,1))</f>
        <v>516.30971934066179</v>
      </c>
      <c r="CE5" s="62">
        <f t="shared" ref="CE5:CE68" si="40">$CE$3</f>
        <v>290.84286505723571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0.9</v>
      </c>
      <c r="CT5" s="13">
        <f>IF('Données projet'!$A$140&gt;35,CT4+CS5-DB4,IF(A5&lt;'Données projet'!$A$140,$CQ$205^A5,IF(A5='Données projet'!$A$140,'Données projet'!$B$140,CT4+CS5-DB4)))</f>
        <v>1.335141362540313</v>
      </c>
      <c r="CU5" s="18">
        <f>CT5*VLOOKUP('Données projet'!$B$13,Paramètres!$A$1:$I$89,3,0)*VLOOKUP('Données projet'!$B$13,Paramètres!$A$1:$I$89,5,0)</f>
        <v>1.1663794943152175</v>
      </c>
      <c r="CV5" s="14">
        <f t="shared" ref="CV5:CV68" si="41">EXP(-1.0587+0.8836*LN(CU5)+0.284)</f>
        <v>0.52797307958445927</v>
      </c>
      <c r="CW5" s="22">
        <f t="shared" si="13"/>
        <v>2.9509973995419365</v>
      </c>
      <c r="CX5" s="62">
        <f t="shared" si="14"/>
        <v>173.54827868704277</v>
      </c>
      <c r="CY5" s="62">
        <f ca="1">AVERAGE(OFFSET($CX$3,0,0,'Données projet'!$E$13+1,1))-AVERAGE(OFFSET($H$3,0,0,'Données projet'!$E$13+1,1))</f>
        <v>226.76930997889059</v>
      </c>
      <c r="CZ5" s="62">
        <f t="shared" ref="CZ5:CZ68" si="42">$CZ$3</f>
        <v>236.36066378969329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1.05</v>
      </c>
      <c r="DO5" s="13">
        <f>IF('Données projet'!$A$166&gt;35,DO4+DN5-DW4,IF(A5&lt;'Données projet'!$A$166,$DL$205^A5,IF(A5='Données projet'!$A$166,'Données projet'!$B$166,DO4+DN5-DW4)))</f>
        <v>1.3558821066938469</v>
      </c>
      <c r="DP5" s="18">
        <f>DO5*VLOOKUP('Données projet'!$B$14,Paramètres!$A$1:$I$89,3,0)*VLOOKUP('Données projet'!$B$14,Paramètres!$A$1:$I$89,5,0)</f>
        <v>1.4594714996452569</v>
      </c>
      <c r="DQ5" s="14">
        <f t="shared" ref="DQ5:DQ68" si="43">EXP(-1.0587+0.8836*LN(DP5)+0.284)</f>
        <v>0.64362856955591685</v>
      </c>
      <c r="DR5" s="22">
        <f t="shared" si="16"/>
        <v>3.6628992871920438</v>
      </c>
      <c r="DS5" s="62">
        <f t="shared" si="17"/>
        <v>174.26018057469287</v>
      </c>
      <c r="DT5" s="62">
        <f ca="1">AVERAGE(OFFSET($DS$3,0,0,'Données projet'!$E$14+1,1))-AVERAGE(OFFSET($H$3,0,0,'Données projet'!$E$14+1,1))</f>
        <v>315.12428188060306</v>
      </c>
      <c r="DU5" s="62">
        <f t="shared" ref="DU5:DU68" si="44">$DU$3</f>
        <v>186.08400677811986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2.0085470085470085</v>
      </c>
      <c r="EJ5" s="13">
        <f>IF('Données projet'!$A$192&gt;35,EJ4+EI5-ER4,IF(A5&lt;'Données projet'!$A$192,$EG$205^A5,IF(A5='Données projet'!$A$192,'Données projet'!$B$192,EJ4+EI5-ER4)))</f>
        <v>1.5746949496023155</v>
      </c>
      <c r="EK5" s="18">
        <f>EJ5*VLOOKUP('Données projet'!$B$15,Paramètres!$A$1:$I$89,3,0)*VLOOKUP('Données projet'!$B$15,Paramètres!$A$1:$I$89,5,0)</f>
        <v>1.6458711613243404</v>
      </c>
      <c r="EL5" s="14">
        <f t="shared" ref="EL5:EL68" si="45">EXP(-1.0587+0.8836*LN(EK5)+0.284)</f>
        <v>0.71574681686586372</v>
      </c>
      <c r="EM5" s="22">
        <f t="shared" si="19"/>
        <v>4.1131513120146055</v>
      </c>
      <c r="EN5" s="62">
        <f t="shared" si="20"/>
        <v>174.71043259951543</v>
      </c>
      <c r="EO5" s="62">
        <f ca="1">AVERAGE(OFFSET($EN$3,0,0,'Données projet'!$E$15+1,1))-AVERAGE(OFFSET($H$3,0,0,'Données projet'!$E$15+1,1))</f>
        <v>530.77325763685963</v>
      </c>
      <c r="EP5" s="62">
        <f t="shared" ref="EP5:EP68" si="46">$EP$3</f>
        <v>344.23100274990145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0.255</v>
      </c>
      <c r="N6" s="14">
        <f>IF('Données projet'!$A$36&gt;35,N5+M6-V5,IF(A6&lt;'Données projet'!$A$36,$K$205^A6,IF(A6='Données projet'!$A$36,'Données projet'!$B$36,N5+M6-V5)))</f>
        <v>1.3065057119880468</v>
      </c>
      <c r="O6" s="14">
        <f>N6*VLOOKUP('Données projet'!$B$9,Paramètres!$A$1:$I$89,3,0)*VLOOKUP('Données projet'!$B$9,Paramètres!$A$1:$I$89,5,0)</f>
        <v>0.5747579928177815</v>
      </c>
      <c r="P6" s="14">
        <f t="shared" si="33"/>
        <v>0.28250948149972976</v>
      </c>
      <c r="Q6" s="22">
        <f t="shared" si="2"/>
        <v>1.493074184436332</v>
      </c>
      <c r="R6" s="62">
        <f t="shared" si="0"/>
        <v>174.84809475432121</v>
      </c>
      <c r="S6" s="62">
        <f ca="1">AVERAGE(OFFSET($R$3,0,0,'Données projet'!$E$9+1,1))-AVERAGE(OFFSET($H$3,0,0,'Données projet'!$E$9+1,1))</f>
        <v>90.580021122303947</v>
      </c>
      <c r="T6" s="62">
        <f t="shared" si="34"/>
        <v>375.77399473907451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1.36</v>
      </c>
      <c r="AI6" s="14">
        <f>IF('Données projet'!$A$62&gt;35,AI5+AH6-AQ5,IF(A6&lt;'Données projet'!$A$62,$AF$205^A6,IF(A6='Données projet'!$A$62,'Données projet'!$B$62,AI5+AH6-AQ5)))</f>
        <v>2.304590705022175</v>
      </c>
      <c r="AJ6" s="14">
        <f>AI6*VLOOKUP('Données projet'!$B$10,Paramètres!$A$1:$I$89,3,0)*VLOOKUP('Données projet'!$B$10,Paramètres!$A$1:$I$89,5,0)</f>
        <v>1.1792129719457467</v>
      </c>
      <c r="AK6" s="14">
        <f t="shared" si="35"/>
        <v>0.53310281429040107</v>
      </c>
      <c r="AL6" s="22">
        <f t="shared" si="4"/>
        <v>2.9822833276946241</v>
      </c>
      <c r="AM6" s="62">
        <f t="shared" si="5"/>
        <v>176.33730389757952</v>
      </c>
      <c r="AN6" s="62">
        <f ca="1">AVERAGE(OFFSET($AM$3,0,0,'Données projet'!$E$10+1,1))-AVERAGE(OFFSET($H$3,0,0,'Données projet'!$E$10+1,1))</f>
        <v>87.3677313039193</v>
      </c>
      <c r="AO6" s="62">
        <f t="shared" si="36"/>
        <v>326.27342751542903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4.2</v>
      </c>
      <c r="BD6" s="13">
        <f>IF('Données projet'!$A$88&gt;35,BD5+BC6-BL5,IF(A6&lt;'Données projet'!$A$88,$BA$205^A6,IF(A6='Données projet'!$A$88,'Données projet'!$B$88,BD5+BC6-BL5)))</f>
        <v>6.2134323873607427</v>
      </c>
      <c r="BE6" s="14">
        <f>BD6*VLOOKUP('Données projet'!$B$11,Paramètres!$A$1:$I$89,3,0)*VLOOKUP('Données projet'!$B$11,Paramètres!$A$1:$I$89,5,0)</f>
        <v>5.6219136240839997</v>
      </c>
      <c r="BF6" s="14">
        <f t="shared" si="37"/>
        <v>2.1190915337576928</v>
      </c>
      <c r="BG6" s="22">
        <f t="shared" si="7"/>
        <v>13.482250649907614</v>
      </c>
      <c r="BH6" s="62">
        <f t="shared" si="8"/>
        <v>186.83727121979251</v>
      </c>
      <c r="BI6" s="62">
        <f ca="1">AVERAGE(OFFSET($BH$3,0,0,'Données projet'!$E$11+1,1))-AVERAGE(OFFSET($H$3,0,0,'Données projet'!$E$11+1,1))</f>
        <v>254.91239442958343</v>
      </c>
      <c r="BJ6" s="62">
        <f t="shared" si="38"/>
        <v>361.41009011468407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1.7763369450933317</v>
      </c>
      <c r="CA6" s="14">
        <f t="shared" si="39"/>
        <v>0.76565418883323866</v>
      </c>
      <c r="CB6" s="22">
        <f t="shared" si="10"/>
        <v>4.4273012249221102</v>
      </c>
      <c r="CC6" s="62">
        <f t="shared" si="11"/>
        <v>177.78232179480699</v>
      </c>
      <c r="CD6" s="62">
        <f ca="1">AVERAGE(OFFSET($CC$3,0,0,'Données projet'!$E$12+1,1))-AVERAGE(OFFSET($H$3,0,0,'Données projet'!$E$12+1,1))</f>
        <v>516.30971934066179</v>
      </c>
      <c r="CE6" s="62">
        <f t="shared" si="40"/>
        <v>290.84286505723571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0.9</v>
      </c>
      <c r="CT6" s="13">
        <f>IF('Données projet'!$A$140&gt;35,CT5+CS6-DB5,IF(A6&lt;'Données projet'!$A$140,$CQ$205^A6,IF(A6='Données projet'!$A$140,'Données projet'!$B$140,CT5+CS6-DB5)))</f>
        <v>1.5427333776762726</v>
      </c>
      <c r="CU6" s="18">
        <f>CT6*VLOOKUP('Données projet'!$B$13,Paramètres!$A$1:$I$89,3,0)*VLOOKUP('Données projet'!$B$13,Paramètres!$A$1:$I$89,5,0)</f>
        <v>1.3477318787379919</v>
      </c>
      <c r="CV6" s="14">
        <f t="shared" si="41"/>
        <v>0.59988737006377257</v>
      </c>
      <c r="CW6" s="22">
        <f t="shared" si="13"/>
        <v>3.3921035249964064</v>
      </c>
      <c r="CX6" s="62">
        <f t="shared" si="14"/>
        <v>176.74712409488129</v>
      </c>
      <c r="CY6" s="62">
        <f ca="1">AVERAGE(OFFSET($CX$3,0,0,'Données projet'!$E$13+1,1))-AVERAGE(OFFSET($H$3,0,0,'Données projet'!$E$13+1,1))</f>
        <v>226.76930997889059</v>
      </c>
      <c r="CZ6" s="62">
        <f t="shared" si="42"/>
        <v>236.36066378969329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1.05</v>
      </c>
      <c r="DO6" s="13">
        <f>IF('Données projet'!$A$166&gt;35,DO5+DN6-DW5,IF(A6&lt;'Données projet'!$A$166,$DL$205^A6,IF(A6='Données projet'!$A$166,'Données projet'!$B$166,DO5+DN6-DW5)))</f>
        <v>1.5788209995247278</v>
      </c>
      <c r="DP6" s="18">
        <f>DO6*VLOOKUP('Données projet'!$B$14,Paramètres!$A$1:$I$89,3,0)*VLOOKUP('Données projet'!$B$14,Paramètres!$A$1:$I$89,5,0)</f>
        <v>1.6994429238884168</v>
      </c>
      <c r="DQ6" s="14">
        <f t="shared" si="43"/>
        <v>0.73629349208879868</v>
      </c>
      <c r="DR6" s="22">
        <f t="shared" si="16"/>
        <v>4.2422409244936503</v>
      </c>
      <c r="DS6" s="62">
        <f t="shared" si="17"/>
        <v>177.59726149437853</v>
      </c>
      <c r="DT6" s="62">
        <f ca="1">AVERAGE(OFFSET($DS$3,0,0,'Données projet'!$E$14+1,1))-AVERAGE(OFFSET($H$3,0,0,'Données projet'!$E$14+1,1))</f>
        <v>315.12428188060306</v>
      </c>
      <c r="DU6" s="62">
        <f t="shared" si="44"/>
        <v>186.08400677811986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2.0085470085470085</v>
      </c>
      <c r="EJ6" s="13">
        <f>IF('Données projet'!$A$192&gt;35,EJ5+EI6-ER5,IF(A6&lt;'Données projet'!$A$192,$EG$205^A6,IF(A6='Données projet'!$A$192,'Données projet'!$B$192,EJ5+EI6-ER5)))</f>
        <v>1.9760350876772761</v>
      </c>
      <c r="EK6" s="18">
        <f>EJ6*VLOOKUP('Données projet'!$B$15,Paramètres!$A$1:$I$89,3,0)*VLOOKUP('Données projet'!$B$15,Paramètres!$A$1:$I$89,5,0)</f>
        <v>2.0653518736402892</v>
      </c>
      <c r="EL6" s="14">
        <f t="shared" si="45"/>
        <v>0.87474367330306557</v>
      </c>
      <c r="EM6" s="22">
        <f t="shared" si="19"/>
        <v>5.1206664109263427</v>
      </c>
      <c r="EN6" s="62">
        <f t="shared" si="20"/>
        <v>178.47568698081122</v>
      </c>
      <c r="EO6" s="62">
        <f ca="1">AVERAGE(OFFSET($EN$3,0,0,'Données projet'!$E$15+1,1))-AVERAGE(OFFSET($H$3,0,0,'Données projet'!$E$15+1,1))</f>
        <v>530.77325763685963</v>
      </c>
      <c r="EP6" s="62">
        <f t="shared" si="46"/>
        <v>344.23100274990145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0.255</v>
      </c>
      <c r="N7" s="14">
        <f>IF('Données projet'!$A$36&gt;35,N6+M7-V6,IF(A7&lt;'Données projet'!$A$36,$K$205^A7,IF(A7='Données projet'!$A$36,'Données projet'!$B$36,N6+M7-V6)))</f>
        <v>1.4282856857085697</v>
      </c>
      <c r="O7" s="14">
        <f>N7*VLOOKUP('Données projet'!$B$9,Paramètres!$A$1:$I$89,3,0)*VLOOKUP('Données projet'!$B$9,Paramètres!$A$1:$I$89,5,0)</f>
        <v>0.62833143885691389</v>
      </c>
      <c r="P7" s="14">
        <f t="shared" si="33"/>
        <v>0.30565512354910074</v>
      </c>
      <c r="Q7" s="22">
        <f t="shared" si="2"/>
        <v>1.626693262857142</v>
      </c>
      <c r="R7" s="62">
        <f t="shared" si="0"/>
        <v>177.71281532703409</v>
      </c>
      <c r="S7" s="62">
        <f ca="1">AVERAGE(OFFSET($R$3,0,0,'Données projet'!$E$9+1,1))-AVERAGE(OFFSET($H$3,0,0,'Données projet'!$E$9+1,1))</f>
        <v>90.580021122303947</v>
      </c>
      <c r="T7" s="62">
        <f t="shared" si="34"/>
        <v>375.77399473907451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1.36</v>
      </c>
      <c r="AI7" s="14">
        <f>IF('Données projet'!$A$62&gt;35,AI6+AH7-AQ6,IF(A7&lt;'Données projet'!$A$62,$AF$205^A7,IF(A7='Données projet'!$A$62,'Données projet'!$B$62,AI6+AH7-AQ6)))</f>
        <v>3.0440964450336487</v>
      </c>
      <c r="AJ7" s="14">
        <f>AI7*VLOOKUP('Données projet'!$B$10,Paramètres!$A$1:$I$89,3,0)*VLOOKUP('Données projet'!$B$10,Paramètres!$A$1:$I$89,5,0)</f>
        <v>1.5576032689948176</v>
      </c>
      <c r="AK7" s="14">
        <f t="shared" si="35"/>
        <v>0.68172141618298709</v>
      </c>
      <c r="AL7" s="22">
        <f t="shared" si="4"/>
        <v>3.9001571600180096</v>
      </c>
      <c r="AM7" s="62">
        <f t="shared" si="5"/>
        <v>179.98627922419496</v>
      </c>
      <c r="AN7" s="62">
        <f ca="1">AVERAGE(OFFSET($AM$3,0,0,'Données projet'!$E$10+1,1))-AVERAGE(OFFSET($H$3,0,0,'Données projet'!$E$10+1,1))</f>
        <v>87.3677313039193</v>
      </c>
      <c r="AO7" s="62">
        <f t="shared" si="36"/>
        <v>326.27342751542903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4.2</v>
      </c>
      <c r="BD7" s="13">
        <f>IF('Données projet'!$A$88&gt;35,BD6+BC7-BL6,IF(A7&lt;'Données projet'!$A$88,$BA$205^A7,IF(A7='Données projet'!$A$88,'Données projet'!$B$88,BD6+BC7-BL6)))</f>
        <v>11.422875300666448</v>
      </c>
      <c r="BE7" s="14">
        <f>BD7*VLOOKUP('Données projet'!$B$11,Paramètres!$A$1:$I$89,3,0)*VLOOKUP('Données projet'!$B$11,Paramètres!$A$1:$I$89,5,0)</f>
        <v>10.335417572043003</v>
      </c>
      <c r="BF7" s="14">
        <f t="shared" si="37"/>
        <v>3.6292117655622862</v>
      </c>
      <c r="BG7" s="22">
        <f t="shared" si="7"/>
        <v>24.32172942966254</v>
      </c>
      <c r="BH7" s="62">
        <f t="shared" si="8"/>
        <v>200.40785149383947</v>
      </c>
      <c r="BI7" s="62">
        <f ca="1">AVERAGE(OFFSET($BH$3,0,0,'Données projet'!$E$11+1,1))-AVERAGE(OFFSET($H$3,0,0,'Données projet'!$E$11+1,1))</f>
        <v>254.91239442958343</v>
      </c>
      <c r="BJ7" s="62">
        <f t="shared" si="38"/>
        <v>361.41009011468407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2.1413507656762891</v>
      </c>
      <c r="CA7" s="14">
        <f t="shared" si="39"/>
        <v>0.9031249003236328</v>
      </c>
      <c r="CB7" s="22">
        <f t="shared" si="10"/>
        <v>5.3024617849498643</v>
      </c>
      <c r="CC7" s="62">
        <f t="shared" si="11"/>
        <v>181.3885838491268</v>
      </c>
      <c r="CD7" s="62">
        <f ca="1">AVERAGE(OFFSET($CC$3,0,0,'Données projet'!$E$12+1,1))-AVERAGE(OFFSET($H$3,0,0,'Données projet'!$E$12+1,1))</f>
        <v>516.30971934066179</v>
      </c>
      <c r="CE7" s="62">
        <f t="shared" si="40"/>
        <v>290.84286505723571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0.9</v>
      </c>
      <c r="CT7" s="13">
        <f>IF('Données projet'!$A$140&gt;35,CT6+CS7-DB6,IF(A7&lt;'Données projet'!$A$140,$CQ$205^A7,IF(A7='Données projet'!$A$140,'Données projet'!$B$140,CT6+CS7-DB6)))</f>
        <v>1.7826024579660036</v>
      </c>
      <c r="CU7" s="18">
        <f>CT7*VLOOKUP('Données projet'!$B$13,Paramètres!$A$1:$I$89,3,0)*VLOOKUP('Données projet'!$B$13,Paramètres!$A$1:$I$89,5,0)</f>
        <v>1.5572815072791011</v>
      </c>
      <c r="CV7" s="14">
        <f t="shared" si="41"/>
        <v>0.68159698037116012</v>
      </c>
      <c r="CW7" s="22">
        <f t="shared" si="13"/>
        <v>3.8993800326575379</v>
      </c>
      <c r="CX7" s="62">
        <f t="shared" si="14"/>
        <v>179.98550209683449</v>
      </c>
      <c r="CY7" s="62">
        <f ca="1">AVERAGE(OFFSET($CX$3,0,0,'Données projet'!$E$13+1,1))-AVERAGE(OFFSET($H$3,0,0,'Données projet'!$E$13+1,1))</f>
        <v>226.76930997889059</v>
      </c>
      <c r="CZ7" s="62">
        <f t="shared" si="42"/>
        <v>236.36066378969329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1.05</v>
      </c>
      <c r="DO7" s="13">
        <f>IF('Données projet'!$A$166&gt;35,DO6+DN7-DW6,IF(A7&lt;'Données projet'!$A$166,$DL$205^A7,IF(A7='Données projet'!$A$166,'Données projet'!$B$166,DO6+DN7-DW6)))</f>
        <v>1.8384162872525445</v>
      </c>
      <c r="DP7" s="18">
        <f>DO7*VLOOKUP('Données projet'!$B$14,Paramètres!$A$1:$I$89,3,0)*VLOOKUP('Données projet'!$B$14,Paramètres!$A$1:$I$89,5,0)</f>
        <v>1.9788712915986386</v>
      </c>
      <c r="DQ7" s="14">
        <f t="shared" si="43"/>
        <v>0.84229963077364478</v>
      </c>
      <c r="DR7" s="22">
        <f t="shared" si="16"/>
        <v>4.9135393564650593</v>
      </c>
      <c r="DS7" s="62">
        <f t="shared" si="17"/>
        <v>180.99966142064201</v>
      </c>
      <c r="DT7" s="62">
        <f ca="1">AVERAGE(OFFSET($DS$3,0,0,'Données projet'!$E$14+1,1))-AVERAGE(OFFSET($H$3,0,0,'Données projet'!$E$14+1,1))</f>
        <v>315.12428188060306</v>
      </c>
      <c r="DU7" s="62">
        <f t="shared" si="44"/>
        <v>186.08400677811986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2.0085470085470085</v>
      </c>
      <c r="EJ7" s="13">
        <f>IF('Données projet'!$A$192&gt;35,EJ6+EI7-ER6,IF(A7&lt;'Données projet'!$A$192,$EG$205^A7,IF(A7='Données projet'!$A$192,'Données projet'!$B$192,EJ6+EI7-ER6)))</f>
        <v>2.4796641843030387</v>
      </c>
      <c r="EK7" s="18">
        <f>EJ7*VLOOKUP('Données projet'!$B$15,Paramètres!$A$1:$I$89,3,0)*VLOOKUP('Données projet'!$B$15,Paramètres!$A$1:$I$89,5,0)</f>
        <v>2.5917450054335363</v>
      </c>
      <c r="EL7" s="14">
        <f t="shared" si="45"/>
        <v>1.069060282146026</v>
      </c>
      <c r="EM7" s="22">
        <f t="shared" si="19"/>
        <v>6.375902542534404</v>
      </c>
      <c r="EN7" s="62">
        <f t="shared" si="20"/>
        <v>182.46202460671134</v>
      </c>
      <c r="EO7" s="62">
        <f ca="1">AVERAGE(OFFSET($EN$3,0,0,'Données projet'!$E$15+1,1))-AVERAGE(OFFSET($H$3,0,0,'Données projet'!$E$15+1,1))</f>
        <v>530.77325763685963</v>
      </c>
      <c r="EP7" s="62">
        <f t="shared" si="46"/>
        <v>344.23100274990145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0.255</v>
      </c>
      <c r="N8" s="14">
        <f>IF('Données projet'!$A$36&gt;35,N7+M8-V7,IF(A8&lt;'Données projet'!$A$36,$K$205^A8,IF(A8='Données projet'!$A$36,'Données projet'!$B$36,N7+M8-V7)))</f>
        <v>1.5614168244973301</v>
      </c>
      <c r="O8" s="14">
        <f>N8*VLOOKUP('Données projet'!$B$9,Paramètres!$A$1:$I$89,3,0)*VLOOKUP('Données projet'!$B$9,Paramètres!$A$1:$I$89,5,0)</f>
        <v>0.68689848943286547</v>
      </c>
      <c r="P8" s="14">
        <f t="shared" si="33"/>
        <v>0.33069705857608689</v>
      </c>
      <c r="Q8" s="22">
        <f t="shared" si="2"/>
        <v>1.772312246115592</v>
      </c>
      <c r="R8" s="62">
        <f t="shared" si="0"/>
        <v>180.56336012256295</v>
      </c>
      <c r="S8" s="62">
        <f ca="1">AVERAGE(OFFSET($R$3,0,0,'Données projet'!$E$9+1,1))-AVERAGE(OFFSET($H$3,0,0,'Données projet'!$E$9+1,1))</f>
        <v>90.580021122303947</v>
      </c>
      <c r="T8" s="62">
        <f t="shared" si="34"/>
        <v>375.77399473907451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1.36</v>
      </c>
      <c r="AI8" s="14">
        <f>IF('Données projet'!$A$62&gt;35,AI7+AH8-AQ7,IF(A8&lt;'Données projet'!$A$62,$AF$205^A8,IF(A8='Données projet'!$A$62,'Données projet'!$B$62,AI7+AH8-AQ7)))</f>
        <v>4.0208975704331564</v>
      </c>
      <c r="AJ8" s="14">
        <f>AI8*VLOOKUP('Données projet'!$B$10,Paramètres!$A$1:$I$89,3,0)*VLOOKUP('Données projet'!$B$10,Paramètres!$A$1:$I$89,5,0)</f>
        <v>2.0574128688392377</v>
      </c>
      <c r="AK8" s="14">
        <f t="shared" si="35"/>
        <v>0.87177196747900487</v>
      </c>
      <c r="AL8" s="22">
        <f t="shared" si="4"/>
        <v>5.1016635899209382</v>
      </c>
      <c r="AM8" s="62">
        <f t="shared" si="5"/>
        <v>183.8927114663683</v>
      </c>
      <c r="AN8" s="62">
        <f ca="1">AVERAGE(OFFSET($AM$3,0,0,'Données projet'!$E$10+1,1))-AVERAGE(OFFSET($H$3,0,0,'Données projet'!$E$10+1,1))</f>
        <v>87.3677313039193</v>
      </c>
      <c r="AO8" s="62">
        <f t="shared" si="36"/>
        <v>326.27342751542903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>
        <f>VLOOKUP(A8,'Données projet'!$A$87:$I$107,2,0)</f>
        <v>21</v>
      </c>
      <c r="BB8" s="13">
        <f>VLOOKUP(A8,'Données projet'!$A$87:$I$107,9,0)</f>
        <v>4.2</v>
      </c>
      <c r="BC8" s="13">
        <f t="array" ref="BC8">INDEX(BB:BB,MIN(IF(ISNUMBER(BB8:BB204),ROW(BB8:BB204),"")))</f>
        <v>4.2</v>
      </c>
      <c r="BD8" s="13">
        <f>IF('Données projet'!$A$88&gt;35,BD7+BC8-BL7,IF(A8&lt;'Données projet'!$A$88,$BA$205^A8,IF(A8='Données projet'!$A$88,'Données projet'!$B$88,BD7+BC8-BL7)))</f>
        <v>21</v>
      </c>
      <c r="BE8" s="14">
        <f>BD8*VLOOKUP('Données projet'!$B$11,Paramètres!$A$1:$I$89,3,0)*VLOOKUP('Données projet'!$B$11,Paramètres!$A$1:$I$89,5,0)</f>
        <v>19.000800000000002</v>
      </c>
      <c r="BF8" s="14">
        <f t="shared" si="37"/>
        <v>6.2154833000252001</v>
      </c>
      <c r="BG8" s="22">
        <f t="shared" si="7"/>
        <v>43.918360080877228</v>
      </c>
      <c r="BH8" s="62">
        <f t="shared" si="8"/>
        <v>222.70940795732457</v>
      </c>
      <c r="BI8" s="62">
        <f ca="1">AVERAGE(OFFSET($BH$3,0,0,'Données projet'!$E$11+1,1))-AVERAGE(OFFSET($H$3,0,0,'Données projet'!$E$11+1,1))</f>
        <v>254.91239442958343</v>
      </c>
      <c r="BJ8" s="62">
        <f t="shared" si="38"/>
        <v>361.41009011468407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2.5813701135521372</v>
      </c>
      <c r="CA8" s="14">
        <f t="shared" si="39"/>
        <v>1.0652780295337991</v>
      </c>
      <c r="CB8" s="22">
        <f t="shared" si="10"/>
        <v>6.3512455158746723</v>
      </c>
      <c r="CC8" s="62">
        <f t="shared" si="11"/>
        <v>185.14229339232202</v>
      </c>
      <c r="CD8" s="62">
        <f ca="1">AVERAGE(OFFSET($CC$3,0,0,'Données projet'!$E$12+1,1))-AVERAGE(OFFSET($H$3,0,0,'Données projet'!$E$12+1,1))</f>
        <v>516.30971934066179</v>
      </c>
      <c r="CE8" s="62">
        <f t="shared" si="40"/>
        <v>290.84286505723571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0.9</v>
      </c>
      <c r="CT8" s="13">
        <f>IF('Données projet'!$A$140&gt;35,CT7+CS8-DB7,IF(A8&lt;'Données projet'!$A$140,$CQ$205^A8,IF(A8='Données projet'!$A$140,'Données projet'!$B$140,CT7+CS8-DB7)))</f>
        <v>2.0597671439071181</v>
      </c>
      <c r="CU8" s="18">
        <f>CT8*VLOOKUP('Données projet'!$B$13,Paramètres!$A$1:$I$89,3,0)*VLOOKUP('Données projet'!$B$13,Paramètres!$A$1:$I$89,5,0)</f>
        <v>1.7994125769172586</v>
      </c>
      <c r="CV8" s="14">
        <f t="shared" si="41"/>
        <v>0.77443611390200762</v>
      </c>
      <c r="CW8" s="22">
        <f t="shared" si="13"/>
        <v>4.4827864698435551</v>
      </c>
      <c r="CX8" s="62">
        <f t="shared" si="14"/>
        <v>183.2738343462909</v>
      </c>
      <c r="CY8" s="62">
        <f ca="1">AVERAGE(OFFSET($CX$3,0,0,'Données projet'!$E$13+1,1))-AVERAGE(OFFSET($H$3,0,0,'Données projet'!$E$13+1,1))</f>
        <v>226.76930997889059</v>
      </c>
      <c r="CZ8" s="62">
        <f t="shared" si="42"/>
        <v>236.36066378969329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1.05</v>
      </c>
      <c r="DO8" s="13">
        <f>IF('Données projet'!$A$166&gt;35,DO7+DN8-DW7,IF(A8&lt;'Données projet'!$A$166,$DL$205^A8,IF(A8='Données projet'!$A$166,'Données projet'!$B$166,DO7+DN8-DW7)))</f>
        <v>2.1406951429280729</v>
      </c>
      <c r="DP8" s="18">
        <f>DO8*VLOOKUP('Données projet'!$B$14,Paramètres!$A$1:$I$89,3,0)*VLOOKUP('Données projet'!$B$14,Paramètres!$A$1:$I$89,5,0)</f>
        <v>2.3042442518477775</v>
      </c>
      <c r="DQ8" s="14">
        <f t="shared" si="43"/>
        <v>0.96356775609780188</v>
      </c>
      <c r="DR8" s="22">
        <f t="shared" si="16"/>
        <v>5.6914392471718847</v>
      </c>
      <c r="DS8" s="62">
        <f t="shared" si="17"/>
        <v>184.48248712361922</v>
      </c>
      <c r="DT8" s="62">
        <f ca="1">AVERAGE(OFFSET($DS$3,0,0,'Données projet'!$E$14+1,1))-AVERAGE(OFFSET($H$3,0,0,'Données projet'!$E$14+1,1))</f>
        <v>315.12428188060306</v>
      </c>
      <c r="DU8" s="62">
        <f t="shared" si="44"/>
        <v>186.08400677811986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2.0085470085470085</v>
      </c>
      <c r="EJ8" s="13">
        <f>IF('Données projet'!$A$192&gt;35,EJ7+EI8-ER7,IF(A8&lt;'Données projet'!$A$192,$EG$205^A8,IF(A8='Données projet'!$A$192,'Données projet'!$B$192,EJ7+EI8-ER7)))</f>
        <v>3.1116524728023753</v>
      </c>
      <c r="EK8" s="18">
        <f>EJ8*VLOOKUP('Données projet'!$B$15,Paramètres!$A$1:$I$89,3,0)*VLOOKUP('Données projet'!$B$15,Paramètres!$A$1:$I$89,5,0)</f>
        <v>3.2522991645730426</v>
      </c>
      <c r="EL8" s="14">
        <f t="shared" si="45"/>
        <v>1.3065426155602187</v>
      </c>
      <c r="EM8" s="22">
        <f t="shared" si="19"/>
        <v>7.9399827670654304</v>
      </c>
      <c r="EN8" s="62">
        <f t="shared" si="20"/>
        <v>186.73103064351278</v>
      </c>
      <c r="EO8" s="62">
        <f ca="1">AVERAGE(OFFSET($EN$3,0,0,'Données projet'!$E$15+1,1))-AVERAGE(OFFSET($H$3,0,0,'Données projet'!$E$15+1,1))</f>
        <v>530.77325763685963</v>
      </c>
      <c r="EP8" s="62">
        <f t="shared" si="46"/>
        <v>344.23100274990145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0.255</v>
      </c>
      <c r="N9" s="14">
        <f>IF('Données projet'!$A$36&gt;35,N8+M9-V8,IF(A9&lt;'Données projet'!$A$36,$K$205^A9,IF(A9='Données projet'!$A$36,'Données projet'!$B$36,N8+M9-V8)))</f>
        <v>1.7069571754573931</v>
      </c>
      <c r="O9" s="14">
        <f>N9*VLOOKUP('Données projet'!$B$9,Paramètres!$A$1:$I$89,3,0)*VLOOKUP('Données projet'!$B$9,Paramètres!$A$1:$I$89,5,0)</f>
        <v>0.75092460062721633</v>
      </c>
      <c r="P9" s="14">
        <f t="shared" si="33"/>
        <v>0.35779064744945471</v>
      </c>
      <c r="Q9" s="22">
        <f t="shared" si="2"/>
        <v>1.9310123904002021</v>
      </c>
      <c r="R9" s="62">
        <f t="shared" si="0"/>
        <v>183.40126448665919</v>
      </c>
      <c r="S9" s="62">
        <f ca="1">AVERAGE(OFFSET($R$3,0,0,'Données projet'!$E$9+1,1))-AVERAGE(OFFSET($H$3,0,0,'Données projet'!$E$9+1,1))</f>
        <v>90.580021122303947</v>
      </c>
      <c r="T9" s="62">
        <f t="shared" si="34"/>
        <v>375.77399473907451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1.36</v>
      </c>
      <c r="AI9" s="14">
        <f>IF('Données projet'!$A$62&gt;35,AI8+AH9-AQ8,IF(A9&lt;'Données projet'!$A$62,$AF$205^A9,IF(A9='Données projet'!$A$62,'Données projet'!$B$62,AI8+AH9-AQ8)))</f>
        <v>5.3111383176746054</v>
      </c>
      <c r="AJ9" s="14">
        <f>AI9*VLOOKUP('Données projet'!$B$10,Paramètres!$A$1:$I$89,3,0)*VLOOKUP('Données projet'!$B$10,Paramètres!$A$1:$I$89,5,0)</f>
        <v>2.7176032543877424</v>
      </c>
      <c r="AK9" s="14">
        <f t="shared" si="35"/>
        <v>1.1148048825243599</v>
      </c>
      <c r="AL9" s="22">
        <f t="shared" si="4"/>
        <v>6.674777505121912</v>
      </c>
      <c r="AM9" s="62">
        <f t="shared" si="5"/>
        <v>188.14502960138088</v>
      </c>
      <c r="AN9" s="62">
        <f ca="1">AVERAGE(OFFSET($AM$3,0,0,'Données projet'!$E$10+1,1))-AVERAGE(OFFSET($H$3,0,0,'Données projet'!$E$10+1,1))</f>
        <v>87.3677313039193</v>
      </c>
      <c r="AO9" s="62">
        <f t="shared" si="36"/>
        <v>326.27342751542903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8.6</v>
      </c>
      <c r="BD9" s="13">
        <f>IF('Données projet'!$A$88&gt;35,BD8+BC9-BL8,IF(A9&lt;'Données projet'!$A$88,$BA$205^A9,IF(A9='Données projet'!$A$88,'Données projet'!$B$88,BD8+BC9-BL8)))</f>
        <v>29.6</v>
      </c>
      <c r="BE9" s="14">
        <f>BD9*VLOOKUP('Données projet'!$B$11,Paramètres!$A$1:$I$89,3,0)*VLOOKUP('Données projet'!$B$11,Paramètres!$A$1:$I$89,5,0)</f>
        <v>26.782080000000001</v>
      </c>
      <c r="BF9" s="14">
        <f t="shared" si="37"/>
        <v>8.4177358032728709</v>
      </c>
      <c r="BG9" s="22">
        <f t="shared" si="7"/>
        <v>61.3063458573669</v>
      </c>
      <c r="BH9" s="62">
        <f t="shared" si="8"/>
        <v>242.77659795362587</v>
      </c>
      <c r="BI9" s="62">
        <f ca="1">AVERAGE(OFFSET($BH$3,0,0,'Données projet'!$E$11+1,1))-AVERAGE(OFFSET($H$3,0,0,'Données projet'!$E$11+1,1))</f>
        <v>254.91239442958343</v>
      </c>
      <c r="BJ9" s="62">
        <f t="shared" si="38"/>
        <v>361.41009011468407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3.111807635605039</v>
      </c>
      <c r="CA9" s="14">
        <f t="shared" si="39"/>
        <v>1.2565452240335246</v>
      </c>
      <c r="CB9" s="22">
        <f t="shared" si="10"/>
        <v>7.6082145638704972</v>
      </c>
      <c r="CC9" s="62">
        <f t="shared" si="11"/>
        <v>189.07846666012946</v>
      </c>
      <c r="CD9" s="62">
        <f ca="1">AVERAGE(OFFSET($CC$3,0,0,'Données projet'!$E$12+1,1))-AVERAGE(OFFSET($H$3,0,0,'Données projet'!$E$12+1,1))</f>
        <v>516.30971934066179</v>
      </c>
      <c r="CE9" s="62">
        <f t="shared" si="40"/>
        <v>290.84286505723571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0.9</v>
      </c>
      <c r="CT9" s="13">
        <f>IF('Données projet'!$A$140&gt;35,CT8+CS9-DB8,IF(A9&lt;'Données projet'!$A$140,$CQ$205^A9,IF(A9='Données projet'!$A$140,'Données projet'!$B$140,CT8+CS9-DB8)))</f>
        <v>2.3800262745964411</v>
      </c>
      <c r="CU9" s="18">
        <f>CT9*VLOOKUP('Données projet'!$B$13,Paramètres!$A$1:$I$89,3,0)*VLOOKUP('Données projet'!$B$13,Paramètres!$A$1:$I$89,5,0)</f>
        <v>2.0791909534874513</v>
      </c>
      <c r="CV9" s="14">
        <f t="shared" si="41"/>
        <v>0.87992070356451979</v>
      </c>
      <c r="CW9" s="22">
        <f t="shared" si="13"/>
        <v>5.1537861360321822</v>
      </c>
      <c r="CX9" s="62">
        <f t="shared" si="14"/>
        <v>186.62403823229116</v>
      </c>
      <c r="CY9" s="62">
        <f ca="1">AVERAGE(OFFSET($CX$3,0,0,'Données projet'!$E$13+1,1))-AVERAGE(OFFSET($H$3,0,0,'Données projet'!$E$13+1,1))</f>
        <v>226.76930997889059</v>
      </c>
      <c r="CZ9" s="62">
        <f t="shared" si="42"/>
        <v>236.36066378969329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1.05</v>
      </c>
      <c r="DO9" s="13">
        <f>IF('Données projet'!$A$166&gt;35,DO8+DN9-DW8,IF(A9&lt;'Données projet'!$A$166,$DL$205^A9,IF(A9='Données projet'!$A$166,'Données projet'!$B$166,DO8+DN9-DW8)))</f>
        <v>2.4926757485402602</v>
      </c>
      <c r="DP9" s="18">
        <f>DO9*VLOOKUP('Données projet'!$B$14,Paramètres!$A$1:$I$89,3,0)*VLOOKUP('Données projet'!$B$14,Paramètres!$A$1:$I$89,5,0)</f>
        <v>2.6831161757287361</v>
      </c>
      <c r="DQ9" s="14">
        <f t="shared" si="43"/>
        <v>1.1022951770008116</v>
      </c>
      <c r="DR9" s="22">
        <f t="shared" si="16"/>
        <v>6.5929247726706288</v>
      </c>
      <c r="DS9" s="62">
        <f t="shared" si="17"/>
        <v>188.06317686892962</v>
      </c>
      <c r="DT9" s="62">
        <f ca="1">AVERAGE(OFFSET($DS$3,0,0,'Données projet'!$E$14+1,1))-AVERAGE(OFFSET($H$3,0,0,'Données projet'!$E$14+1,1))</f>
        <v>315.12428188060306</v>
      </c>
      <c r="DU9" s="62">
        <f t="shared" si="44"/>
        <v>186.08400677811986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2.0085470085470085</v>
      </c>
      <c r="EJ9" s="13">
        <f>IF('Données projet'!$A$192&gt;35,EJ8+EI9-ER8,IF(A9&lt;'Données projet'!$A$192,$EG$205^A9,IF(A9='Données projet'!$A$192,'Données projet'!$B$192,EJ8+EI9-ER8)))</f>
        <v>3.9047146677317404</v>
      </c>
      <c r="EK9" s="18">
        <f>EJ9*VLOOKUP('Données projet'!$B$15,Paramètres!$A$1:$I$89,3,0)*VLOOKUP('Données projet'!$B$15,Paramètres!$A$1:$I$89,5,0)</f>
        <v>4.0812077707132151</v>
      </c>
      <c r="EL9" s="14">
        <f t="shared" si="45"/>
        <v>1.5967795593792025</v>
      </c>
      <c r="EM9" s="22">
        <f t="shared" si="19"/>
        <v>9.8891612665776254</v>
      </c>
      <c r="EN9" s="62">
        <f t="shared" si="20"/>
        <v>191.35941336283659</v>
      </c>
      <c r="EO9" s="62">
        <f ca="1">AVERAGE(OFFSET($EN$3,0,0,'Données projet'!$E$15+1,1))-AVERAGE(OFFSET($H$3,0,0,'Données projet'!$E$15+1,1))</f>
        <v>530.77325763685963</v>
      </c>
      <c r="EP9" s="62">
        <f t="shared" si="46"/>
        <v>344.23100274990145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0.255</v>
      </c>
      <c r="N10" s="14">
        <f>IF('Données projet'!$A$36&gt;35,N9+M10-V9,IF(A10&lt;'Données projet'!$A$36,$K$205^A10,IF(A10='Données projet'!$A$36,'Données projet'!$B$36,N9+M10-V9)))</f>
        <v>1.8660634067290105</v>
      </c>
      <c r="O10" s="14">
        <f>N10*VLOOKUP('Données projet'!$B$9,Paramètres!$A$1:$I$89,3,0)*VLOOKUP('Données projet'!$B$9,Paramètres!$A$1:$I$89,5,0)</f>
        <v>0.82091861388822629</v>
      </c>
      <c r="P10" s="14">
        <f t="shared" si="33"/>
        <v>0.38710397955610004</v>
      </c>
      <c r="Q10" s="22">
        <f t="shared" si="2"/>
        <v>2.1039726835822012</v>
      </c>
      <c r="R10" s="62">
        <f t="shared" si="0"/>
        <v>186.22815361931845</v>
      </c>
      <c r="S10" s="62">
        <f ca="1">AVERAGE(OFFSET($R$3,0,0,'Données projet'!$E$9+1,1))-AVERAGE(OFFSET($H$3,0,0,'Données projet'!$E$9+1,1))</f>
        <v>90.580021122303947</v>
      </c>
      <c r="T10" s="62">
        <f t="shared" si="34"/>
        <v>375.77399473907451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1.36</v>
      </c>
      <c r="AI10" s="14">
        <f>IF('Données projet'!$A$62&gt;35,AI9+AH10-AQ9,IF(A10&lt;'Données projet'!$A$62,$AF$205^A10,IF(A10='Données projet'!$A$62,'Données projet'!$B$62,AI9+AH10-AQ9)))</f>
        <v>7.0153963724155934</v>
      </c>
      <c r="AJ10" s="14">
        <f>AI10*VLOOKUP('Données projet'!$B$10,Paramètres!$A$1:$I$89,3,0)*VLOOKUP('Données projet'!$B$10,Paramètres!$A$1:$I$89,5,0)</f>
        <v>3.5896380158376107</v>
      </c>
      <c r="AK10" s="14">
        <f t="shared" si="35"/>
        <v>1.4255906044949558</v>
      </c>
      <c r="AL10" s="22">
        <f t="shared" si="4"/>
        <v>8.7348565137458856</v>
      </c>
      <c r="AM10" s="62">
        <f t="shared" si="5"/>
        <v>192.85903744948212</v>
      </c>
      <c r="AN10" s="62">
        <f ca="1">AVERAGE(OFFSET($AM$3,0,0,'Données projet'!$E$10+1,1))-AVERAGE(OFFSET($H$3,0,0,'Données projet'!$E$10+1,1))</f>
        <v>87.3677313039193</v>
      </c>
      <c r="AO10" s="62">
        <f t="shared" si="36"/>
        <v>326.27342751542903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8.6</v>
      </c>
      <c r="BD10" s="13">
        <f>IF('Données projet'!$A$88&gt;35,BD9+BC10-BL9,IF(A10&lt;'Données projet'!$A$88,$BA$205^A10,IF(A10='Données projet'!$A$88,'Données projet'!$B$88,BD9+BC10-BL9)))</f>
        <v>38.200000000000003</v>
      </c>
      <c r="BE10" s="14">
        <f>BD10*VLOOKUP('Données projet'!$B$11,Paramètres!$A$1:$I$89,3,0)*VLOOKUP('Données projet'!$B$11,Paramètres!$A$1:$I$89,5,0)</f>
        <v>34.563359999999996</v>
      </c>
      <c r="BF10" s="14">
        <f t="shared" si="37"/>
        <v>10.545644394172195</v>
      </c>
      <c r="BG10" s="22">
        <f t="shared" si="7"/>
        <v>78.564849319849884</v>
      </c>
      <c r="BH10" s="62">
        <f t="shared" si="8"/>
        <v>262.68903025558609</v>
      </c>
      <c r="BI10" s="62">
        <f ca="1">AVERAGE(OFFSET($BH$3,0,0,'Données projet'!$E$11+1,1))-AVERAGE(OFFSET($H$3,0,0,'Données projet'!$E$11+1,1))</f>
        <v>254.91239442958343</v>
      </c>
      <c r="BJ10" s="62">
        <f t="shared" si="38"/>
        <v>361.41009011468407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3.7512430744326299</v>
      </c>
      <c r="CA10" s="14">
        <f t="shared" si="39"/>
        <v>1.4821538192545303</v>
      </c>
      <c r="CB10" s="22">
        <f t="shared" si="10"/>
        <v>9.1148329231718037</v>
      </c>
      <c r="CC10" s="62">
        <f t="shared" si="11"/>
        <v>193.23901385890804</v>
      </c>
      <c r="CD10" s="62">
        <f ca="1">AVERAGE(OFFSET($CC$3,0,0,'Données projet'!$E$12+1,1))-AVERAGE(OFFSET($H$3,0,0,'Données projet'!$E$12+1,1))</f>
        <v>516.30971934066179</v>
      </c>
      <c r="CE10" s="62">
        <f t="shared" si="40"/>
        <v>290.84286505723571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0.9</v>
      </c>
      <c r="CT10" s="13">
        <f>IF('Données projet'!$A$140&gt;35,CT9+CS10-DB9,IF(A10&lt;'Données projet'!$A$140,$CQ$205^A10,IF(A10='Données projet'!$A$140,'Données projet'!$B$140,CT9+CS10-DB9)))</f>
        <v>2.7500803110319185</v>
      </c>
      <c r="CU10" s="18">
        <f>CT10*VLOOKUP('Données projet'!$B$13,Paramètres!$A$1:$I$89,3,0)*VLOOKUP('Données projet'!$B$13,Paramètres!$A$1:$I$89,5,0)</f>
        <v>2.4024701597174842</v>
      </c>
      <c r="CV10" s="14">
        <f t="shared" si="41"/>
        <v>0.9997731648390682</v>
      </c>
      <c r="CW10" s="22">
        <f t="shared" si="13"/>
        <v>5.9255737902693291</v>
      </c>
      <c r="CX10" s="62">
        <f t="shared" si="14"/>
        <v>190.04975472600557</v>
      </c>
      <c r="CY10" s="62">
        <f ca="1">AVERAGE(OFFSET($CX$3,0,0,'Données projet'!$E$13+1,1))-AVERAGE(OFFSET($H$3,0,0,'Données projet'!$E$13+1,1))</f>
        <v>226.76930997889059</v>
      </c>
      <c r="CZ10" s="62">
        <f t="shared" si="42"/>
        <v>236.36066378969329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1.05</v>
      </c>
      <c r="DO10" s="13">
        <f>IF('Données projet'!$A$166&gt;35,DO9+DN10-DW9,IF(A10&lt;'Données projet'!$A$166,$DL$205^A10,IF(A10='Données projet'!$A$166,'Données projet'!$B$166,DO9+DN10-DW9)))</f>
        <v>2.9025302401826014</v>
      </c>
      <c r="DP10" s="18">
        <f>DO10*VLOOKUP('Données projet'!$B$14,Paramètres!$A$1:$I$89,3,0)*VLOOKUP('Données projet'!$B$14,Paramètres!$A$1:$I$89,5,0)</f>
        <v>3.1242835505325521</v>
      </c>
      <c r="DQ10" s="14">
        <f t="shared" si="43"/>
        <v>1.2609955548532519</v>
      </c>
      <c r="DR10" s="22">
        <f t="shared" si="16"/>
        <v>7.6376944418802752</v>
      </c>
      <c r="DS10" s="62">
        <f t="shared" si="17"/>
        <v>191.76187537761652</v>
      </c>
      <c r="DT10" s="62">
        <f ca="1">AVERAGE(OFFSET($DS$3,0,0,'Données projet'!$E$14+1,1))-AVERAGE(OFFSET($H$3,0,0,'Données projet'!$E$14+1,1))</f>
        <v>315.12428188060306</v>
      </c>
      <c r="DU10" s="62">
        <f t="shared" si="44"/>
        <v>186.08400677811986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2.0085470085470085</v>
      </c>
      <c r="EJ10" s="13">
        <f>IF('Données projet'!$A$192&gt;35,EJ9+EI10-ER9,IF(A10&lt;'Données projet'!$A$192,$EG$205^A10,IF(A10='Données projet'!$A$192,'Données projet'!$B$192,EJ9+EI10-ER9)))</f>
        <v>4.899903433839456</v>
      </c>
      <c r="EK10" s="18">
        <f>EJ10*VLOOKUP('Données projet'!$B$15,Paramètres!$A$1:$I$89,3,0)*VLOOKUP('Données projet'!$B$15,Paramètres!$A$1:$I$89,5,0)</f>
        <v>5.1213790690489995</v>
      </c>
      <c r="EL10" s="14">
        <f t="shared" si="45"/>
        <v>1.9514900860374758</v>
      </c>
      <c r="EM10" s="22">
        <f t="shared" si="19"/>
        <v>12.318580445108942</v>
      </c>
      <c r="EN10" s="62">
        <f t="shared" si="20"/>
        <v>196.44276138084518</v>
      </c>
      <c r="EO10" s="62">
        <f ca="1">AVERAGE(OFFSET($EN$3,0,0,'Données projet'!$E$15+1,1))-AVERAGE(OFFSET($H$3,0,0,'Données projet'!$E$15+1,1))</f>
        <v>530.77325763685963</v>
      </c>
      <c r="EP10" s="62">
        <f t="shared" si="46"/>
        <v>344.23100274990145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2.04</v>
      </c>
      <c r="L11" s="13">
        <f>VLOOKUP(A11,'Données projet'!$A$35:$I$55,9,0)</f>
        <v>0.255</v>
      </c>
      <c r="M11" s="13">
        <f t="array" ref="M11">INDEX(L:L,MIN(IF(ISNUMBER(L11:L207),ROW(L11:L207),"")))</f>
        <v>0.255</v>
      </c>
      <c r="N11" s="14">
        <f>IF('Données projet'!$A$36&gt;35,N10+M11-V10,IF(A11&lt;'Données projet'!$A$36,$K$205^A11,IF(A11='Données projet'!$A$36,'Données projet'!$B$36,N10+M11-V10)))</f>
        <v>2.04</v>
      </c>
      <c r="O11" s="14">
        <f>N11*VLOOKUP('Données projet'!$B$9,Paramètres!$A$1:$I$89,3,0)*VLOOKUP('Données projet'!$B$9,Paramètres!$A$1:$I$89,5,0)</f>
        <v>0.89743679999999992</v>
      </c>
      <c r="P11" s="14">
        <f t="shared" si="33"/>
        <v>0.4188189156323292</v>
      </c>
      <c r="Q11" s="22">
        <f t="shared" si="2"/>
        <v>2.2924787047263067</v>
      </c>
      <c r="R11" s="62">
        <f t="shared" si="0"/>
        <v>189.04575157094686</v>
      </c>
      <c r="S11" s="62">
        <f ca="1">AVERAGE(OFFSET($R$3,0,0,'Données projet'!$E$9+1,1))-AVERAGE(OFFSET($H$3,0,0,'Données projet'!$E$9+1,1))</f>
        <v>90.580021122303947</v>
      </c>
      <c r="T11" s="62">
        <f t="shared" si="34"/>
        <v>375.77399473907451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1.36</v>
      </c>
      <c r="AI11" s="14">
        <f>IF('Données projet'!$A$62&gt;35,AI10+AH11-AQ10,IF(A11&lt;'Données projet'!$A$62,$AF$205^A11,IF(A11='Données projet'!$A$62,'Données projet'!$B$62,AI10+AH11-AQ10)))</f>
        <v>9.2665231666664987</v>
      </c>
      <c r="AJ11" s="14">
        <f>AI11*VLOOKUP('Données projet'!$B$10,Paramètres!$A$1:$I$89,3,0)*VLOOKUP('Données projet'!$B$10,Paramètres!$A$1:$I$89,5,0)</f>
        <v>4.7414945739199137</v>
      </c>
      <c r="AK11" s="14">
        <f t="shared" si="35"/>
        <v>1.8230172862378773</v>
      </c>
      <c r="AL11" s="22">
        <f t="shared" si="4"/>
        <v>11.433191489774819</v>
      </c>
      <c r="AM11" s="62">
        <f t="shared" si="5"/>
        <v>198.18646435599538</v>
      </c>
      <c r="AN11" s="62">
        <f ca="1">AVERAGE(OFFSET($AM$3,0,0,'Données projet'!$E$10+1,1))-AVERAGE(OFFSET($H$3,0,0,'Données projet'!$E$10+1,1))</f>
        <v>87.3677313039193</v>
      </c>
      <c r="AO11" s="62">
        <f t="shared" si="36"/>
        <v>326.27342751542903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8.6</v>
      </c>
      <c r="BD11" s="13">
        <f>IF('Données projet'!$A$88&gt;35,BD10+BC11-BL10,IF(A11&lt;'Données projet'!$A$88,$BA$205^A11,IF(A11='Données projet'!$A$88,'Données projet'!$B$88,BD10+BC11-BL10)))</f>
        <v>46.800000000000004</v>
      </c>
      <c r="BE11" s="14">
        <f>BD11*VLOOKUP('Données projet'!$B$11,Paramètres!$A$1:$I$89,3,0)*VLOOKUP('Données projet'!$B$11,Paramètres!$A$1:$I$89,5,0)</f>
        <v>42.344640000000005</v>
      </c>
      <c r="BF11" s="14">
        <f t="shared" si="37"/>
        <v>12.618018821035809</v>
      </c>
      <c r="BG11" s="22">
        <f t="shared" si="7"/>
        <v>95.726630779970719</v>
      </c>
      <c r="BH11" s="62">
        <f t="shared" si="8"/>
        <v>282.47990364619125</v>
      </c>
      <c r="BI11" s="62">
        <f ca="1">AVERAGE(OFFSET($BH$3,0,0,'Données projet'!$E$11+1,1))-AVERAGE(OFFSET($H$3,0,0,'Données projet'!$E$11+1,1))</f>
        <v>254.91239442958343</v>
      </c>
      <c r="BJ11" s="62">
        <f t="shared" si="38"/>
        <v>361.41009011468407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4.5220740647558486</v>
      </c>
      <c r="CA11" s="14">
        <f t="shared" si="39"/>
        <v>1.7482697016499746</v>
      </c>
      <c r="CB11" s="22">
        <f t="shared" si="10"/>
        <v>10.92084872649014</v>
      </c>
      <c r="CC11" s="62">
        <f t="shared" si="11"/>
        <v>197.67412159271069</v>
      </c>
      <c r="CD11" s="62">
        <f ca="1">AVERAGE(OFFSET($CC$3,0,0,'Données projet'!$E$12+1,1))-AVERAGE(OFFSET($H$3,0,0,'Données projet'!$E$12+1,1))</f>
        <v>516.30971934066179</v>
      </c>
      <c r="CE11" s="62">
        <f t="shared" si="40"/>
        <v>290.84286505723571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0.9</v>
      </c>
      <c r="CT11" s="13">
        <f>IF('Données projet'!$A$140&gt;35,CT10+CS11-DB10,IF(A11&lt;'Données projet'!$A$140,$CQ$205^A11,IF(A11='Données projet'!$A$140,'Données projet'!$B$140,CT10+CS11-DB10)))</f>
        <v>3.1776715231464374</v>
      </c>
      <c r="CU11" s="18">
        <f>CT11*VLOOKUP('Données projet'!$B$13,Paramètres!$A$1:$I$89,3,0)*VLOOKUP('Données projet'!$B$13,Paramètres!$A$1:$I$89,5,0)</f>
        <v>2.7760138426207281</v>
      </c>
      <c r="CV11" s="14">
        <f t="shared" si="41"/>
        <v>1.135950520408497</v>
      </c>
      <c r="CW11" s="22">
        <f t="shared" si="13"/>
        <v>6.8133379322758998</v>
      </c>
      <c r="CX11" s="62">
        <f t="shared" si="14"/>
        <v>193.56661079849647</v>
      </c>
      <c r="CY11" s="62">
        <f ca="1">AVERAGE(OFFSET($CX$3,0,0,'Données projet'!$E$13+1,1))-AVERAGE(OFFSET($H$3,0,0,'Données projet'!$E$13+1,1))</f>
        <v>226.76930997889059</v>
      </c>
      <c r="CZ11" s="62">
        <f t="shared" si="42"/>
        <v>236.36066378969329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1.05</v>
      </c>
      <c r="DO11" s="13">
        <f>IF('Données projet'!$A$166&gt;35,DO10+DN11-DW10,IF(A11&lt;'Données projet'!$A$166,$DL$205^A11,IF(A11='Données projet'!$A$166,'Données projet'!$B$166,DO10+DN11-DW10)))</f>
        <v>3.3797744452354301</v>
      </c>
      <c r="DP11" s="18">
        <f>DO11*VLOOKUP('Données projet'!$B$14,Paramètres!$A$1:$I$89,3,0)*VLOOKUP('Données projet'!$B$14,Paramètres!$A$1:$I$89,5,0)</f>
        <v>3.6379892128514166</v>
      </c>
      <c r="DQ11" s="14">
        <f t="shared" si="43"/>
        <v>1.4425444495603463</v>
      </c>
      <c r="DR11" s="22">
        <f t="shared" si="16"/>
        <v>8.8485961287004873</v>
      </c>
      <c r="DS11" s="62">
        <f t="shared" si="17"/>
        <v>195.60186899492103</v>
      </c>
      <c r="DT11" s="62">
        <f ca="1">AVERAGE(OFFSET($DS$3,0,0,'Données projet'!$E$14+1,1))-AVERAGE(OFFSET($H$3,0,0,'Données projet'!$E$14+1,1))</f>
        <v>315.12428188060306</v>
      </c>
      <c r="DU11" s="62">
        <f t="shared" si="44"/>
        <v>186.08400677811986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2.0085470085470085</v>
      </c>
      <c r="EJ11" s="13">
        <f>IF('Données projet'!$A$192&gt;35,EJ10+EI11-ER10,IF(A11&lt;'Données projet'!$A$192,$EG$205^A11,IF(A11='Données projet'!$A$192,'Données projet'!$B$192,EJ10+EI11-ER10)))</f>
        <v>6.1487344669152542</v>
      </c>
      <c r="EK11" s="18">
        <f>EJ11*VLOOKUP('Données projet'!$B$15,Paramètres!$A$1:$I$89,3,0)*VLOOKUP('Données projet'!$B$15,Paramètres!$A$1:$I$89,5,0)</f>
        <v>6.4266572648198244</v>
      </c>
      <c r="EL11" s="14">
        <f t="shared" si="45"/>
        <v>2.3849964345630501</v>
      </c>
      <c r="EM11" s="22">
        <f t="shared" si="19"/>
        <v>15.346963526425172</v>
      </c>
      <c r="EN11" s="62">
        <f t="shared" si="20"/>
        <v>202.10023639264574</v>
      </c>
      <c r="EO11" s="62">
        <f ca="1">AVERAGE(OFFSET($EN$3,0,0,'Données projet'!$E$15+1,1))-AVERAGE(OFFSET($H$3,0,0,'Données projet'!$E$15+1,1))</f>
        <v>530.77325763685963</v>
      </c>
      <c r="EP11" s="62">
        <f t="shared" si="46"/>
        <v>344.23100274990145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18.36</v>
      </c>
      <c r="L12" s="13">
        <f>VLOOKUP(A12,'Données projet'!$A$35:$I$55,9,0)</f>
        <v>16.32</v>
      </c>
      <c r="M12" s="13">
        <f t="array" ref="M12">INDEX(L:L,MIN(IF(ISNUMBER(L12:L208),ROW(L12:L208),"")))</f>
        <v>16.32</v>
      </c>
      <c r="N12" s="14">
        <f>IF('Données projet'!$A$36&gt;35,N11+M12-V11,IF(A12&lt;'Données projet'!$A$36,$K$205^A12,IF(A12='Données projet'!$A$36,'Données projet'!$B$36,N11+M12-V11)))</f>
        <v>18.36</v>
      </c>
      <c r="O12" s="14">
        <f>N12*VLOOKUP('Données projet'!$B$9,Paramètres!$A$1:$I$89,3,0)*VLOOKUP('Données projet'!$B$9,Paramètres!$A$1:$I$89,5,0)</f>
        <v>8.0769311999999989</v>
      </c>
      <c r="P12" s="14">
        <f t="shared" si="33"/>
        <v>2.918737038910193</v>
      </c>
      <c r="Q12" s="22">
        <f t="shared" si="2"/>
        <v>19.150788849435248</v>
      </c>
      <c r="R12" s="62">
        <f t="shared" si="0"/>
        <v>208.50874760199133</v>
      </c>
      <c r="S12" s="62">
        <f ca="1">AVERAGE(OFFSET($R$3,0,0,'Données projet'!$E$9+1,1))-AVERAGE(OFFSET($H$3,0,0,'Données projet'!$E$9+1,1))</f>
        <v>90.580021122303947</v>
      </c>
      <c r="T12" s="62">
        <f t="shared" si="34"/>
        <v>375.77399473907451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12.24</v>
      </c>
      <c r="AG12" s="13">
        <f>VLOOKUP(A12,'Données projet'!$A$61:$I$81,9,0)</f>
        <v>1.36</v>
      </c>
      <c r="AH12" s="13">
        <f t="array" ref="AH12">INDEX(AG:AG,MIN(IF(ISNUMBER(AG12:AG208),ROW(AG12:AG208),"")))</f>
        <v>1.36</v>
      </c>
      <c r="AI12" s="14">
        <f>IF('Données projet'!$A$62&gt;35,AI11+AH12-AQ11,IF(A12&lt;'Données projet'!$A$62,$AF$205^A12,IF(A12='Données projet'!$A$62,'Données projet'!$B$62,AI11+AH12-AQ11)))</f>
        <v>12.24</v>
      </c>
      <c r="AJ12" s="14">
        <f>AI12*VLOOKUP('Données projet'!$B$10,Paramètres!$A$1:$I$89,3,0)*VLOOKUP('Données projet'!$B$10,Paramètres!$A$1:$I$89,5,0)</f>
        <v>6.2629632000000006</v>
      </c>
      <c r="AK12" s="14">
        <f t="shared" si="35"/>
        <v>2.331238726913111</v>
      </c>
      <c r="AL12" s="22">
        <f t="shared" si="4"/>
        <v>14.968235022707001</v>
      </c>
      <c r="AM12" s="62">
        <f t="shared" si="5"/>
        <v>204.32619377526308</v>
      </c>
      <c r="AN12" s="62">
        <f ca="1">AVERAGE(OFFSET($AM$3,0,0,'Données projet'!$E$10+1,1))-AVERAGE(OFFSET($H$3,0,0,'Données projet'!$E$10+1,1))</f>
        <v>87.3677313039193</v>
      </c>
      <c r="AO12" s="62">
        <f t="shared" si="36"/>
        <v>326.27342751542903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8.6</v>
      </c>
      <c r="BD12" s="13">
        <f>IF('Données projet'!$A$88&gt;35,BD11+BC12-BL11,IF(A12&lt;'Données projet'!$A$88,$BA$205^A12,IF(A12='Données projet'!$A$88,'Données projet'!$B$88,BD11+BC12-BL11)))</f>
        <v>55.400000000000006</v>
      </c>
      <c r="BE12" s="14">
        <f>BD12*VLOOKUP('Données projet'!$B$11,Paramètres!$A$1:$I$89,3,0)*VLOOKUP('Données projet'!$B$11,Paramètres!$A$1:$I$89,5,0)</f>
        <v>50.125920000000001</v>
      </c>
      <c r="BF12" s="14">
        <f t="shared" si="37"/>
        <v>14.646274290627822</v>
      </c>
      <c r="BG12" s="22">
        <f t="shared" si="7"/>
        <v>112.81157172284345</v>
      </c>
      <c r="BH12" s="62">
        <f t="shared" si="8"/>
        <v>302.16953047539954</v>
      </c>
      <c r="BI12" s="62">
        <f ca="1">AVERAGE(OFFSET($BH$3,0,0,'Données projet'!$E$11+1,1))-AVERAGE(OFFSET($H$3,0,0,'Données projet'!$E$11+1,1))</f>
        <v>254.91239442958343</v>
      </c>
      <c r="BJ12" s="62">
        <f t="shared" si="38"/>
        <v>361.41009011468407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5.4513006599100189</v>
      </c>
      <c r="CA12" s="14">
        <f t="shared" si="39"/>
        <v>2.062165822468125</v>
      </c>
      <c r="CB12" s="22">
        <f t="shared" si="10"/>
        <v>13.085954123475267</v>
      </c>
      <c r="CC12" s="62">
        <f t="shared" si="11"/>
        <v>202.44391287603133</v>
      </c>
      <c r="CD12" s="62">
        <f ca="1">AVERAGE(OFFSET($CC$3,0,0,'Données projet'!$E$12+1,1))-AVERAGE(OFFSET($H$3,0,0,'Données projet'!$E$12+1,1))</f>
        <v>516.30971934066179</v>
      </c>
      <c r="CE12" s="62">
        <f t="shared" si="40"/>
        <v>290.84286505723571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0.9</v>
      </c>
      <c r="CT12" s="13">
        <f>IF('Données projet'!$A$140&gt;35,CT11+CS12-DB11,IF(A12&lt;'Données projet'!$A$140,$CQ$205^A12,IF(A12='Données projet'!$A$140,'Données projet'!$B$140,CT11+CS12-DB11)))</f>
        <v>3.6717459735664435</v>
      </c>
      <c r="CU12" s="18">
        <f>CT12*VLOOKUP('Données projet'!$B$13,Paramètres!$A$1:$I$89,3,0)*VLOOKUP('Données projet'!$B$13,Paramètres!$A$1:$I$89,5,0)</f>
        <v>3.2076372825076458</v>
      </c>
      <c r="CV12" s="14">
        <f t="shared" si="41"/>
        <v>1.290676355595167</v>
      </c>
      <c r="CW12" s="22">
        <f t="shared" si="13"/>
        <v>7.834562919695732</v>
      </c>
      <c r="CX12" s="62">
        <f t="shared" si="14"/>
        <v>197.19252167225181</v>
      </c>
      <c r="CY12" s="62">
        <f ca="1">AVERAGE(OFFSET($CX$3,0,0,'Données projet'!$E$13+1,1))-AVERAGE(OFFSET($H$3,0,0,'Données projet'!$E$13+1,1))</f>
        <v>226.76930997889059</v>
      </c>
      <c r="CZ12" s="62">
        <f t="shared" si="42"/>
        <v>236.36066378969329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1.05</v>
      </c>
      <c r="DO12" s="13">
        <f>IF('Données projet'!$A$166&gt;35,DO11+DN12-DW11,IF(A12&lt;'Données projet'!$A$166,$DL$205^A12,IF(A12='Données projet'!$A$166,'Données projet'!$B$166,DO11+DN12-DW11)))</f>
        <v>3.9354888168013828</v>
      </c>
      <c r="DP12" s="18">
        <f>DO12*VLOOKUP('Données projet'!$B$14,Paramètres!$A$1:$I$89,3,0)*VLOOKUP('Données projet'!$B$14,Paramètres!$A$1:$I$89,5,0)</f>
        <v>4.2361601624050085</v>
      </c>
      <c r="DQ12" s="14">
        <f t="shared" si="43"/>
        <v>1.6502314230596411</v>
      </c>
      <c r="DR12" s="22">
        <f t="shared" si="16"/>
        <v>10.252132011350932</v>
      </c>
      <c r="DS12" s="62">
        <f t="shared" si="17"/>
        <v>199.61009076390701</v>
      </c>
      <c r="DT12" s="62">
        <f ca="1">AVERAGE(OFFSET($DS$3,0,0,'Données projet'!$E$14+1,1))-AVERAGE(OFFSET($H$3,0,0,'Données projet'!$E$14+1,1))</f>
        <v>315.12428188060306</v>
      </c>
      <c r="DU12" s="62">
        <f t="shared" si="44"/>
        <v>186.08400677811986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2.0085470085470085</v>
      </c>
      <c r="EJ12" s="13">
        <f>IF('Données projet'!$A$192&gt;35,EJ11+EI12-ER11,IF(A12&lt;'Données projet'!$A$192,$EG$205^A12,IF(A12='Données projet'!$A$192,'Données projet'!$B$192,EJ11+EI12-ER11)))</f>
        <v>7.715853190806035</v>
      </c>
      <c r="EK12" s="18">
        <f>EJ12*VLOOKUP('Données projet'!$B$15,Paramètres!$A$1:$I$89,3,0)*VLOOKUP('Données projet'!$B$15,Paramètres!$A$1:$I$89,5,0)</f>
        <v>8.0646097550304692</v>
      </c>
      <c r="EL12" s="14">
        <f t="shared" si="45"/>
        <v>2.9148024033411493</v>
      </c>
      <c r="EM12" s="22">
        <f t="shared" si="19"/>
        <v>19.122476175830567</v>
      </c>
      <c r="EN12" s="62">
        <f t="shared" si="20"/>
        <v>208.48043492838664</v>
      </c>
      <c r="EO12" s="62">
        <f ca="1">AVERAGE(OFFSET($EN$3,0,0,'Données projet'!$E$15+1,1))-AVERAGE(OFFSET($H$3,0,0,'Données projet'!$E$15+1,1))</f>
        <v>530.77325763685963</v>
      </c>
      <c r="EP12" s="62">
        <f t="shared" si="46"/>
        <v>344.23100274990145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38.76</v>
      </c>
      <c r="L13" s="13">
        <f>VLOOKUP(A13,'Données projet'!$A$35:$I$55,9,0)</f>
        <v>20.399999999999999</v>
      </c>
      <c r="M13" s="13">
        <f t="array" ref="M13">INDEX(L:L,MIN(IF(ISNUMBER(L13:L209),ROW(L13:L209),"")))</f>
        <v>20.399999999999999</v>
      </c>
      <c r="N13" s="14">
        <f>IF('Données projet'!$A$36&gt;35,N12+M13-V12,IF(A13&lt;'Données projet'!$A$36,$K$205^A13,IF(A13='Données projet'!$A$36,'Données projet'!$B$36,N12+M13-V12)))</f>
        <v>38.76</v>
      </c>
      <c r="O13" s="14">
        <f>N13*VLOOKUP('Données projet'!$B$9,Paramètres!$A$1:$I$89,3,0)*VLOOKUP('Données projet'!$B$9,Paramètres!$A$1:$I$89,5,0)</f>
        <v>17.051299199999999</v>
      </c>
      <c r="P13" s="14">
        <f t="shared" si="33"/>
        <v>5.6484978765440186</v>
      </c>
      <c r="Q13" s="22">
        <f t="shared" si="2"/>
        <v>39.535479908314166</v>
      </c>
      <c r="R13" s="62">
        <f t="shared" si="0"/>
        <v>231.47414189335905</v>
      </c>
      <c r="S13" s="62">
        <f ca="1">AVERAGE(OFFSET($R$3,0,0,'Données projet'!$E$9+1,1))-AVERAGE(OFFSET($H$3,0,0,'Données projet'!$E$9+1,1))</f>
        <v>90.580021122303947</v>
      </c>
      <c r="T13" s="62">
        <f t="shared" si="34"/>
        <v>375.77399473907451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32.64</v>
      </c>
      <c r="AG13" s="13">
        <f>VLOOKUP(A13,'Données projet'!$A$61:$I$81,9,0)</f>
        <v>20.399999999999999</v>
      </c>
      <c r="AH13" s="13">
        <f t="array" ref="AH13">INDEX(AG:AG,MIN(IF(ISNUMBER(AG13:AG209),ROW(AG13:AG209),"")))</f>
        <v>20.399999999999999</v>
      </c>
      <c r="AI13" s="14">
        <f>IF('Données projet'!$A$62&gt;35,AI12+AH13-AQ12,IF(A13&lt;'Données projet'!$A$62,$AF$205^A13,IF(A13='Données projet'!$A$62,'Données projet'!$B$62,AI12+AH13-AQ12)))</f>
        <v>32.64</v>
      </c>
      <c r="AJ13" s="14">
        <f>AI13*VLOOKUP('Données projet'!$B$10,Paramètres!$A$1:$I$89,3,0)*VLOOKUP('Données projet'!$B$10,Paramètres!$A$1:$I$89,5,0)</f>
        <v>16.701235200000003</v>
      </c>
      <c r="AK13" s="14">
        <f t="shared" si="35"/>
        <v>5.5459087664181963</v>
      </c>
      <c r="AL13" s="22">
        <f t="shared" si="4"/>
        <v>38.747109074845028</v>
      </c>
      <c r="AM13" s="62">
        <f t="shared" si="5"/>
        <v>230.68577105988993</v>
      </c>
      <c r="AN13" s="62">
        <f ca="1">AVERAGE(OFFSET($AM$3,0,0,'Données projet'!$E$10+1,1))-AVERAGE(OFFSET($H$3,0,0,'Données projet'!$E$10+1,1))</f>
        <v>87.3677313039193</v>
      </c>
      <c r="AO13" s="62">
        <f t="shared" si="36"/>
        <v>326.27342751542903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64</v>
      </c>
      <c r="BB13" s="13">
        <f>VLOOKUP(A13,'Données projet'!$A$87:$I$107,9,0)</f>
        <v>8.6</v>
      </c>
      <c r="BC13" s="13">
        <f t="array" ref="BC13">INDEX(BB:BB,MIN(IF(ISNUMBER(BB13:BB209),ROW(BB13:BB209),"")))</f>
        <v>8.6</v>
      </c>
      <c r="BD13" s="13">
        <f>IF('Données projet'!$A$88&gt;35,BD12+BC13-BL12,IF(A13&lt;'Données projet'!$A$88,$BA$205^A13,IF(A13='Données projet'!$A$88,'Données projet'!$B$88,BD12+BC13-BL12)))</f>
        <v>64</v>
      </c>
      <c r="BE13" s="14">
        <f>BD13*VLOOKUP('Données projet'!$B$11,Paramètres!$A$1:$I$89,3,0)*VLOOKUP('Données projet'!$B$11,Paramètres!$A$1:$I$89,5,0)</f>
        <v>57.907199999999996</v>
      </c>
      <c r="BF13" s="14">
        <f t="shared" si="37"/>
        <v>16.638055172386</v>
      </c>
      <c r="BG13" s="22">
        <f t="shared" si="7"/>
        <v>129.83298609190561</v>
      </c>
      <c r="BH13" s="62">
        <f t="shared" si="8"/>
        <v>321.7716480769505</v>
      </c>
      <c r="BI13" s="62">
        <f ca="1">AVERAGE(OFFSET($BH$3,0,0,'Données projet'!$E$11+1,1))-AVERAGE(OFFSET($H$3,0,0,'Données projet'!$E$11+1,1))</f>
        <v>254.91239442958343</v>
      </c>
      <c r="BJ13" s="62">
        <f t="shared" si="38"/>
        <v>361.41009011468407</v>
      </c>
      <c r="BK13" s="16">
        <f>IF(ISNA(VLOOKUP(A13,'Données projet'!$A$87:$I$107,3,0)),0,VLOOKUP(A13,'Données projet'!$A$87:$I$107,3,0))</f>
        <v>1</v>
      </c>
      <c r="BL13" s="16">
        <f>IF(ISNA(VLOOKUP(A13,'Données projet'!$A$87:$I$107,4,0)),0,VLOOKUP(A13,'Données projet'!$A$87:$I$107,4,0))</f>
        <v>17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6.5714710681855761</v>
      </c>
      <c r="CA13" s="14">
        <f t="shared" si="39"/>
        <v>2.4324209676242781</v>
      </c>
      <c r="CB13" s="22">
        <f t="shared" si="10"/>
        <v>15.681778629035497</v>
      </c>
      <c r="CC13" s="62">
        <f t="shared" si="11"/>
        <v>207.62044061408039</v>
      </c>
      <c r="CD13" s="62">
        <f ca="1">AVERAGE(OFFSET($CC$3,0,0,'Données projet'!$E$12+1,1))-AVERAGE(OFFSET($H$3,0,0,'Données projet'!$E$12+1,1))</f>
        <v>516.30971934066179</v>
      </c>
      <c r="CE13" s="62">
        <f t="shared" si="40"/>
        <v>290.84286505723571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0.9</v>
      </c>
      <c r="CT13" s="13">
        <f>IF('Données projet'!$A$140&gt;35,CT12+CS13-DB12,IF(A13&lt;'Données projet'!$A$140,$CQ$205^A13,IF(A13='Données projet'!$A$140,'Données projet'!$B$140,CT12+CS13-DB12)))</f>
        <v>4.2426406871192865</v>
      </c>
      <c r="CU13" s="18">
        <f>CT13*VLOOKUP('Données projet'!$B$13,Paramètres!$A$1:$I$89,3,0)*VLOOKUP('Données projet'!$B$13,Paramètres!$A$1:$I$89,5,0)</f>
        <v>3.7063709042674091</v>
      </c>
      <c r="CV13" s="14">
        <f t="shared" si="41"/>
        <v>1.4664771263922398</v>
      </c>
      <c r="CW13" s="22">
        <f t="shared" si="13"/>
        <v>9.0093769867322209</v>
      </c>
      <c r="CX13" s="62">
        <f t="shared" si="14"/>
        <v>200.94803897177712</v>
      </c>
      <c r="CY13" s="62">
        <f ca="1">AVERAGE(OFFSET($CX$3,0,0,'Données projet'!$E$13+1,1))-AVERAGE(OFFSET($H$3,0,0,'Données projet'!$E$13+1,1))</f>
        <v>226.76930997889059</v>
      </c>
      <c r="CZ13" s="62">
        <f t="shared" si="42"/>
        <v>236.36066378969329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1.05</v>
      </c>
      <c r="DO13" s="13">
        <f>IF('Données projet'!$A$166&gt;35,DO12+DN13-DW12,IF(A13&lt;'Données projet'!$A$166,$DL$205^A13,IF(A13='Données projet'!$A$166,'Données projet'!$B$166,DO12+DN13-DW12)))</f>
        <v>4.5825756949558425</v>
      </c>
      <c r="DP13" s="18">
        <f>DO13*VLOOKUP('Données projet'!$B$14,Paramètres!$A$1:$I$89,3,0)*VLOOKUP('Données projet'!$B$14,Paramètres!$A$1:$I$89,5,0)</f>
        <v>4.9326844780504686</v>
      </c>
      <c r="DQ13" s="14">
        <f t="shared" si="43"/>
        <v>1.8878196442982629</v>
      </c>
      <c r="DR13" s="22">
        <f t="shared" si="16"/>
        <v>11.879044679757373</v>
      </c>
      <c r="DS13" s="62">
        <f t="shared" si="17"/>
        <v>203.81770666480227</v>
      </c>
      <c r="DT13" s="62">
        <f ca="1">AVERAGE(OFFSET($DS$3,0,0,'Données projet'!$E$14+1,1))-AVERAGE(OFFSET($H$3,0,0,'Données projet'!$E$14+1,1))</f>
        <v>315.12428188060306</v>
      </c>
      <c r="DU13" s="62">
        <f t="shared" si="44"/>
        <v>186.08400677811986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2.0085470085470085</v>
      </c>
      <c r="EJ13" s="13">
        <f>IF('Données projet'!$A$192&gt;35,EJ12+EI13-ER12,IF(A13&lt;'Données projet'!$A$192,$EG$205^A13,IF(A13='Données projet'!$A$192,'Données projet'!$B$192,EJ12+EI13-ER12)))</f>
        <v>9.6823811114971363</v>
      </c>
      <c r="EK13" s="18">
        <f>EJ13*VLOOKUP('Données projet'!$B$15,Paramètres!$A$1:$I$89,3,0)*VLOOKUP('Données projet'!$B$15,Paramètres!$A$1:$I$89,5,0)</f>
        <v>10.120024737736808</v>
      </c>
      <c r="EL13" s="14">
        <f t="shared" si="45"/>
        <v>3.5623001055261061</v>
      </c>
      <c r="EM13" s="22">
        <f t="shared" si="19"/>
        <v>23.830049102016243</v>
      </c>
      <c r="EN13" s="62">
        <f t="shared" si="20"/>
        <v>215.76871108706112</v>
      </c>
      <c r="EO13" s="62">
        <f ca="1">AVERAGE(OFFSET($EN$3,0,0,'Données projet'!$E$15+1,1))-AVERAGE(OFFSET($H$3,0,0,'Données projet'!$E$15+1,1))</f>
        <v>530.77325763685963</v>
      </c>
      <c r="EP13" s="62">
        <f t="shared" si="46"/>
        <v>344.23100274990145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63.24</v>
      </c>
      <c r="L14" s="13">
        <f>VLOOKUP(A14,'Données projet'!$A$35:$I$55,9,0)</f>
        <v>24.480000000000004</v>
      </c>
      <c r="M14" s="13">
        <f t="array" ref="M14">INDEX(L:L,MIN(IF(ISNUMBER(L14:L210),ROW(L14:L210),"")))</f>
        <v>24.480000000000004</v>
      </c>
      <c r="N14" s="14">
        <f>IF('Données projet'!$A$36&gt;35,N13+M14-V13,IF(A14&lt;'Données projet'!$A$36,$K$205^A14,IF(A14='Données projet'!$A$36,'Données projet'!$B$36,N13+M14-V13)))</f>
        <v>63.24</v>
      </c>
      <c r="O14" s="14">
        <f>N14*VLOOKUP('Données projet'!$B$9,Paramètres!$A$1:$I$89,3,0)*VLOOKUP('Données projet'!$B$9,Paramètres!$A$1:$I$89,5,0)</f>
        <v>27.820540799999996</v>
      </c>
      <c r="P14" s="14">
        <f t="shared" si="33"/>
        <v>8.7054952060491377</v>
      </c>
      <c r="Q14" s="22">
        <f t="shared" si="2"/>
        <v>63.616179377202229</v>
      </c>
      <c r="R14" s="62">
        <f t="shared" si="0"/>
        <v>258.11197798631633</v>
      </c>
      <c r="S14" s="62">
        <f ca="1">AVERAGE(OFFSET($R$3,0,0,'Données projet'!$E$9+1,1))-AVERAGE(OFFSET($H$3,0,0,'Données projet'!$E$9+1,1))</f>
        <v>90.580021122303947</v>
      </c>
      <c r="T14" s="62">
        <f t="shared" si="34"/>
        <v>375.77399473907451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57.12</v>
      </c>
      <c r="AG14" s="13">
        <f>VLOOKUP(A14,'Données projet'!$A$61:$I$81,9,0)</f>
        <v>24.479999999999997</v>
      </c>
      <c r="AH14" s="13">
        <f t="array" ref="AH14">INDEX(AG:AG,MIN(IF(ISNUMBER(AG14:AG210),ROW(AG14:AG210),"")))</f>
        <v>24.479999999999997</v>
      </c>
      <c r="AI14" s="14">
        <f>IF('Données projet'!$A$62&gt;35,AI13+AH14-AQ13,IF(A14&lt;'Données projet'!$A$62,$AF$205^A14,IF(A14='Données projet'!$A$62,'Données projet'!$B$62,AI13+AH14-AQ13)))</f>
        <v>57.12</v>
      </c>
      <c r="AJ14" s="14">
        <f>AI14*VLOOKUP('Données projet'!$B$10,Paramètres!$A$1:$I$89,3,0)*VLOOKUP('Données projet'!$B$10,Paramètres!$A$1:$I$89,5,0)</f>
        <v>29.227161600000002</v>
      </c>
      <c r="AK14" s="14">
        <f t="shared" si="35"/>
        <v>9.0932920736232337</v>
      </c>
      <c r="AL14" s="22">
        <f t="shared" si="4"/>
        <v>66.741456814893795</v>
      </c>
      <c r="AM14" s="62">
        <f t="shared" si="5"/>
        <v>261.23725542400791</v>
      </c>
      <c r="AN14" s="62">
        <f ca="1">AVERAGE(OFFSET($AM$3,0,0,'Données projet'!$E$10+1,1))-AVERAGE(OFFSET($H$3,0,0,'Données projet'!$E$10+1,1))</f>
        <v>87.3677313039193</v>
      </c>
      <c r="AO14" s="62">
        <f t="shared" si="36"/>
        <v>326.27342751542903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8.4</v>
      </c>
      <c r="BD14" s="13">
        <f>IF('Données projet'!$A$88&gt;35,BD13+BC14-BL13,IF(A14&lt;'Données projet'!$A$88,$BA$205^A14,IF(A14='Données projet'!$A$88,'Données projet'!$B$88,BD13+BC14-BL13)))</f>
        <v>55.400000000000006</v>
      </c>
      <c r="BE14" s="14">
        <f>BD14*VLOOKUP('Données projet'!$B$11,Paramètres!$A$1:$I$89,3,0)*VLOOKUP('Données projet'!$B$11,Paramètres!$A$1:$I$89,5,0)</f>
        <v>50.125920000000001</v>
      </c>
      <c r="BF14" s="14">
        <f t="shared" si="37"/>
        <v>14.646274290627822</v>
      </c>
      <c r="BG14" s="22">
        <f t="shared" si="7"/>
        <v>112.81157172284345</v>
      </c>
      <c r="BH14" s="62">
        <f t="shared" si="8"/>
        <v>307.3073703319576</v>
      </c>
      <c r="BI14" s="62">
        <f ca="1">AVERAGE(OFFSET($BH$3,0,0,'Données projet'!$E$11+1,1))-AVERAGE(OFFSET($H$3,0,0,'Données projet'!$E$11+1,1))</f>
        <v>254.91239442958343</v>
      </c>
      <c r="BJ14" s="62">
        <f t="shared" si="38"/>
        <v>361.41009011468407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7.921821725516951</v>
      </c>
      <c r="CA14" s="14">
        <f t="shared" si="39"/>
        <v>2.869154216054651</v>
      </c>
      <c r="CB14" s="22">
        <f t="shared" si="10"/>
        <v>18.794283098237205</v>
      </c>
      <c r="CC14" s="62">
        <f t="shared" si="11"/>
        <v>213.29008170735133</v>
      </c>
      <c r="CD14" s="62">
        <f ca="1">AVERAGE(OFFSET($CC$3,0,0,'Données projet'!$E$12+1,1))-AVERAGE(OFFSET($H$3,0,0,'Données projet'!$E$12+1,1))</f>
        <v>516.30971934066179</v>
      </c>
      <c r="CE14" s="62">
        <f t="shared" si="40"/>
        <v>290.84286505723571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0.9</v>
      </c>
      <c r="CT14" s="13">
        <f>IF('Données projet'!$A$140&gt;35,CT13+CS14-DB13,IF(A14&lt;'Données projet'!$A$140,$CQ$205^A14,IF(A14='Données projet'!$A$140,'Données projet'!$B$140,CT13+CS14-DB13)))</f>
        <v>4.9022999220494095</v>
      </c>
      <c r="CU14" s="18">
        <f>CT14*VLOOKUP('Données projet'!$B$13,Paramètres!$A$1:$I$89,3,0)*VLOOKUP('Données projet'!$B$13,Paramètres!$A$1:$I$89,5,0)</f>
        <v>4.2826492119023651</v>
      </c>
      <c r="CV14" s="14">
        <f t="shared" si="41"/>
        <v>1.6662234129484463</v>
      </c>
      <c r="CW14" s="22">
        <f t="shared" si="13"/>
        <v>10.360953154948495</v>
      </c>
      <c r="CX14" s="62">
        <f t="shared" si="14"/>
        <v>204.85675176406264</v>
      </c>
      <c r="CY14" s="62">
        <f ca="1">AVERAGE(OFFSET($CX$3,0,0,'Données projet'!$E$13+1,1))-AVERAGE(OFFSET($H$3,0,0,'Données projet'!$E$13+1,1))</f>
        <v>226.76930997889059</v>
      </c>
      <c r="CZ14" s="62">
        <f t="shared" si="42"/>
        <v>236.36066378969329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1.05</v>
      </c>
      <c r="DO14" s="13">
        <f>IF('Données projet'!$A$166&gt;35,DO13+DN14-DW13,IF(A14&lt;'Données projet'!$A$166,$DL$205^A14,IF(A14='Données projet'!$A$166,'Données projet'!$B$166,DO13+DN14-DW13)))</f>
        <v>5.3360588677947343</v>
      </c>
      <c r="DP14" s="18">
        <f>DO14*VLOOKUP('Données projet'!$B$14,Paramètres!$A$1:$I$89,3,0)*VLOOKUP('Données projet'!$B$14,Paramètres!$A$1:$I$89,5,0)</f>
        <v>5.7437337652942517</v>
      </c>
      <c r="DQ14" s="14">
        <f t="shared" si="43"/>
        <v>2.1596140756978057</v>
      </c>
      <c r="DR14" s="22">
        <f t="shared" si="16"/>
        <v>13.764997489727833</v>
      </c>
      <c r="DS14" s="62">
        <f t="shared" si="17"/>
        <v>208.26079609884198</v>
      </c>
      <c r="DT14" s="62">
        <f ca="1">AVERAGE(OFFSET($DS$3,0,0,'Données projet'!$E$14+1,1))-AVERAGE(OFFSET($H$3,0,0,'Données projet'!$E$14+1,1))</f>
        <v>315.12428188060306</v>
      </c>
      <c r="DU14" s="62">
        <f t="shared" si="44"/>
        <v>186.08400677811986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2.0085470085470085</v>
      </c>
      <c r="EJ14" s="13">
        <f>IF('Données projet'!$A$192&gt;35,EJ13+EI14-ER13,IF(A14&lt;'Données projet'!$A$192,$EG$205^A14,IF(A14='Données projet'!$A$192,'Données projet'!$B$192,EJ13+EI14-ER13)))</f>
        <v>12.150115051435174</v>
      </c>
      <c r="EK14" s="18">
        <f>EJ14*VLOOKUP('Données projet'!$B$15,Paramètres!$A$1:$I$89,3,0)*VLOOKUP('Données projet'!$B$15,Paramètres!$A$1:$I$89,5,0)</f>
        <v>12.699300251760045</v>
      </c>
      <c r="EL14" s="14">
        <f t="shared" si="45"/>
        <v>4.3536337239482048</v>
      </c>
      <c r="EM14" s="22">
        <f t="shared" si="19"/>
        <v>29.700526674358532</v>
      </c>
      <c r="EN14" s="62">
        <f t="shared" si="20"/>
        <v>224.19632528347267</v>
      </c>
      <c r="EO14" s="62">
        <f ca="1">AVERAGE(OFFSET($EN$3,0,0,'Données projet'!$E$15+1,1))-AVERAGE(OFFSET($H$3,0,0,'Données projet'!$E$15+1,1))</f>
        <v>530.77325763685963</v>
      </c>
      <c r="EP14" s="62">
        <f t="shared" si="46"/>
        <v>344.23100274990145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93.84</v>
      </c>
      <c r="L15" s="13">
        <f>VLOOKUP(A15,'Données projet'!$A$35:$I$55,9,0)</f>
        <v>30.6</v>
      </c>
      <c r="M15" s="13">
        <f t="array" ref="M15">INDEX(L:L,MIN(IF(ISNUMBER(L15:L211),ROW(L15:L211),"")))</f>
        <v>30.6</v>
      </c>
      <c r="N15" s="14">
        <f>IF('Données projet'!$A$36&gt;35,N14+M15-V14,IF(A15&lt;'Données projet'!$A$36,$K$205^A15,IF(A15='Données projet'!$A$36,'Données projet'!$B$36,N14+M15-V14)))</f>
        <v>93.84</v>
      </c>
      <c r="O15" s="14">
        <f>N15*VLOOKUP('Données projet'!$B$9,Paramètres!$A$1:$I$89,3,0)*VLOOKUP('Données projet'!$B$9,Paramètres!$A$1:$I$89,5,0)</f>
        <v>41.282092800000001</v>
      </c>
      <c r="P15" s="14">
        <f t="shared" si="33"/>
        <v>12.337839266652718</v>
      </c>
      <c r="Q15" s="22">
        <f t="shared" si="2"/>
        <v>93.38804834942016</v>
      </c>
      <c r="R15" s="62">
        <f t="shared" si="0"/>
        <v>290.41782580215306</v>
      </c>
      <c r="S15" s="62">
        <f ca="1">AVERAGE(OFFSET($R$3,0,0,'Données projet'!$E$9+1,1))-AVERAGE(OFFSET($H$3,0,0,'Données projet'!$E$9+1,1))</f>
        <v>90.580021122303947</v>
      </c>
      <c r="T15" s="62">
        <f t="shared" si="34"/>
        <v>375.77399473907451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83.64</v>
      </c>
      <c r="AG15" s="13">
        <f>VLOOKUP(A15,'Données projet'!$A$61:$I$81,9,0)</f>
        <v>26.520000000000003</v>
      </c>
      <c r="AH15" s="13">
        <f t="array" ref="AH15">INDEX(AG:AG,MIN(IF(ISNUMBER(AG15:AG211),ROW(AG15:AG211),"")))</f>
        <v>26.520000000000003</v>
      </c>
      <c r="AI15" s="14">
        <f>IF('Données projet'!$A$62&gt;35,AI14+AH15-AQ14,IF(A15&lt;'Données projet'!$A$62,$AF$205^A15,IF(A15='Données projet'!$A$62,'Données projet'!$B$62,AI14+AH15-AQ14)))</f>
        <v>83.64</v>
      </c>
      <c r="AJ15" s="14">
        <f>AI15*VLOOKUP('Données projet'!$B$10,Paramètres!$A$1:$I$89,3,0)*VLOOKUP('Données projet'!$B$10,Paramètres!$A$1:$I$89,5,0)</f>
        <v>42.796915200000001</v>
      </c>
      <c r="AK15" s="14">
        <f t="shared" si="35"/>
        <v>12.737028483532789</v>
      </c>
      <c r="AL15" s="22">
        <f t="shared" si="4"/>
        <v>96.721618582152942</v>
      </c>
      <c r="AM15" s="62">
        <f t="shared" si="5"/>
        <v>293.75139603488583</v>
      </c>
      <c r="AN15" s="62">
        <f ca="1">AVERAGE(OFFSET($AM$3,0,0,'Données projet'!$E$10+1,1))-AVERAGE(OFFSET($H$3,0,0,'Données projet'!$E$10+1,1))</f>
        <v>87.3677313039193</v>
      </c>
      <c r="AO15" s="62">
        <f t="shared" si="36"/>
        <v>326.27342751542903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8.4</v>
      </c>
      <c r="BD15" s="13">
        <f>IF('Données projet'!$A$88&gt;35,BD14+BC15-BL14,IF(A15&lt;'Données projet'!$A$88,$BA$205^A15,IF(A15='Données projet'!$A$88,'Données projet'!$B$88,BD14+BC15-BL14)))</f>
        <v>63.800000000000004</v>
      </c>
      <c r="BE15" s="14">
        <f>BD15*VLOOKUP('Données projet'!$B$11,Paramètres!$A$1:$I$89,3,0)*VLOOKUP('Données projet'!$B$11,Paramètres!$A$1:$I$89,5,0)</f>
        <v>57.726239999999997</v>
      </c>
      <c r="BF15" s="14">
        <f t="shared" si="37"/>
        <v>16.592104977137897</v>
      </c>
      <c r="BG15" s="22">
        <f t="shared" si="7"/>
        <v>129.43778416851515</v>
      </c>
      <c r="BH15" s="62">
        <f t="shared" si="8"/>
        <v>326.46756162124802</v>
      </c>
      <c r="BI15" s="62">
        <f ca="1">AVERAGE(OFFSET($BH$3,0,0,'Données projet'!$E$11+1,1))-AVERAGE(OFFSET($H$3,0,0,'Données projet'!$E$11+1,1))</f>
        <v>254.91239442958343</v>
      </c>
      <c r="BJ15" s="62">
        <f t="shared" si="38"/>
        <v>361.41009011468407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9.5496516380767513</v>
      </c>
      <c r="CA15" s="14">
        <f t="shared" si="39"/>
        <v>3.3843014943027487</v>
      </c>
      <c r="CB15" s="22">
        <f t="shared" si="10"/>
        <v>22.526635038894295</v>
      </c>
      <c r="CC15" s="62">
        <f t="shared" si="11"/>
        <v>219.55641249162716</v>
      </c>
      <c r="CD15" s="62">
        <f ca="1">AVERAGE(OFFSET($CC$3,0,0,'Données projet'!$E$12+1,1))-AVERAGE(OFFSET($H$3,0,0,'Données projet'!$E$12+1,1))</f>
        <v>516.30971934066179</v>
      </c>
      <c r="CE15" s="62">
        <f t="shared" si="40"/>
        <v>290.84286505723571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0.9</v>
      </c>
      <c r="CT15" s="13">
        <f>IF('Données projet'!$A$140&gt;35,CT14+CS15-DB14,IF(A15&lt;'Données projet'!$A$140,$CQ$205^A15,IF(A15='Données projet'!$A$140,'Données projet'!$B$140,CT14+CS15-DB14)))</f>
        <v>5.6645250677694134</v>
      </c>
      <c r="CU15" s="18">
        <f>CT15*VLOOKUP('Données projet'!$B$13,Paramètres!$A$1:$I$89,3,0)*VLOOKUP('Données projet'!$B$13,Paramètres!$A$1:$I$89,5,0)</f>
        <v>4.9485290992033608</v>
      </c>
      <c r="CV15" s="14">
        <f t="shared" si="41"/>
        <v>1.8931767921179217</v>
      </c>
      <c r="CW15" s="22">
        <f t="shared" si="13"/>
        <v>11.915971094051232</v>
      </c>
      <c r="CX15" s="62">
        <f t="shared" si="14"/>
        <v>208.9457485467841</v>
      </c>
      <c r="CY15" s="62">
        <f ca="1">AVERAGE(OFFSET($CX$3,0,0,'Données projet'!$E$13+1,1))-AVERAGE(OFFSET($H$3,0,0,'Données projet'!$E$13+1,1))</f>
        <v>226.76930997889059</v>
      </c>
      <c r="CZ15" s="62">
        <f t="shared" si="42"/>
        <v>236.36066378969329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1.05</v>
      </c>
      <c r="DO15" s="13">
        <f>IF('Données projet'!$A$166&gt;35,DO14+DN15-DW14,IF(A15&lt;'Données projet'!$A$166,$DL$205^A15,IF(A15='Données projet'!$A$166,'Données projet'!$B$166,DO14+DN15-DW14)))</f>
        <v>6.213432387360748</v>
      </c>
      <c r="DP15" s="18">
        <f>DO15*VLOOKUP('Données projet'!$B$14,Paramètres!$A$1:$I$89,3,0)*VLOOKUP('Données projet'!$B$14,Paramètres!$A$1:$I$89,5,0)</f>
        <v>6.6881386217551091</v>
      </c>
      <c r="DQ15" s="14">
        <f t="shared" si="43"/>
        <v>2.4705394766064934</v>
      </c>
      <c r="DR15" s="22">
        <f t="shared" si="16"/>
        <v>15.951364354646456</v>
      </c>
      <c r="DS15" s="62">
        <f t="shared" si="17"/>
        <v>212.98114180737932</v>
      </c>
      <c r="DT15" s="62">
        <f ca="1">AVERAGE(OFFSET($DS$3,0,0,'Données projet'!$E$14+1,1))-AVERAGE(OFFSET($H$3,0,0,'Données projet'!$E$14+1,1))</f>
        <v>315.12428188060306</v>
      </c>
      <c r="DU15" s="62">
        <f t="shared" si="44"/>
        <v>186.08400677811986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2.0085470085470085</v>
      </c>
      <c r="EJ15" s="13">
        <f>IF('Données projet'!$A$192&gt;35,EJ14+EI15-ER14,IF(A15&lt;'Données projet'!$A$192,$EG$205^A15,IF(A15='Données projet'!$A$192,'Données projet'!$B$192,EJ14+EI15-ER14)))</f>
        <v>15.246796636399393</v>
      </c>
      <c r="EK15" s="18">
        <f>EJ15*VLOOKUP('Données projet'!$B$15,Paramètres!$A$1:$I$89,3,0)*VLOOKUP('Données projet'!$B$15,Paramètres!$A$1:$I$89,5,0)</f>
        <v>15.935951844364647</v>
      </c>
      <c r="EL15" s="14">
        <f t="shared" si="45"/>
        <v>5.3207551415716088</v>
      </c>
      <c r="EM15" s="22">
        <f t="shared" si="19"/>
        <v>37.022098000505643</v>
      </c>
      <c r="EN15" s="62">
        <f t="shared" si="20"/>
        <v>234.05187545323852</v>
      </c>
      <c r="EO15" s="62">
        <f ca="1">AVERAGE(OFFSET($EN$3,0,0,'Données projet'!$E$15+1,1))-AVERAGE(OFFSET($H$3,0,0,'Données projet'!$E$15+1,1))</f>
        <v>530.77325763685963</v>
      </c>
      <c r="EP15" s="62">
        <f t="shared" si="46"/>
        <v>344.23100274990145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126.48</v>
      </c>
      <c r="L16" s="13">
        <f>VLOOKUP(A16,'Données projet'!$A$35:$I$55,9,0)</f>
        <v>32.64</v>
      </c>
      <c r="M16" s="13">
        <f t="array" ref="M16">INDEX(L:L,MIN(IF(ISNUMBER(L16:L212),ROW(L16:L212),"")))</f>
        <v>32.64</v>
      </c>
      <c r="N16" s="14">
        <f>IF('Données projet'!$A$36&gt;35,N15+M16-V15,IF(A16&lt;'Données projet'!$A$36,$K$205^A16,IF(A16='Données projet'!$A$36,'Données projet'!$B$36,N15+M16-V15)))</f>
        <v>126.48</v>
      </c>
      <c r="O16" s="14">
        <f>N16*VLOOKUP('Données projet'!$B$9,Paramètres!$A$1:$I$89,3,0)*VLOOKUP('Données projet'!$B$9,Paramètres!$A$1:$I$89,5,0)</f>
        <v>55.641081599999993</v>
      </c>
      <c r="P16" s="14">
        <f t="shared" si="33"/>
        <v>16.061406907468285</v>
      </c>
      <c r="Q16" s="22">
        <f t="shared" si="2"/>
        <v>124.88183415050723</v>
      </c>
      <c r="R16" s="62">
        <f t="shared" si="0"/>
        <v>324.42283440212606</v>
      </c>
      <c r="S16" s="62">
        <f ca="1">AVERAGE(OFFSET($R$3,0,0,'Données projet'!$E$9+1,1))-AVERAGE(OFFSET($H$3,0,0,'Données projet'!$E$9+1,1))</f>
        <v>90.580021122303947</v>
      </c>
      <c r="T16" s="62">
        <f t="shared" si="34"/>
        <v>375.77399473907451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114.24</v>
      </c>
      <c r="AG16" s="13">
        <f>VLOOKUP(A16,'Données projet'!$A$61:$I$81,9,0)</f>
        <v>30.599999999999994</v>
      </c>
      <c r="AH16" s="13">
        <f t="array" ref="AH16">INDEX(AG:AG,MIN(IF(ISNUMBER(AG16:AG212),ROW(AG16:AG212),"")))</f>
        <v>30.599999999999994</v>
      </c>
      <c r="AI16" s="14">
        <f>IF('Données projet'!$A$62&gt;35,AI15+AH16-AQ15,IF(A16&lt;'Données projet'!$A$62,$AF$205^A16,IF(A16='Données projet'!$A$62,'Données projet'!$B$62,AI15+AH16-AQ15)))</f>
        <v>114.24</v>
      </c>
      <c r="AJ16" s="14">
        <f>AI16*VLOOKUP('Données projet'!$B$10,Paramètres!$A$1:$I$89,3,0)*VLOOKUP('Données projet'!$B$10,Paramètres!$A$1:$I$89,5,0)</f>
        <v>58.454323200000005</v>
      </c>
      <c r="AK16" s="14">
        <f t="shared" si="35"/>
        <v>16.776881804659784</v>
      </c>
      <c r="AL16" s="22">
        <f t="shared" si="4"/>
        <v>131.02768204978244</v>
      </c>
      <c r="AM16" s="62">
        <f t="shared" si="5"/>
        <v>330.56868230140128</v>
      </c>
      <c r="AN16" s="62">
        <f ca="1">AVERAGE(OFFSET($AM$3,0,0,'Données projet'!$E$10+1,1))-AVERAGE(OFFSET($H$3,0,0,'Données projet'!$E$10+1,1))</f>
        <v>87.3677313039193</v>
      </c>
      <c r="AO16" s="62">
        <f t="shared" si="36"/>
        <v>326.27342751542903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8.4</v>
      </c>
      <c r="BD16" s="13">
        <f>IF('Données projet'!$A$88&gt;35,BD15+BC16-BL15,IF(A16&lt;'Données projet'!$A$88,$BA$205^A16,IF(A16='Données projet'!$A$88,'Données projet'!$B$88,BD15+BC16-BL15)))</f>
        <v>72.2</v>
      </c>
      <c r="BE16" s="14">
        <f>BD16*VLOOKUP('Données projet'!$B$11,Paramètres!$A$1:$I$89,3,0)*VLOOKUP('Données projet'!$B$11,Paramètres!$A$1:$I$89,5,0)</f>
        <v>65.326560000000001</v>
      </c>
      <c r="BF16" s="14">
        <f t="shared" si="37"/>
        <v>18.508251950337144</v>
      </c>
      <c r="BG16" s="22">
        <f t="shared" si="7"/>
        <v>146.01229748017053</v>
      </c>
      <c r="BH16" s="62">
        <f t="shared" si="8"/>
        <v>345.55329773178937</v>
      </c>
      <c r="BI16" s="62">
        <f ca="1">AVERAGE(OFFSET($BH$3,0,0,'Données projet'!$E$11+1,1))-AVERAGE(OFFSET($H$3,0,0,'Données projet'!$E$11+1,1))</f>
        <v>254.91239442958343</v>
      </c>
      <c r="BJ16" s="62">
        <f t="shared" si="38"/>
        <v>361.41009011468407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11.511979134151852</v>
      </c>
      <c r="CA16" s="14">
        <f t="shared" si="39"/>
        <v>3.9919417855793822</v>
      </c>
      <c r="CB16" s="22">
        <f t="shared" si="10"/>
        <v>27.002662268531896</v>
      </c>
      <c r="CC16" s="62">
        <f t="shared" si="11"/>
        <v>226.54366252015072</v>
      </c>
      <c r="CD16" s="62">
        <f ca="1">AVERAGE(OFFSET($CC$3,0,0,'Données projet'!$E$12+1,1))-AVERAGE(OFFSET($H$3,0,0,'Données projet'!$E$12+1,1))</f>
        <v>516.30971934066179</v>
      </c>
      <c r="CE16" s="62">
        <f t="shared" si="40"/>
        <v>290.84286505723571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0.9</v>
      </c>
      <c r="CT16" s="13">
        <f>IF('Données projet'!$A$140&gt;35,CT15+CS16-DB15,IF(A16&lt;'Données projet'!$A$140,$CQ$205^A16,IF(A16='Données projet'!$A$140,'Données projet'!$B$140,CT15+CS16-DB15)))</f>
        <v>6.5452633975063188</v>
      </c>
      <c r="CU16" s="18">
        <f>CT16*VLOOKUP('Données projet'!$B$13,Paramètres!$A$1:$I$89,3,0)*VLOOKUP('Données projet'!$B$13,Paramètres!$A$1:$I$89,5,0)</f>
        <v>5.717942104061521</v>
      </c>
      <c r="CV16" s="14">
        <f t="shared" si="41"/>
        <v>2.1510430944381391</v>
      </c>
      <c r="CW16" s="22">
        <f t="shared" si="13"/>
        <v>13.705149220720239</v>
      </c>
      <c r="CX16" s="62">
        <f t="shared" si="14"/>
        <v>213.24614947233906</v>
      </c>
      <c r="CY16" s="62">
        <f ca="1">AVERAGE(OFFSET($CX$3,0,0,'Données projet'!$E$13+1,1))-AVERAGE(OFFSET($H$3,0,0,'Données projet'!$E$13+1,1))</f>
        <v>226.76930997889059</v>
      </c>
      <c r="CZ16" s="62">
        <f t="shared" si="42"/>
        <v>236.36066378969329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1.05</v>
      </c>
      <c r="DO16" s="13">
        <f>IF('Données projet'!$A$166&gt;35,DO15+DN16-DW15,IF(A16&lt;'Données projet'!$A$166,$DL$205^A16,IF(A16='Données projet'!$A$166,'Données projet'!$B$166,DO15+DN16-DW15)))</f>
        <v>7.235066739107908</v>
      </c>
      <c r="DP16" s="18">
        <f>DO16*VLOOKUP('Données projet'!$B$14,Paramètres!$A$1:$I$89,3,0)*VLOOKUP('Données projet'!$B$14,Paramètres!$A$1:$I$89,5,0)</f>
        <v>7.7878258379757526</v>
      </c>
      <c r="DQ16" s="14">
        <f t="shared" si="43"/>
        <v>2.8262296371164966</v>
      </c>
      <c r="DR16" s="22">
        <f t="shared" si="16"/>
        <v>18.486146619119001</v>
      </c>
      <c r="DS16" s="62">
        <f t="shared" si="17"/>
        <v>218.02714687073782</v>
      </c>
      <c r="DT16" s="62">
        <f ca="1">AVERAGE(OFFSET($DS$3,0,0,'Données projet'!$E$14+1,1))-AVERAGE(OFFSET($H$3,0,0,'Données projet'!$E$14+1,1))</f>
        <v>315.12428188060306</v>
      </c>
      <c r="DU16" s="62">
        <f t="shared" si="44"/>
        <v>186.08400677811986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2.0085470085470085</v>
      </c>
      <c r="EJ16" s="13">
        <f>IF('Données projet'!$A$192&gt;35,EJ15+EI16-ER15,IF(A16&lt;'Données projet'!$A$192,$EG$205^A16,IF(A16='Données projet'!$A$192,'Données projet'!$B$192,EJ15+EI16-ER15)))</f>
        <v>19.132724808582047</v>
      </c>
      <c r="EK16" s="18">
        <f>EJ16*VLOOKUP('Données projet'!$B$15,Paramètres!$A$1:$I$89,3,0)*VLOOKUP('Données projet'!$B$15,Paramètres!$A$1:$I$89,5,0)</f>
        <v>19.997523969929958</v>
      </c>
      <c r="EL16" s="14">
        <f t="shared" si="45"/>
        <v>6.5027140709684383</v>
      </c>
      <c r="EM16" s="22">
        <f t="shared" si="19"/>
        <v>46.154581254564704</v>
      </c>
      <c r="EN16" s="62">
        <f t="shared" si="20"/>
        <v>245.69558150618352</v>
      </c>
      <c r="EO16" s="62">
        <f ca="1">AVERAGE(OFFSET($EN$3,0,0,'Données projet'!$E$15+1,1))-AVERAGE(OFFSET($H$3,0,0,'Données projet'!$E$15+1,1))</f>
        <v>530.77325763685963</v>
      </c>
      <c r="EP16" s="62">
        <f t="shared" si="46"/>
        <v>344.23100274990145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165.24</v>
      </c>
      <c r="L17" s="13">
        <f>VLOOKUP(A17,'Données projet'!$A$35:$I$55,9,0)</f>
        <v>38.760000000000005</v>
      </c>
      <c r="M17" s="13">
        <f t="array" ref="M17">INDEX(L:L,MIN(IF(ISNUMBER(L17:L213),ROW(L17:L213),"")))</f>
        <v>38.760000000000005</v>
      </c>
      <c r="N17" s="14">
        <f>IF('Données projet'!$A$36&gt;35,N16+M17-V16,IF(A17&lt;'Données projet'!$A$36,$K$205^A17,IF(A17='Données projet'!$A$36,'Données projet'!$B$36,N16+M17-V16)))</f>
        <v>165.24</v>
      </c>
      <c r="O17" s="14">
        <f>N17*VLOOKUP('Données projet'!$B$9,Paramètres!$A$1:$I$89,3,0)*VLOOKUP('Données projet'!$B$9,Paramètres!$A$1:$I$89,5,0)</f>
        <v>72.692380799999995</v>
      </c>
      <c r="P17" s="14">
        <f t="shared" si="33"/>
        <v>20.340594907095543</v>
      </c>
      <c r="Q17" s="22">
        <f t="shared" si="2"/>
        <v>162.03243268985807</v>
      </c>
      <c r="R17" s="62">
        <f t="shared" si="0"/>
        <v>364.06229446213126</v>
      </c>
      <c r="S17" s="62">
        <f ca="1">AVERAGE(OFFSET($R$3,0,0,'Données projet'!$E$9+1,1))-AVERAGE(OFFSET($H$3,0,0,'Données projet'!$E$9+1,1))</f>
        <v>90.580021122303947</v>
      </c>
      <c r="T17" s="62">
        <f t="shared" si="34"/>
        <v>375.77399473907451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144.84</v>
      </c>
      <c r="AG17" s="13">
        <f>VLOOKUP(A17,'Données projet'!$A$61:$I$81,9,0)</f>
        <v>30.600000000000009</v>
      </c>
      <c r="AH17" s="13">
        <f t="array" ref="AH17">INDEX(AG:AG,MIN(IF(ISNUMBER(AG17:AG213),ROW(AG17:AG213),"")))</f>
        <v>30.600000000000009</v>
      </c>
      <c r="AI17" s="14">
        <f>IF('Données projet'!$A$62&gt;35,AI16+AH17-AQ16,IF(A17&lt;'Données projet'!$A$62,$AF$205^A17,IF(A17='Données projet'!$A$62,'Données projet'!$B$62,AI16+AH17-AQ16)))</f>
        <v>144.84</v>
      </c>
      <c r="AJ17" s="14">
        <f>AI17*VLOOKUP('Données projet'!$B$10,Paramètres!$A$1:$I$89,3,0)*VLOOKUP('Données projet'!$B$10,Paramètres!$A$1:$I$89,5,0)</f>
        <v>74.111731200000008</v>
      </c>
      <c r="AK17" s="14">
        <f t="shared" si="35"/>
        <v>20.691128656713996</v>
      </c>
      <c r="AL17" s="22">
        <f t="shared" si="4"/>
        <v>165.11498091711022</v>
      </c>
      <c r="AM17" s="62">
        <f t="shared" si="5"/>
        <v>367.14484268938338</v>
      </c>
      <c r="AN17" s="62">
        <f ca="1">AVERAGE(OFFSET($AM$3,0,0,'Données projet'!$E$10+1,1))-AVERAGE(OFFSET($H$3,0,0,'Données projet'!$E$10+1,1))</f>
        <v>87.3677313039193</v>
      </c>
      <c r="AO17" s="62">
        <f t="shared" si="36"/>
        <v>326.27342751542903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8.4</v>
      </c>
      <c r="BD17" s="13">
        <f>IF('Données projet'!$A$88&gt;35,BD16+BC17-BL16,IF(A17&lt;'Données projet'!$A$88,$BA$205^A17,IF(A17='Données projet'!$A$88,'Données projet'!$B$88,BD16+BC17-BL16)))</f>
        <v>80.600000000000009</v>
      </c>
      <c r="BE17" s="14">
        <f>BD17*VLOOKUP('Données projet'!$B$11,Paramètres!$A$1:$I$89,3,0)*VLOOKUP('Données projet'!$B$11,Paramètres!$A$1:$I$89,5,0)</f>
        <v>72.926880000000011</v>
      </c>
      <c r="BF17" s="14">
        <f t="shared" si="37"/>
        <v>20.398563182833673</v>
      </c>
      <c r="BG17" s="22">
        <f t="shared" si="7"/>
        <v>162.54181354343532</v>
      </c>
      <c r="BH17" s="62">
        <f t="shared" si="8"/>
        <v>364.57167531570849</v>
      </c>
      <c r="BI17" s="62">
        <f ca="1">AVERAGE(OFFSET($BH$3,0,0,'Données projet'!$E$11+1,1))-AVERAGE(OFFSET($H$3,0,0,'Données projet'!$E$11+1,1))</f>
        <v>254.91239442958343</v>
      </c>
      <c r="BJ17" s="62">
        <f t="shared" si="38"/>
        <v>361.41009011468407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13.877539056685173</v>
      </c>
      <c r="CA17" s="14">
        <f t="shared" si="39"/>
        <v>4.7086819085950955</v>
      </c>
      <c r="CB17" s="22">
        <f t="shared" si="10"/>
        <v>32.371001514529802</v>
      </c>
      <c r="CC17" s="62">
        <f t="shared" si="11"/>
        <v>234.400863286803</v>
      </c>
      <c r="CD17" s="62">
        <f ca="1">AVERAGE(OFFSET($CC$3,0,0,'Données projet'!$E$12+1,1))-AVERAGE(OFFSET($H$3,0,0,'Données projet'!$E$12+1,1))</f>
        <v>516.30971934066179</v>
      </c>
      <c r="CE17" s="62">
        <f t="shared" si="40"/>
        <v>290.84286505723571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0.9</v>
      </c>
      <c r="CT17" s="13">
        <f>IF('Données projet'!$A$140&gt;35,CT16+CS17-DB16,IF(A17&lt;'Données projet'!$A$140,$CQ$205^A17,IF(A17='Données projet'!$A$140,'Données projet'!$B$140,CT16+CS17-DB16)))</f>
        <v>7.5629417171254145</v>
      </c>
      <c r="CU17" s="18">
        <f>CT17*VLOOKUP('Données projet'!$B$13,Paramètres!$A$1:$I$89,3,0)*VLOOKUP('Données projet'!$B$13,Paramètres!$A$1:$I$89,5,0)</f>
        <v>6.6069858840807631</v>
      </c>
      <c r="CV17" s="14">
        <f t="shared" si="41"/>
        <v>2.4440329151477385</v>
      </c>
      <c r="CW17" s="22">
        <f t="shared" si="13"/>
        <v>15.763857741989639</v>
      </c>
      <c r="CX17" s="62">
        <f t="shared" si="14"/>
        <v>217.79371951426282</v>
      </c>
      <c r="CY17" s="62">
        <f ca="1">AVERAGE(OFFSET($CX$3,0,0,'Données projet'!$E$13+1,1))-AVERAGE(OFFSET($H$3,0,0,'Données projet'!$E$13+1,1))</f>
        <v>226.76930997889059</v>
      </c>
      <c r="CZ17" s="62">
        <f t="shared" si="42"/>
        <v>236.36066378969329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1.05</v>
      </c>
      <c r="DO17" s="13">
        <f>IF('Données projet'!$A$166&gt;35,DO16+DN17-DW16,IF(A17&lt;'Données projet'!$A$166,$DL$205^A17,IF(A17='Données projet'!$A$166,'Données projet'!$B$166,DO16+DN17-DW16)))</f>
        <v>8.4246817951744681</v>
      </c>
      <c r="DP17" s="18">
        <f>DO17*VLOOKUP('Données projet'!$B$14,Paramètres!$A$1:$I$89,3,0)*VLOOKUP('Données projet'!$B$14,Paramètres!$A$1:$I$89,5,0)</f>
        <v>9.0683274843257973</v>
      </c>
      <c r="DQ17" s="14">
        <f t="shared" si="43"/>
        <v>3.2331294591120168</v>
      </c>
      <c r="DR17" s="22">
        <f t="shared" si="16"/>
        <v>21.425037509820857</v>
      </c>
      <c r="DS17" s="62">
        <f t="shared" si="17"/>
        <v>223.45489928209406</v>
      </c>
      <c r="DT17" s="62">
        <f ca="1">AVERAGE(OFFSET($DS$3,0,0,'Données projet'!$E$14+1,1))-AVERAGE(OFFSET($H$3,0,0,'Données projet'!$E$14+1,1))</f>
        <v>315.12428188060306</v>
      </c>
      <c r="DU17" s="62">
        <f t="shared" si="44"/>
        <v>186.08400677811986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2.0085470085470085</v>
      </c>
      <c r="EJ17" s="13">
        <f>IF('Données projet'!$A$192&gt;35,EJ16+EI17-ER16,IF(A17&lt;'Données projet'!$A$192,$EG$205^A17,IF(A17='Données projet'!$A$192,'Données projet'!$B$192,EJ16+EI17-ER16)))</f>
        <v>24.009053660951697</v>
      </c>
      <c r="EK17" s="18">
        <f>EJ17*VLOOKUP('Données projet'!$B$15,Paramètres!$A$1:$I$89,3,0)*VLOOKUP('Données projet'!$B$15,Paramètres!$A$1:$I$89,5,0)</f>
        <v>25.094262886426712</v>
      </c>
      <c r="EL17" s="14">
        <f t="shared" si="45"/>
        <v>7.9472347747017285</v>
      </c>
      <c r="EM17" s="22">
        <f t="shared" si="19"/>
        <v>57.547275093132022</v>
      </c>
      <c r="EN17" s="62">
        <f t="shared" si="20"/>
        <v>259.57713686540524</v>
      </c>
      <c r="EO17" s="62">
        <f ca="1">AVERAGE(OFFSET($EN$3,0,0,'Données projet'!$E$15+1,1))-AVERAGE(OFFSET($H$3,0,0,'Données projet'!$E$15+1,1))</f>
        <v>530.77325763685963</v>
      </c>
      <c r="EP17" s="62">
        <f t="shared" si="46"/>
        <v>344.23100274990145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210.12</v>
      </c>
      <c r="L18" s="13">
        <f>VLOOKUP(A18,'Données projet'!$A$35:$I$55,9,0)</f>
        <v>44.879999999999995</v>
      </c>
      <c r="M18" s="13">
        <f t="array" ref="M18">INDEX(L:L,MIN(IF(ISNUMBER(L18:L214),ROW(L18:L214),"")))</f>
        <v>44.879999999999995</v>
      </c>
      <c r="N18" s="14">
        <f>IF('Données projet'!$A$36&gt;35,N17+M18-V17,IF(A18&lt;'Données projet'!$A$36,$K$205^A18,IF(A18='Données projet'!$A$36,'Données projet'!$B$36,N17+M18-V17)))</f>
        <v>210.12</v>
      </c>
      <c r="O18" s="14">
        <f>N18*VLOOKUP('Données projet'!$B$9,Paramètres!$A$1:$I$89,3,0)*VLOOKUP('Données projet'!$B$9,Paramètres!$A$1:$I$89,5,0)</f>
        <v>92.435990399999994</v>
      </c>
      <c r="P18" s="14">
        <f t="shared" si="33"/>
        <v>25.151810933466077</v>
      </c>
      <c r="Q18" s="22">
        <f t="shared" si="2"/>
        <v>204.79875398912009</v>
      </c>
      <c r="R18" s="62">
        <f t="shared" si="0"/>
        <v>409.2955039220011</v>
      </c>
      <c r="S18" s="62">
        <f ca="1">AVERAGE(OFFSET($R$3,0,0,'Données projet'!$E$9+1,1))-AVERAGE(OFFSET($H$3,0,0,'Données projet'!$E$9+1,1))</f>
        <v>90.580021122303947</v>
      </c>
      <c r="T18" s="62">
        <f t="shared" si="34"/>
        <v>375.77399473907451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175.44</v>
      </c>
      <c r="AG18" s="13">
        <f>VLOOKUP(A18,'Données projet'!$A$61:$I$81,9,0)</f>
        <v>30.599999999999994</v>
      </c>
      <c r="AH18" s="13">
        <f t="array" ref="AH18">INDEX(AG:AG,MIN(IF(ISNUMBER(AG18:AG214),ROW(AG18:AG214),"")))</f>
        <v>30.599999999999994</v>
      </c>
      <c r="AI18" s="14">
        <f>IF('Données projet'!$A$62&gt;35,AI17+AH18-AQ17,IF(A18&lt;'Données projet'!$A$62,$AF$205^A18,IF(A18='Données projet'!$A$62,'Données projet'!$B$62,AI17+AH18-AQ17)))</f>
        <v>175.44</v>
      </c>
      <c r="AJ18" s="14">
        <f>AI18*VLOOKUP('Données projet'!$B$10,Paramètres!$A$1:$I$89,3,0)*VLOOKUP('Données projet'!$B$10,Paramètres!$A$1:$I$89,5,0)</f>
        <v>89.769139199999998</v>
      </c>
      <c r="AK18" s="14">
        <f t="shared" si="35"/>
        <v>24.509538607942787</v>
      </c>
      <c r="AL18" s="22">
        <f t="shared" si="4"/>
        <v>199.03536384883367</v>
      </c>
      <c r="AM18" s="62">
        <f t="shared" si="5"/>
        <v>403.53211378171471</v>
      </c>
      <c r="AN18" s="62">
        <f ca="1">AVERAGE(OFFSET($AM$3,0,0,'Données projet'!$E$10+1,1))-AVERAGE(OFFSET($H$3,0,0,'Données projet'!$E$10+1,1))</f>
        <v>87.3677313039193</v>
      </c>
      <c r="AO18" s="62">
        <f t="shared" si="36"/>
        <v>326.27342751542903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89</v>
      </c>
      <c r="BB18" s="13">
        <f>VLOOKUP(A18,'Données projet'!$A$87:$I$107,9,0)</f>
        <v>8.4</v>
      </c>
      <c r="BC18" s="13">
        <f t="array" ref="BC18">INDEX(BB:BB,MIN(IF(ISNUMBER(BB18:BB214),ROW(BB18:BB214),"")))</f>
        <v>8.4</v>
      </c>
      <c r="BD18" s="13">
        <f>IF('Données projet'!$A$88&gt;35,BD17+BC18-BL17,IF(A18&lt;'Données projet'!$A$88,$BA$205^A18,IF(A18='Données projet'!$A$88,'Données projet'!$B$88,BD17+BC18-BL17)))</f>
        <v>89.000000000000014</v>
      </c>
      <c r="BE18" s="14">
        <f>BD18*VLOOKUP('Données projet'!$B$11,Paramètres!$A$1:$I$89,3,0)*VLOOKUP('Données projet'!$B$11,Paramètres!$A$1:$I$89,5,0)</f>
        <v>80.527200000000008</v>
      </c>
      <c r="BF18" s="14">
        <f t="shared" si="37"/>
        <v>22.26603795098552</v>
      </c>
      <c r="BG18" s="22">
        <f t="shared" si="7"/>
        <v>179.03155609796647</v>
      </c>
      <c r="BH18" s="62">
        <f t="shared" si="8"/>
        <v>383.52830603084749</v>
      </c>
      <c r="BI18" s="62">
        <f ca="1">AVERAGE(OFFSET($BH$3,0,0,'Données projet'!$E$11+1,1))-AVERAGE(OFFSET($H$3,0,0,'Données projet'!$E$11+1,1))</f>
        <v>254.91239442958343</v>
      </c>
      <c r="BJ18" s="62">
        <f t="shared" si="38"/>
        <v>361.41009011468407</v>
      </c>
      <c r="BK18" s="16">
        <f>IF(ISNA(VLOOKUP(A18,'Données projet'!$A$87:$I$107,3,0)),0,VLOOKUP(A18,'Données projet'!$A$87:$I$107,3,0))</f>
        <v>2</v>
      </c>
      <c r="BL18" s="16">
        <f>IF(ISNA(VLOOKUP(A18,'Données projet'!$A$87:$I$107,4,0)),0,VLOOKUP(A18,'Données projet'!$A$87:$I$107,4,0))</f>
        <v>13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16.729190352551068</v>
      </c>
      <c r="CA18" s="14">
        <f t="shared" si="39"/>
        <v>5.5541103821765283</v>
      </c>
      <c r="CB18" s="22">
        <f t="shared" si="10"/>
        <v>38.810082112983899</v>
      </c>
      <c r="CC18" s="62">
        <f t="shared" si="11"/>
        <v>243.30683204586495</v>
      </c>
      <c r="CD18" s="62">
        <f ca="1">AVERAGE(OFFSET($CC$3,0,0,'Données projet'!$E$12+1,1))-AVERAGE(OFFSET($H$3,0,0,'Données projet'!$E$12+1,1))</f>
        <v>516.30971934066179</v>
      </c>
      <c r="CE18" s="62">
        <f t="shared" si="40"/>
        <v>290.84286505723571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0.9</v>
      </c>
      <c r="CT18" s="13">
        <f>IF('Données projet'!$A$140&gt;35,CT17+CS18-DB17,IF(A18&lt;'Données projet'!$A$140,$CQ$205^A18,IF(A18='Données projet'!$A$140,'Données projet'!$B$140,CT17+CS18-DB17)))</f>
        <v>8.7388518907318247</v>
      </c>
      <c r="CU18" s="18">
        <f>CT18*VLOOKUP('Données projet'!$B$13,Paramètres!$A$1:$I$89,3,0)*VLOOKUP('Données projet'!$B$13,Paramètres!$A$1:$I$89,5,0)</f>
        <v>7.6342610117433241</v>
      </c>
      <c r="CV18" s="14">
        <f t="shared" si="41"/>
        <v>2.7769303673043324</v>
      </c>
      <c r="CW18" s="22">
        <f t="shared" si="13"/>
        <v>18.132824985174668</v>
      </c>
      <c r="CX18" s="62">
        <f t="shared" si="14"/>
        <v>222.62957491805571</v>
      </c>
      <c r="CY18" s="62">
        <f ca="1">AVERAGE(OFFSET($CX$3,0,0,'Données projet'!$E$13+1,1))-AVERAGE(OFFSET($H$3,0,0,'Données projet'!$E$13+1,1))</f>
        <v>226.76930997889059</v>
      </c>
      <c r="CZ18" s="62">
        <f t="shared" si="42"/>
        <v>236.36066378969329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1.05</v>
      </c>
      <c r="DO18" s="13">
        <f>IF('Données projet'!$A$166&gt;35,DO17+DN18-DW17,IF(A18&lt;'Données projet'!$A$166,$DL$205^A18,IF(A18='Données projet'!$A$166,'Données projet'!$B$166,DO17+DN18-DW17)))</f>
        <v>9.8098975322922115</v>
      </c>
      <c r="DP18" s="18">
        <f>DO18*VLOOKUP('Données projet'!$B$14,Paramètres!$A$1:$I$89,3,0)*VLOOKUP('Données projet'!$B$14,Paramètres!$A$1:$I$89,5,0)</f>
        <v>10.559373703759336</v>
      </c>
      <c r="DQ18" s="14">
        <f t="shared" si="43"/>
        <v>3.6986117341982632</v>
      </c>
      <c r="DR18" s="22">
        <f t="shared" si="16"/>
        <v>24.832657971109484</v>
      </c>
      <c r="DS18" s="62">
        <f t="shared" si="17"/>
        <v>229.32940790399053</v>
      </c>
      <c r="DT18" s="62">
        <f ca="1">AVERAGE(OFFSET($DS$3,0,0,'Données projet'!$E$14+1,1))-AVERAGE(OFFSET($H$3,0,0,'Données projet'!$E$14+1,1))</f>
        <v>315.12428188060306</v>
      </c>
      <c r="DU18" s="62">
        <f t="shared" si="44"/>
        <v>186.08400677811986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30.128205128205128</v>
      </c>
      <c r="EH18" s="13">
        <f>VLOOKUP(A18,'Données projet'!$A$191:$I$211,9,0)</f>
        <v>2.0085470085470085</v>
      </c>
      <c r="EI18" s="13">
        <f t="array" ref="EI18">INDEX(EH:EH,MIN(IF(ISNUMBER(EH18:EH214),ROW(EH18:EH214),"")))</f>
        <v>2.0085470085470085</v>
      </c>
      <c r="EJ18" s="13">
        <f>IF('Données projet'!$A$192&gt;35,EJ17+EI18-ER17,IF(A18&lt;'Données projet'!$A$192,$EG$205^A18,IF(A18='Données projet'!$A$192,'Données projet'!$B$192,EJ17+EI18-ER17)))</f>
        <v>30.128205128205128</v>
      </c>
      <c r="EK18" s="18">
        <f>EJ18*VLOOKUP('Données projet'!$B$15,Paramètres!$A$1:$I$89,3,0)*VLOOKUP('Données projet'!$B$15,Paramètres!$A$1:$I$89,5,0)</f>
        <v>31.490000000000006</v>
      </c>
      <c r="EL18" s="14">
        <f t="shared" si="45"/>
        <v>9.7126430402655597</v>
      </c>
      <c r="EM18" s="22">
        <f t="shared" si="19"/>
        <v>71.761269961795847</v>
      </c>
      <c r="EN18" s="62">
        <f t="shared" si="20"/>
        <v>276.25801989467686</v>
      </c>
      <c r="EO18" s="62">
        <f ca="1">AVERAGE(OFFSET($EN$3,0,0,'Données projet'!$E$15+1,1))-AVERAGE(OFFSET($H$3,0,0,'Données projet'!$E$15+1,1))</f>
        <v>530.77325763685963</v>
      </c>
      <c r="EP18" s="62">
        <f t="shared" si="46"/>
        <v>344.23100274990145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257.04000000000002</v>
      </c>
      <c r="L19" s="13">
        <f>VLOOKUP(A19,'Données projet'!$A$35:$I$55,9,0)</f>
        <v>46.920000000000016</v>
      </c>
      <c r="M19" s="13">
        <f t="array" ref="M19">INDEX(L:L,MIN(IF(ISNUMBER(L19:L215),ROW(L19:L215),"")))</f>
        <v>46.920000000000016</v>
      </c>
      <c r="N19" s="14">
        <f>IF('Données projet'!$A$36&gt;35,N18+M19-V18,IF(A19&lt;'Données projet'!$A$36,$K$205^A19,IF(A19='Données projet'!$A$36,'Données projet'!$B$36,N18+M19-V18)))</f>
        <v>257.04000000000002</v>
      </c>
      <c r="O19" s="14">
        <f>N19*VLOOKUP('Données projet'!$B$9,Paramètres!$A$1:$I$89,3,0)*VLOOKUP('Données projet'!$B$9,Paramètres!$A$1:$I$89,5,0)</f>
        <v>113.0770368</v>
      </c>
      <c r="P19" s="14">
        <f t="shared" si="33"/>
        <v>30.054790269481746</v>
      </c>
      <c r="Q19" s="22">
        <f t="shared" si="2"/>
        <v>249.28793214601401</v>
      </c>
      <c r="R19" s="62">
        <f t="shared" si="0"/>
        <v>456.22997806812805</v>
      </c>
      <c r="S19" s="62">
        <f ca="1">AVERAGE(OFFSET($R$3,0,0,'Données projet'!$E$9+1,1))-AVERAGE(OFFSET($H$3,0,0,'Données projet'!$E$9+1,1))</f>
        <v>90.580021122303947</v>
      </c>
      <c r="T19" s="62">
        <f t="shared" si="34"/>
        <v>375.77399473907451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206.04</v>
      </c>
      <c r="AG19" s="13">
        <f>VLOOKUP(A19,'Données projet'!$A$61:$I$81,9,0)</f>
        <v>30.599999999999994</v>
      </c>
      <c r="AH19" s="13">
        <f t="array" ref="AH19">INDEX(AG:AG,MIN(IF(ISNUMBER(AG19:AG215),ROW(AG19:AG215),"")))</f>
        <v>30.599999999999994</v>
      </c>
      <c r="AI19" s="14">
        <f>IF('Données projet'!$A$62&gt;35,AI18+AH19-AQ18,IF(A19&lt;'Données projet'!$A$62,$AF$205^A19,IF(A19='Données projet'!$A$62,'Données projet'!$B$62,AI18+AH19-AQ18)))</f>
        <v>206.04</v>
      </c>
      <c r="AJ19" s="14">
        <f>AI19*VLOOKUP('Données projet'!$B$10,Paramètres!$A$1:$I$89,3,0)*VLOOKUP('Données projet'!$B$10,Paramètres!$A$1:$I$89,5,0)</f>
        <v>105.4265472</v>
      </c>
      <c r="AK19" s="14">
        <f t="shared" si="35"/>
        <v>28.250794763807303</v>
      </c>
      <c r="AL19" s="22">
        <f t="shared" si="4"/>
        <v>232.82137058696435</v>
      </c>
      <c r="AM19" s="62">
        <f t="shared" si="5"/>
        <v>439.76341650907841</v>
      </c>
      <c r="AN19" s="62">
        <f ca="1">AVERAGE(OFFSET($AM$3,0,0,'Données projet'!$E$10+1,1))-AVERAGE(OFFSET($H$3,0,0,'Données projet'!$E$10+1,1))</f>
        <v>87.3677313039193</v>
      </c>
      <c r="AO19" s="62">
        <f t="shared" si="36"/>
        <v>326.27342751542903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7.6</v>
      </c>
      <c r="BD19" s="13">
        <f>IF('Données projet'!$A$88&gt;35,BD18+BC19-BL18,IF(A19&lt;'Données projet'!$A$88,$BA$205^A19,IF(A19='Données projet'!$A$88,'Données projet'!$B$88,BD18+BC19-BL18)))</f>
        <v>83.600000000000009</v>
      </c>
      <c r="BE19" s="14">
        <f>BD19*VLOOKUP('Données projet'!$B$11,Paramètres!$A$1:$I$89,3,0)*VLOOKUP('Données projet'!$B$11,Paramètres!$A$1:$I$89,5,0)</f>
        <v>75.641280000000009</v>
      </c>
      <c r="BF19" s="14">
        <f t="shared" si="37"/>
        <v>21.068004470152093</v>
      </c>
      <c r="BG19" s="22">
        <f t="shared" si="7"/>
        <v>168.43533711884822</v>
      </c>
      <c r="BH19" s="62">
        <f t="shared" si="8"/>
        <v>375.37738304096229</v>
      </c>
      <c r="BI19" s="62">
        <f ca="1">AVERAGE(OFFSET($BH$3,0,0,'Données projet'!$E$11+1,1))-AVERAGE(OFFSET($H$3,0,0,'Données projet'!$E$11+1,1))</f>
        <v>254.91239442958343</v>
      </c>
      <c r="BJ19" s="62">
        <f t="shared" si="38"/>
        <v>361.41009011468407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20.166818389681932</v>
      </c>
      <c r="CA19" s="14">
        <f t="shared" si="39"/>
        <v>6.5513327797938032</v>
      </c>
      <c r="CB19" s="22">
        <f t="shared" si="10"/>
        <v>46.534113286836906</v>
      </c>
      <c r="CC19" s="62">
        <f t="shared" si="11"/>
        <v>253.47615920895097</v>
      </c>
      <c r="CD19" s="62">
        <f ca="1">AVERAGE(OFFSET($CC$3,0,0,'Données projet'!$E$12+1,1))-AVERAGE(OFFSET($H$3,0,0,'Données projet'!$E$12+1,1))</f>
        <v>516.30971934066179</v>
      </c>
      <c r="CE19" s="62">
        <f t="shared" si="40"/>
        <v>290.84286505723571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0.9</v>
      </c>
      <c r="CT19" s="13">
        <f>IF('Données projet'!$A$140&gt;35,CT18+CS19-DB18,IF(A19&lt;'Données projet'!$A$140,$CQ$205^A19,IF(A19='Données projet'!$A$140,'Données projet'!$B$140,CT18+CS19-DB18)))</f>
        <v>10.097596309015799</v>
      </c>
      <c r="CU19" s="18">
        <f>CT19*VLOOKUP('Données projet'!$B$13,Paramètres!$A$1:$I$89,3,0)*VLOOKUP('Données projet'!$B$13,Paramètres!$A$1:$I$89,5,0)</f>
        <v>8.8212601355562033</v>
      </c>
      <c r="CV19" s="14">
        <f t="shared" si="41"/>
        <v>3.1551711996443523</v>
      </c>
      <c r="CW19" s="22">
        <f t="shared" si="13"/>
        <v>20.858951242140964</v>
      </c>
      <c r="CX19" s="62">
        <f t="shared" si="14"/>
        <v>227.80099716425502</v>
      </c>
      <c r="CY19" s="62">
        <f ca="1">AVERAGE(OFFSET($CX$3,0,0,'Données projet'!$E$13+1,1))-AVERAGE(OFFSET($H$3,0,0,'Données projet'!$E$13+1,1))</f>
        <v>226.76930997889059</v>
      </c>
      <c r="CZ19" s="62">
        <f t="shared" si="42"/>
        <v>236.36066378969329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1.05</v>
      </c>
      <c r="DO19" s="13">
        <f>IF('Données projet'!$A$166&gt;35,DO18+DN19-DW18,IF(A19&lt;'Données projet'!$A$166,$DL$205^A19,IF(A19='Données projet'!$A$166,'Données projet'!$B$166,DO18+DN19-DW18)))</f>
        <v>11.42287530066646</v>
      </c>
      <c r="DP19" s="18">
        <f>DO19*VLOOKUP('Données projet'!$B$14,Paramètres!$A$1:$I$89,3,0)*VLOOKUP('Données projet'!$B$14,Paramètres!$A$1:$I$89,5,0)</f>
        <v>12.295582973637377</v>
      </c>
      <c r="DQ19" s="14">
        <f t="shared" si="43"/>
        <v>4.2311107344604242</v>
      </c>
      <c r="DR19" s="22">
        <f t="shared" si="16"/>
        <v>28.783991541603669</v>
      </c>
      <c r="DS19" s="62">
        <f t="shared" si="17"/>
        <v>235.72603746371772</v>
      </c>
      <c r="DT19" s="62">
        <f ca="1">AVERAGE(OFFSET($DS$3,0,0,'Données projet'!$E$14+1,1))-AVERAGE(OFFSET($H$3,0,0,'Données projet'!$E$14+1,1))</f>
        <v>315.12428188060306</v>
      </c>
      <c r="DU19" s="62">
        <f t="shared" si="44"/>
        <v>186.08400677811986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5.7692307692307683</v>
      </c>
      <c r="EJ19" s="13">
        <f>IF('Données projet'!$A$192&gt;35,EJ18+EI19-ER18,IF(A19&lt;'Données projet'!$A$192,$EG$205^A19,IF(A19='Données projet'!$A$192,'Données projet'!$B$192,EJ18+EI19-ER18)))</f>
        <v>35.897435897435898</v>
      </c>
      <c r="EK19" s="18">
        <f>EJ19*VLOOKUP('Données projet'!$B$15,Paramètres!$A$1:$I$89,3,0)*VLOOKUP('Données projet'!$B$15,Paramètres!$A$1:$I$89,5,0)</f>
        <v>37.520000000000003</v>
      </c>
      <c r="EL19" s="14">
        <f t="shared" si="45"/>
        <v>11.338894152047692</v>
      </c>
      <c r="EM19" s="22">
        <f t="shared" si="19"/>
        <v>85.095907314816401</v>
      </c>
      <c r="EN19" s="62">
        <f t="shared" si="20"/>
        <v>292.03795323693043</v>
      </c>
      <c r="EO19" s="62">
        <f ca="1">AVERAGE(OFFSET($EN$3,0,0,'Données projet'!$E$15+1,1))-AVERAGE(OFFSET($H$3,0,0,'Données projet'!$E$15+1,1))</f>
        <v>530.77325763685963</v>
      </c>
      <c r="EP19" s="62">
        <f t="shared" si="46"/>
        <v>344.23100274990145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306</v>
      </c>
      <c r="L20" s="13">
        <f>VLOOKUP(A20,'Données projet'!$A$35:$I$55,9,0)</f>
        <v>48.95999999999998</v>
      </c>
      <c r="M20" s="13">
        <f t="array" ref="M20">INDEX(L:L,MIN(IF(ISNUMBER(L20:L216),ROW(L20:L216),"")))</f>
        <v>48.95999999999998</v>
      </c>
      <c r="N20" s="14">
        <f>IF('Données projet'!$A$36&gt;35,N19+M20-V19,IF(A20&lt;'Données projet'!$A$36,$K$205^A20,IF(A20='Données projet'!$A$36,'Données projet'!$B$36,N19+M20-V19)))</f>
        <v>306</v>
      </c>
      <c r="O20" s="14">
        <f>N20*VLOOKUP('Données projet'!$B$9,Paramètres!$A$1:$I$89,3,0)*VLOOKUP('Données projet'!$B$9,Paramètres!$A$1:$I$89,5,0)</f>
        <v>134.61551999999998</v>
      </c>
      <c r="P20" s="14">
        <f t="shared" si="33"/>
        <v>35.060695303875569</v>
      </c>
      <c r="Q20" s="22">
        <f t="shared" si="2"/>
        <v>295.51940832091657</v>
      </c>
      <c r="R20" s="62">
        <f t="shared" si="0"/>
        <v>504.88553263678932</v>
      </c>
      <c r="S20" s="62">
        <f ca="1">AVERAGE(OFFSET($R$3,0,0,'Données projet'!$E$9+1,1))-AVERAGE(OFFSET($H$3,0,0,'Données projet'!$E$9+1,1))</f>
        <v>90.580021122303947</v>
      </c>
      <c r="T20" s="62">
        <f t="shared" si="34"/>
        <v>375.77399473907451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236.64</v>
      </c>
      <c r="AG20" s="13">
        <f>VLOOKUP(A20,'Données projet'!$A$61:$I$81,9,0)</f>
        <v>30.599999999999994</v>
      </c>
      <c r="AH20" s="13">
        <f t="array" ref="AH20">INDEX(AG:AG,MIN(IF(ISNUMBER(AG20:AG216),ROW(AG20:AG216),"")))</f>
        <v>30.599999999999994</v>
      </c>
      <c r="AI20" s="14">
        <f>IF('Données projet'!$A$62&gt;35,AI19+AH20-AQ19,IF(A20&lt;'Données projet'!$A$62,$AF$205^A20,IF(A20='Données projet'!$A$62,'Données projet'!$B$62,AI19+AH20-AQ19)))</f>
        <v>236.64</v>
      </c>
      <c r="AJ20" s="14">
        <f>AI20*VLOOKUP('Données projet'!$B$10,Paramètres!$A$1:$I$89,3,0)*VLOOKUP('Données projet'!$B$10,Paramètres!$A$1:$I$89,5,0)</f>
        <v>121.08395520000001</v>
      </c>
      <c r="AK20" s="14">
        <f t="shared" si="35"/>
        <v>31.92768157927128</v>
      </c>
      <c r="AL20" s="22">
        <f t="shared" si="4"/>
        <v>266.49526739056409</v>
      </c>
      <c r="AM20" s="62">
        <f t="shared" si="5"/>
        <v>475.86139170643685</v>
      </c>
      <c r="AN20" s="62">
        <f ca="1">AVERAGE(OFFSET($AM$3,0,0,'Données projet'!$E$10+1,1))-AVERAGE(OFFSET($H$3,0,0,'Données projet'!$E$10+1,1))</f>
        <v>87.3677313039193</v>
      </c>
      <c r="AO20" s="62">
        <f t="shared" si="36"/>
        <v>326.27342751542903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7.6</v>
      </c>
      <c r="BD20" s="13">
        <f>IF('Données projet'!$A$88&gt;35,BD19+BC20-BL19,IF(A20&lt;'Données projet'!$A$88,$BA$205^A20,IF(A20='Données projet'!$A$88,'Données projet'!$B$88,BD19+BC20-BL19)))</f>
        <v>91.2</v>
      </c>
      <c r="BE20" s="14">
        <f>BD20*VLOOKUP('Données projet'!$B$11,Paramètres!$A$1:$I$89,3,0)*VLOOKUP('Données projet'!$B$11,Paramètres!$A$1:$I$89,5,0)</f>
        <v>82.51776000000001</v>
      </c>
      <c r="BF20" s="14">
        <f t="shared" si="37"/>
        <v>22.751674941896663</v>
      </c>
      <c r="BG20" s="22">
        <f t="shared" si="7"/>
        <v>183.34426585713672</v>
      </c>
      <c r="BH20" s="62">
        <f t="shared" si="8"/>
        <v>392.71039017300944</v>
      </c>
      <c r="BI20" s="62">
        <f ca="1">AVERAGE(OFFSET($BH$3,0,0,'Données projet'!$E$11+1,1))-AVERAGE(OFFSET($H$3,0,0,'Données projet'!$E$11+1,1))</f>
        <v>254.91239442958343</v>
      </c>
      <c r="BJ20" s="62">
        <f t="shared" si="38"/>
        <v>361.41009011468407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24.31083366209619</v>
      </c>
      <c r="CA20" s="14">
        <f t="shared" si="39"/>
        <v>7.7276032052466093</v>
      </c>
      <c r="CB20" s="22">
        <f t="shared" si="10"/>
        <v>55.800277543955367</v>
      </c>
      <c r="CC20" s="62">
        <f t="shared" si="11"/>
        <v>265.16640185982811</v>
      </c>
      <c r="CD20" s="62">
        <f ca="1">AVERAGE(OFFSET($CC$3,0,0,'Données projet'!$E$12+1,1))-AVERAGE(OFFSET($H$3,0,0,'Données projet'!$E$12+1,1))</f>
        <v>516.30971934066179</v>
      </c>
      <c r="CE20" s="62">
        <f t="shared" si="40"/>
        <v>290.84286505723571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0.9</v>
      </c>
      <c r="CT20" s="13">
        <f>IF('Données projet'!$A$140&gt;35,CT19+CS20-DB19,IF(A20&lt;'Données projet'!$A$140,$CQ$205^A20,IF(A20='Données projet'!$A$140,'Données projet'!$B$140,CT19+CS20-DB19)))</f>
        <v>11.667602620429678</v>
      </c>
      <c r="CU20" s="18">
        <f>CT20*VLOOKUP('Données projet'!$B$13,Paramètres!$A$1:$I$89,3,0)*VLOOKUP('Données projet'!$B$13,Paramètres!$A$1:$I$89,5,0)</f>
        <v>10.192817649207369</v>
      </c>
      <c r="CV20" s="14">
        <f t="shared" si="41"/>
        <v>3.5849315547400531</v>
      </c>
      <c r="CW20" s="22">
        <f t="shared" si="13"/>
        <v>23.996246530208428</v>
      </c>
      <c r="CX20" s="62">
        <f t="shared" si="14"/>
        <v>233.36237084608115</v>
      </c>
      <c r="CY20" s="62">
        <f ca="1">AVERAGE(OFFSET($CX$3,0,0,'Données projet'!$E$13+1,1))-AVERAGE(OFFSET($H$3,0,0,'Données projet'!$E$13+1,1))</f>
        <v>226.76930997889059</v>
      </c>
      <c r="CZ20" s="62">
        <f t="shared" si="42"/>
        <v>236.36066378969329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1.05</v>
      </c>
      <c r="DO20" s="13">
        <f>IF('Données projet'!$A$166&gt;35,DO19+DN20-DW19,IF(A20&lt;'Données projet'!$A$166,$DL$205^A20,IF(A20='Données projet'!$A$166,'Données projet'!$B$166,DO19+DN20-DW19)))</f>
        <v>13.301064532535134</v>
      </c>
      <c r="DP20" s="18">
        <f>DO20*VLOOKUP('Données projet'!$B$14,Paramètres!$A$1:$I$89,3,0)*VLOOKUP('Données projet'!$B$14,Paramètres!$A$1:$I$89,5,0)</f>
        <v>14.317265862820818</v>
      </c>
      <c r="DQ20" s="14">
        <f t="shared" si="43"/>
        <v>4.8402750366406995</v>
      </c>
      <c r="DR20" s="22">
        <f t="shared" si="16"/>
        <v>33.366050399895471</v>
      </c>
      <c r="DS20" s="62">
        <f t="shared" si="17"/>
        <v>242.7321747157682</v>
      </c>
      <c r="DT20" s="62">
        <f ca="1">AVERAGE(OFFSET($DS$3,0,0,'Données projet'!$E$14+1,1))-AVERAGE(OFFSET($H$3,0,0,'Données projet'!$E$14+1,1))</f>
        <v>315.12428188060306</v>
      </c>
      <c r="DU20" s="62">
        <f t="shared" si="44"/>
        <v>186.08400677811986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5.7692307692307683</v>
      </c>
      <c r="EJ20" s="13">
        <f>IF('Données projet'!$A$192&gt;35,EJ19+EI20-ER19,IF(A20&lt;'Données projet'!$A$192,$EG$205^A20,IF(A20='Données projet'!$A$192,'Données projet'!$B$192,EJ19+EI20-ER19)))</f>
        <v>41.666666666666664</v>
      </c>
      <c r="EK20" s="18">
        <f>EJ20*VLOOKUP('Données projet'!$B$15,Paramètres!$A$1:$I$89,3,0)*VLOOKUP('Données projet'!$B$15,Paramètres!$A$1:$I$89,5,0)</f>
        <v>43.550000000000004</v>
      </c>
      <c r="EL20" s="14">
        <f t="shared" si="45"/>
        <v>12.934868040345785</v>
      </c>
      <c r="EM20" s="22">
        <f t="shared" si="19"/>
        <v>98.377811836935564</v>
      </c>
      <c r="EN20" s="62">
        <f t="shared" si="20"/>
        <v>307.74393615280826</v>
      </c>
      <c r="EO20" s="62">
        <f ca="1">AVERAGE(OFFSET($EN$3,0,0,'Données projet'!$E$15+1,1))-AVERAGE(OFFSET($H$3,0,0,'Données projet'!$E$15+1,1))</f>
        <v>530.77325763685963</v>
      </c>
      <c r="EP20" s="62">
        <f t="shared" si="46"/>
        <v>344.23100274990145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361.08</v>
      </c>
      <c r="L21" s="13">
        <f>VLOOKUP(A21,'Données projet'!$A$35:$I$55,9,0)</f>
        <v>55.079999999999984</v>
      </c>
      <c r="M21" s="13">
        <f t="array" ref="M21">INDEX(L:L,MIN(IF(ISNUMBER(L21:L217),ROW(L21:L217),"")))</f>
        <v>55.079999999999984</v>
      </c>
      <c r="N21" s="14">
        <f>IF('Données projet'!$A$36&gt;35,N20+M21-V20,IF(A21&lt;'Données projet'!$A$36,$K$205^A21,IF(A21='Données projet'!$A$36,'Données projet'!$B$36,N20+M21-V20)))</f>
        <v>361.08</v>
      </c>
      <c r="O21" s="14">
        <f>N21*VLOOKUP('Données projet'!$B$9,Paramètres!$A$1:$I$89,3,0)*VLOOKUP('Données projet'!$B$9,Paramètres!$A$1:$I$89,5,0)</f>
        <v>158.8463136</v>
      </c>
      <c r="P21" s="14">
        <f t="shared" si="33"/>
        <v>40.582188723677319</v>
      </c>
      <c r="Q21" s="22">
        <f t="shared" si="2"/>
        <v>347.33797488040472</v>
      </c>
      <c r="R21" s="62">
        <f t="shared" si="0"/>
        <v>559.10732807240788</v>
      </c>
      <c r="S21" s="62">
        <f ca="1">AVERAGE(OFFSET($R$3,0,0,'Données projet'!$E$9+1,1))-AVERAGE(OFFSET($H$3,0,0,'Données projet'!$E$9+1,1))</f>
        <v>90.580021122303947</v>
      </c>
      <c r="T21" s="62">
        <f t="shared" si="34"/>
        <v>375.77399473907451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361.08</v>
      </c>
      <c r="W21" s="17">
        <f>IF(ISNA(VLOOKUP(A21,'Données projet'!$A$35:$I$55,5,0)),0%,VLOOKUP(A21,'Données projet'!$A$35:$I$55,5,0)*VLOOKUP('Données projet'!$B$9,Paramètres!$A$1:$I$89,7,0))</f>
        <v>0.46799999999999997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0.1</v>
      </c>
      <c r="Z21" s="23">
        <f>EXP(-LN(2)/35)*Z20+(1-EXP(-LN(2)/35))/(LN(2)/35)*V21*W21*VLOOKUP('Données projet'!$B$9,Paramètres!$A$1:$I$89,3,0)*0.475*44/12</f>
        <v>82.180750664751329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14.987577216744789</v>
      </c>
      <c r="AC21" s="24">
        <f t="shared" si="3"/>
        <v>97.168327881496111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265.2</v>
      </c>
      <c r="AG21" s="13">
        <f>VLOOKUP(A21,'Données projet'!$A$61:$I$81,9,0)</f>
        <v>28.560000000000002</v>
      </c>
      <c r="AH21" s="13">
        <f t="array" ref="AH21">INDEX(AG:AG,MIN(IF(ISNUMBER(AG21:AG217),ROW(AG21:AG217),"")))</f>
        <v>28.560000000000002</v>
      </c>
      <c r="AI21" s="14">
        <f>IF('Données projet'!$A$62&gt;35,AI20+AH21-AQ20,IF(A21&lt;'Données projet'!$A$62,$AF$205^A21,IF(A21='Données projet'!$A$62,'Données projet'!$B$62,AI20+AH21-AQ20)))</f>
        <v>265.2</v>
      </c>
      <c r="AJ21" s="14">
        <f>AI21*VLOOKUP('Données projet'!$B$10,Paramètres!$A$1:$I$89,3,0)*VLOOKUP('Données projet'!$B$10,Paramètres!$A$1:$I$89,5,0)</f>
        <v>135.69753600000001</v>
      </c>
      <c r="AK21" s="14">
        <f t="shared" si="35"/>
        <v>35.309588013450295</v>
      </c>
      <c r="AL21" s="22">
        <f t="shared" si="4"/>
        <v>297.8374076567593</v>
      </c>
      <c r="AM21" s="62">
        <f t="shared" si="5"/>
        <v>509.60676084876241</v>
      </c>
      <c r="AN21" s="62">
        <f ca="1">AVERAGE(OFFSET($AM$3,0,0,'Données projet'!$E$10+1,1))-AVERAGE(OFFSET($H$3,0,0,'Données projet'!$E$10+1,1))</f>
        <v>87.3677313039193</v>
      </c>
      <c r="AO21" s="62">
        <f t="shared" si="36"/>
        <v>326.27342751542903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265.2</v>
      </c>
      <c r="AR21" s="17">
        <f>IF(ISNA(VLOOKUP(A21,'Données projet'!$A$61:$I$81,5,0)),0%,VLOOKUP(A21,'Données projet'!$A$61:$I$81,5,0)*VLOOKUP('Données projet'!$B$10,Paramètres!$A$1:$I$89,7,0))</f>
        <v>0.46799999999999997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70.204495899847686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70.204495899847686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7.6</v>
      </c>
      <c r="BD21" s="13">
        <f>IF('Données projet'!$A$88&gt;35,BD20+BC21-BL20,IF(A21&lt;'Données projet'!$A$88,$BA$205^A21,IF(A21='Données projet'!$A$88,'Données projet'!$B$88,BD20+BC21-BL20)))</f>
        <v>98.8</v>
      </c>
      <c r="BE21" s="14">
        <f>BD21*VLOOKUP('Données projet'!$B$11,Paramètres!$A$1:$I$89,3,0)*VLOOKUP('Données projet'!$B$11,Paramètres!$A$1:$I$89,5,0)</f>
        <v>89.394239999999996</v>
      </c>
      <c r="BF21" s="14">
        <f t="shared" si="37"/>
        <v>24.419072895797868</v>
      </c>
      <c r="BG21" s="22">
        <f t="shared" si="7"/>
        <v>198.2248532935146</v>
      </c>
      <c r="BH21" s="62">
        <f t="shared" si="8"/>
        <v>409.99420648551768</v>
      </c>
      <c r="BI21" s="62">
        <f ca="1">AVERAGE(OFFSET($BH$3,0,0,'Données projet'!$E$11+1,1))-AVERAGE(OFFSET($H$3,0,0,'Données projet'!$E$11+1,1))</f>
        <v>254.91239442958343</v>
      </c>
      <c r="BJ21" s="62">
        <f t="shared" si="38"/>
        <v>361.41009011468407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29.306389432677911</v>
      </c>
      <c r="CA21" s="14">
        <f t="shared" si="39"/>
        <v>9.1150691477493808</v>
      </c>
      <c r="CB21" s="22">
        <f t="shared" si="10"/>
        <v>66.917373694244205</v>
      </c>
      <c r="CC21" s="62">
        <f t="shared" si="11"/>
        <v>278.6867268862473</v>
      </c>
      <c r="CD21" s="62">
        <f ca="1">AVERAGE(OFFSET($CC$3,0,0,'Données projet'!$E$12+1,1))-AVERAGE(OFFSET($H$3,0,0,'Données projet'!$E$12+1,1))</f>
        <v>516.30971934066179</v>
      </c>
      <c r="CE21" s="62">
        <f t="shared" si="40"/>
        <v>290.84286505723571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0.9</v>
      </c>
      <c r="CT21" s="13">
        <f>IF('Données projet'!$A$140&gt;35,CT20+CS21-DB20,IF(A21&lt;'Données projet'!$A$140,$CQ$205^A21,IF(A21='Données projet'!$A$140,'Données projet'!$B$140,CT20+CS21-DB20)))</f>
        <v>13.48171849440139</v>
      </c>
      <c r="CU21" s="18">
        <f>CT21*VLOOKUP('Données projet'!$B$13,Paramètres!$A$1:$I$89,3,0)*VLOOKUP('Données projet'!$B$13,Paramètres!$A$1:$I$89,5,0)</f>
        <v>11.777629276709055</v>
      </c>
      <c r="CV21" s="14">
        <f t="shared" si="41"/>
        <v>4.0732288167499631</v>
      </c>
      <c r="CW21" s="22">
        <f t="shared" si="13"/>
        <v>27.606911179441123</v>
      </c>
      <c r="CX21" s="62">
        <f t="shared" si="14"/>
        <v>239.37626437144422</v>
      </c>
      <c r="CY21" s="62">
        <f ca="1">AVERAGE(OFFSET($CX$3,0,0,'Données projet'!$E$13+1,1))-AVERAGE(OFFSET($H$3,0,0,'Données projet'!$E$13+1,1))</f>
        <v>226.76930997889059</v>
      </c>
      <c r="CZ21" s="62">
        <f t="shared" si="42"/>
        <v>236.36066378969329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1.05</v>
      </c>
      <c r="DO21" s="13">
        <f>IF('Données projet'!$A$166&gt;35,DO20+DN21-DW20,IF(A21&lt;'Données projet'!$A$166,$DL$205^A21,IF(A21='Données projet'!$A$166,'Données projet'!$B$166,DO20+DN21-DW20)))</f>
        <v>15.48807222716875</v>
      </c>
      <c r="DP21" s="18">
        <f>DO21*VLOOKUP('Données projet'!$B$14,Paramètres!$A$1:$I$89,3,0)*VLOOKUP('Données projet'!$B$14,Paramètres!$A$1:$I$89,5,0)</f>
        <v>16.671360945324444</v>
      </c>
      <c r="DQ21" s="14">
        <f t="shared" si="43"/>
        <v>5.5371423488198674</v>
      </c>
      <c r="DR21" s="22">
        <f t="shared" si="16"/>
        <v>38.679809903968007</v>
      </c>
      <c r="DS21" s="62">
        <f t="shared" si="17"/>
        <v>250.44916309597113</v>
      </c>
      <c r="DT21" s="62">
        <f ca="1">AVERAGE(OFFSET($DS$3,0,0,'Données projet'!$E$14+1,1))-AVERAGE(OFFSET($H$3,0,0,'Données projet'!$E$14+1,1))</f>
        <v>315.12428188060306</v>
      </c>
      <c r="DU21" s="62">
        <f t="shared" si="44"/>
        <v>186.08400677811986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5.7692307692307683</v>
      </c>
      <c r="EJ21" s="13">
        <f>IF('Données projet'!$A$192&gt;35,EJ20+EI21-ER20,IF(A21&lt;'Données projet'!$A$192,$EG$205^A21,IF(A21='Données projet'!$A$192,'Données projet'!$B$192,EJ20+EI21-ER20)))</f>
        <v>47.435897435897431</v>
      </c>
      <c r="EK21" s="18">
        <f>EJ21*VLOOKUP('Données projet'!$B$15,Paramètres!$A$1:$I$89,3,0)*VLOOKUP('Données projet'!$B$15,Paramètres!$A$1:$I$89,5,0)</f>
        <v>49.58</v>
      </c>
      <c r="EL21" s="14">
        <f t="shared" si="45"/>
        <v>14.505239638165149</v>
      </c>
      <c r="EM21" s="22">
        <f t="shared" si="19"/>
        <v>111.61512570313762</v>
      </c>
      <c r="EN21" s="62">
        <f t="shared" si="20"/>
        <v>323.38447889514072</v>
      </c>
      <c r="EO21" s="62">
        <f ca="1">AVERAGE(OFFSET($EN$3,0,0,'Données projet'!$E$15+1,1))-AVERAGE(OFFSET($H$3,0,0,'Données projet'!$E$15+1,1))</f>
        <v>530.77325763685963</v>
      </c>
      <c r="EP21" s="62">
        <f t="shared" si="46"/>
        <v>344.23100274990145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90.580021122303947</v>
      </c>
      <c r="T22" s="62">
        <f t="shared" si="34"/>
        <v>375.77399473907451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80.569236269523998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10.597817483517243</v>
      </c>
      <c r="AC22" s="24">
        <f t="shared" si="3"/>
        <v>91.167053753041245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87.3677313039193</v>
      </c>
      <c r="AO22" s="62">
        <f t="shared" si="36"/>
        <v>326.27342751542903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68.82782855576599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68.82782855576599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7.6</v>
      </c>
      <c r="BD22" s="13">
        <f>IF('Données projet'!$A$88&gt;35,BD21+BC22-BL21,IF(A22&lt;'Données projet'!$A$88,$BA$205^A22,IF(A22='Données projet'!$A$88,'Données projet'!$B$88,BD21+BC22-BL21)))</f>
        <v>106.39999999999999</v>
      </c>
      <c r="BE22" s="14">
        <f>BD22*VLOOKUP('Données projet'!$B$11,Paramètres!$A$1:$I$89,3,0)*VLOOKUP('Données projet'!$B$11,Paramètres!$A$1:$I$89,5,0)</f>
        <v>96.270719999999983</v>
      </c>
      <c r="BF22" s="14">
        <f t="shared" si="37"/>
        <v>26.071592384845928</v>
      </c>
      <c r="BG22" s="22">
        <f t="shared" si="7"/>
        <v>213.07952740360665</v>
      </c>
      <c r="BH22" s="62">
        <f t="shared" si="8"/>
        <v>427.23162164663017</v>
      </c>
      <c r="BI22" s="62">
        <f ca="1">AVERAGE(OFFSET($BH$3,0,0,'Données projet'!$E$11+1,1))-AVERAGE(OFFSET($H$3,0,0,'Données projet'!$E$11+1,1))</f>
        <v>254.91239442958343</v>
      </c>
      <c r="BJ22" s="62">
        <f t="shared" si="38"/>
        <v>361.41009011468407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35.328466045936516</v>
      </c>
      <c r="CA22" s="14">
        <f t="shared" si="39"/>
        <v>10.751650073316766</v>
      </c>
      <c r="CB22" s="22">
        <f t="shared" si="10"/>
        <v>80.256202241032796</v>
      </c>
      <c r="CC22" s="62">
        <f t="shared" si="11"/>
        <v>294.40829648405634</v>
      </c>
      <c r="CD22" s="62">
        <f ca="1">AVERAGE(OFFSET($CC$3,0,0,'Données projet'!$E$12+1,1))-AVERAGE(OFFSET($H$3,0,0,'Données projet'!$E$12+1,1))</f>
        <v>516.30971934066179</v>
      </c>
      <c r="CE22" s="62">
        <f t="shared" si="40"/>
        <v>290.84286505723571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0.9</v>
      </c>
      <c r="CT22" s="13">
        <f>IF('Données projet'!$A$140&gt;35,CT21+CS22-DB21,IF(A22&lt;'Données projet'!$A$140,$CQ$205^A22,IF(A22='Données projet'!$A$140,'Données projet'!$B$140,CT21+CS22-DB21)))</f>
        <v>15.577898860219406</v>
      </c>
      <c r="CU22" s="18">
        <f>CT22*VLOOKUP('Données projet'!$B$13,Paramètres!$A$1:$I$89,3,0)*VLOOKUP('Données projet'!$B$13,Paramètres!$A$1:$I$89,5,0)</f>
        <v>13.608852444287676</v>
      </c>
      <c r="CV22" s="14">
        <f t="shared" si="41"/>
        <v>4.6280361954652021</v>
      </c>
      <c r="CW22" s="22">
        <f t="shared" si="13"/>
        <v>31.762581047569586</v>
      </c>
      <c r="CX22" s="62">
        <f t="shared" si="14"/>
        <v>245.91467529059312</v>
      </c>
      <c r="CY22" s="62">
        <f ca="1">AVERAGE(OFFSET($CX$3,0,0,'Données projet'!$E$13+1,1))-AVERAGE(OFFSET($H$3,0,0,'Données projet'!$E$13+1,1))</f>
        <v>226.76930997889059</v>
      </c>
      <c r="CZ22" s="62">
        <f t="shared" si="42"/>
        <v>236.36066378969329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1.05</v>
      </c>
      <c r="DO22" s="13">
        <f>IF('Données projet'!$A$166&gt;35,DO21+DN22-DW21,IF(A22&lt;'Données projet'!$A$166,$DL$205^A22,IF(A22='Données projet'!$A$166,'Données projet'!$B$166,DO21+DN22-DW21)))</f>
        <v>18.034675399644545</v>
      </c>
      <c r="DP22" s="18">
        <f>DO22*VLOOKUP('Données projet'!$B$14,Paramètres!$A$1:$I$89,3,0)*VLOOKUP('Données projet'!$B$14,Paramètres!$A$1:$I$89,5,0)</f>
        <v>19.412524600177388</v>
      </c>
      <c r="DQ22" s="14">
        <f t="shared" si="43"/>
        <v>6.3343395073626514</v>
      </c>
      <c r="DR22" s="22">
        <f t="shared" si="16"/>
        <v>44.842454987298908</v>
      </c>
      <c r="DS22" s="62">
        <f t="shared" si="17"/>
        <v>258.99454923032243</v>
      </c>
      <c r="DT22" s="62">
        <f ca="1">AVERAGE(OFFSET($DS$3,0,0,'Données projet'!$E$14+1,1))-AVERAGE(OFFSET($H$3,0,0,'Données projet'!$E$14+1,1))</f>
        <v>315.12428188060306</v>
      </c>
      <c r="DU22" s="62">
        <f t="shared" si="44"/>
        <v>186.08400677811986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5.7692307692307683</v>
      </c>
      <c r="EJ22" s="13">
        <f>IF('Données projet'!$A$192&gt;35,EJ21+EI22-ER21,IF(A22&lt;'Données projet'!$A$192,$EG$205^A22,IF(A22='Données projet'!$A$192,'Données projet'!$B$192,EJ21+EI22-ER21)))</f>
        <v>53.205128205128197</v>
      </c>
      <c r="EK22" s="18">
        <f>EJ22*VLOOKUP('Données projet'!$B$15,Paramètres!$A$1:$I$89,3,0)*VLOOKUP('Données projet'!$B$15,Paramètres!$A$1:$I$89,5,0)</f>
        <v>55.61</v>
      </c>
      <c r="EL22" s="14">
        <f t="shared" si="45"/>
        <v>16.053478951715945</v>
      </c>
      <c r="EM22" s="22">
        <f t="shared" si="19"/>
        <v>124.81389250757191</v>
      </c>
      <c r="EN22" s="62">
        <f t="shared" si="20"/>
        <v>338.96598675059545</v>
      </c>
      <c r="EO22" s="62">
        <f ca="1">AVERAGE(OFFSET($EN$3,0,0,'Données projet'!$E$15+1,1))-AVERAGE(OFFSET($H$3,0,0,'Données projet'!$E$15+1,1))</f>
        <v>530.77325763685963</v>
      </c>
      <c r="EP22" s="62">
        <f t="shared" si="46"/>
        <v>344.23100274990145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90.580021122303947</v>
      </c>
      <c r="T23" s="62">
        <f t="shared" si="34"/>
        <v>375.77399473907451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78.989322688660351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7.4937886083723955</v>
      </c>
      <c r="AC23" s="24">
        <f t="shared" si="3"/>
        <v>86.48311129703275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87.3677313039193</v>
      </c>
      <c r="AO23" s="62">
        <f t="shared" si="36"/>
        <v>326.27342751542903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67.478156818617578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67.478156818617578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114</v>
      </c>
      <c r="BB23" s="13">
        <f>VLOOKUP(A23,'Données projet'!$A$87:$I$107,9,0)</f>
        <v>7.6</v>
      </c>
      <c r="BC23" s="13">
        <f t="array" ref="BC23">INDEX(BB:BB,MIN(IF(ISNUMBER(BB23:BB219),ROW(BB23:BB219),"")))</f>
        <v>7.6</v>
      </c>
      <c r="BD23" s="13">
        <f>IF('Données projet'!$A$88&gt;35,BD22+BC23-BL22,IF(A23&lt;'Données projet'!$A$88,$BA$205^A23,IF(A23='Données projet'!$A$88,'Données projet'!$B$88,BD22+BC23-BL22)))</f>
        <v>113.99999999999999</v>
      </c>
      <c r="BE23" s="14">
        <f>BD23*VLOOKUP('Données projet'!$B$11,Paramètres!$A$1:$I$89,3,0)*VLOOKUP('Données projet'!$B$11,Paramètres!$A$1:$I$89,5,0)</f>
        <v>103.14719999999998</v>
      </c>
      <c r="BF23" s="14">
        <f t="shared" si="37"/>
        <v>27.710417026801451</v>
      </c>
      <c r="BG23" s="22">
        <f t="shared" si="7"/>
        <v>227.91034965501251</v>
      </c>
      <c r="BH23" s="62">
        <f t="shared" si="8"/>
        <v>444.42505254190826</v>
      </c>
      <c r="BI23" s="62">
        <f ca="1">AVERAGE(OFFSET($BH$3,0,0,'Données projet'!$E$11+1,1))-AVERAGE(OFFSET($H$3,0,0,'Données projet'!$E$11+1,1))</f>
        <v>254.91239442958343</v>
      </c>
      <c r="BJ23" s="62">
        <f t="shared" si="38"/>
        <v>361.41009011468407</v>
      </c>
      <c r="BK23" s="16">
        <f>IF(ISNA(VLOOKUP(A23,'Données projet'!$A$87:$I$107,3,0)),0,VLOOKUP(A23,'Données projet'!$A$87:$I$107,3,0))</f>
        <v>3</v>
      </c>
      <c r="BL23" s="16">
        <f>IF(ISNA(VLOOKUP(A23,'Données projet'!$A$87:$I$107,4,0)),0,VLOOKUP(A23,'Données projet'!$A$87:$I$107,4,0))</f>
        <v>10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42.588000000000001</v>
      </c>
      <c r="CA23" s="14">
        <f t="shared" si="39"/>
        <v>12.682073764365764</v>
      </c>
      <c r="CB23" s="22">
        <f t="shared" si="10"/>
        <v>96.262045139603686</v>
      </c>
      <c r="CC23" s="62">
        <f t="shared" si="11"/>
        <v>312.77674802649938</v>
      </c>
      <c r="CD23" s="62">
        <f ca="1">AVERAGE(OFFSET($CC$3,0,0,'Données projet'!$E$12+1,1))-AVERAGE(OFFSET($H$3,0,0,'Données projet'!$E$12+1,1))</f>
        <v>516.30971934066179</v>
      </c>
      <c r="CE23" s="62">
        <f t="shared" si="40"/>
        <v>290.84286505723571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18</v>
      </c>
      <c r="CR23" s="13">
        <f>VLOOKUP(A23,'Données projet'!$A$139:$I$159,9,0)</f>
        <v>0.9</v>
      </c>
      <c r="CS23" s="13">
        <f t="array" ref="CS23">INDEX(CR:CR,MIN(IF(ISNUMBER(CR23:CR219),ROW(CR23:CR219),"")))</f>
        <v>0.9</v>
      </c>
      <c r="CT23" s="13">
        <f>IF('Données projet'!$A$140&gt;35,CT22+CS23-DB22,IF(A23&lt;'Données projet'!$A$140,$CQ$205^A23,IF(A23='Données projet'!$A$140,'Données projet'!$B$140,CT22+CS23-DB22)))</f>
        <v>18</v>
      </c>
      <c r="CU23" s="18">
        <f>CT23*VLOOKUP('Données projet'!$B$13,Paramètres!$A$1:$I$89,3,0)*VLOOKUP('Données projet'!$B$13,Paramètres!$A$1:$I$89,5,0)</f>
        <v>15.724800000000004</v>
      </c>
      <c r="CV23" s="14">
        <f t="shared" si="41"/>
        <v>5.2584129176484753</v>
      </c>
      <c r="CW23" s="22">
        <f t="shared" si="13"/>
        <v>36.545762498237771</v>
      </c>
      <c r="CX23" s="62">
        <f t="shared" si="14"/>
        <v>253.06046538513348</v>
      </c>
      <c r="CY23" s="62">
        <f ca="1">AVERAGE(OFFSET($CX$3,0,0,'Données projet'!$E$13+1,1))-AVERAGE(OFFSET($H$3,0,0,'Données projet'!$E$13+1,1))</f>
        <v>226.76930997889059</v>
      </c>
      <c r="CZ23" s="62">
        <f t="shared" si="42"/>
        <v>236.36066378969329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21</v>
      </c>
      <c r="DM23" s="13">
        <f>VLOOKUP(A23,'Données projet'!$A$165:$I$185,9,0)</f>
        <v>1.05</v>
      </c>
      <c r="DN23" s="13">
        <f t="array" ref="DN23">INDEX(DM:DM,MIN(IF(ISNUMBER(DM23:DM219),ROW(DM23:DM219),"")))</f>
        <v>1.05</v>
      </c>
      <c r="DO23" s="13">
        <f>IF('Données projet'!$A$166&gt;35,DO22+DN23-DW22,IF(A23&lt;'Données projet'!$A$166,$DL$205^A23,IF(A23='Données projet'!$A$166,'Données projet'!$B$166,DO22+DN23-DW22)))</f>
        <v>21</v>
      </c>
      <c r="DP23" s="18">
        <f>DO23*VLOOKUP('Données projet'!$B$14,Paramètres!$A$1:$I$89,3,0)*VLOOKUP('Données projet'!$B$14,Paramètres!$A$1:$I$89,5,0)</f>
        <v>22.604399999999998</v>
      </c>
      <c r="DQ23" s="14">
        <f t="shared" si="43"/>
        <v>7.2463112679569939</v>
      </c>
      <c r="DR23" s="22">
        <f t="shared" si="16"/>
        <v>51.989988791691758</v>
      </c>
      <c r="DS23" s="62">
        <f t="shared" si="17"/>
        <v>268.50469167858751</v>
      </c>
      <c r="DT23" s="62">
        <f ca="1">AVERAGE(OFFSET($DS$3,0,0,'Données projet'!$E$14+1,1))-AVERAGE(OFFSET($H$3,0,0,'Données projet'!$E$14+1,1))</f>
        <v>315.12428188060306</v>
      </c>
      <c r="DU23" s="62">
        <f t="shared" si="44"/>
        <v>186.08400677811986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58.974358974358971</v>
      </c>
      <c r="EH23" s="13">
        <f>VLOOKUP(A23,'Données projet'!$A$191:$I$211,9,0)</f>
        <v>5.7692307692307683</v>
      </c>
      <c r="EI23" s="13">
        <f t="array" ref="EI23">INDEX(EH:EH,MIN(IF(ISNUMBER(EH23:EH219),ROW(EH23:EH219),"")))</f>
        <v>5.7692307692307683</v>
      </c>
      <c r="EJ23" s="13">
        <f>IF('Données projet'!$A$192&gt;35,EJ22+EI23-ER22,IF(A23&lt;'Données projet'!$A$192,$EG$205^A23,IF(A23='Données projet'!$A$192,'Données projet'!$B$192,EJ22+EI23-ER22)))</f>
        <v>58.974358974358964</v>
      </c>
      <c r="EK23" s="18">
        <f>EJ23*VLOOKUP('Données projet'!$B$15,Paramètres!$A$1:$I$89,3,0)*VLOOKUP('Données projet'!$B$15,Paramètres!$A$1:$I$89,5,0)</f>
        <v>61.64</v>
      </c>
      <c r="EL23" s="14">
        <f t="shared" si="45"/>
        <v>17.582259466632539</v>
      </c>
      <c r="EM23" s="22">
        <f t="shared" si="19"/>
        <v>137.97876857105169</v>
      </c>
      <c r="EN23" s="62">
        <f t="shared" si="20"/>
        <v>354.49347145794741</v>
      </c>
      <c r="EO23" s="62">
        <f ca="1">AVERAGE(OFFSET($EN$3,0,0,'Données projet'!$E$15+1,1))-AVERAGE(OFFSET($H$3,0,0,'Données projet'!$E$15+1,1))</f>
        <v>530.77325763685963</v>
      </c>
      <c r="EP23" s="62">
        <f t="shared" si="46"/>
        <v>344.23100274990145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90.580021122303947</v>
      </c>
      <c r="T24" s="62">
        <f t="shared" si="34"/>
        <v>375.77399473907451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77.44039024946531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5.2989087417586225</v>
      </c>
      <c r="AC24" s="24">
        <f t="shared" si="3"/>
        <v>82.739298991223933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87.3677313039193</v>
      </c>
      <c r="AO24" s="62">
        <f t="shared" si="36"/>
        <v>326.27342751542903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66.154951321016171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66.154951321016171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6.4</v>
      </c>
      <c r="BD24" s="13">
        <f>IF('Données projet'!$A$88&gt;35,BD23+BC24-BL23,IF(A24&lt;'Données projet'!$A$88,$BA$205^A24,IF(A24='Données projet'!$A$88,'Données projet'!$B$88,BD23+BC24-BL23)))</f>
        <v>110.39999999999999</v>
      </c>
      <c r="BE24" s="14">
        <f>BD24*VLOOKUP('Données projet'!$B$11,Paramètres!$A$1:$I$89,3,0)*VLOOKUP('Données projet'!$B$11,Paramètres!$A$1:$I$89,5,0)</f>
        <v>99.889920000000004</v>
      </c>
      <c r="BF24" s="14">
        <f t="shared" si="37"/>
        <v>26.935770825480187</v>
      </c>
      <c r="BG24" s="22">
        <f t="shared" si="7"/>
        <v>220.88807818771133</v>
      </c>
      <c r="BH24" s="62">
        <f t="shared" si="8"/>
        <v>439.74560656358574</v>
      </c>
      <c r="BI24" s="62">
        <f ca="1">AVERAGE(OFFSET($BH$3,0,0,'Données projet'!$E$11+1,1))-AVERAGE(OFFSET($H$3,0,0,'Données projet'!$E$11+1,1))</f>
        <v>254.91239442958343</v>
      </c>
      <c r="BJ24" s="62">
        <f t="shared" si="38"/>
        <v>361.41009011468407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48.266400000000004</v>
      </c>
      <c r="CA24" s="14">
        <f t="shared" si="39"/>
        <v>14.165134590154434</v>
      </c>
      <c r="CB24" s="22">
        <f t="shared" si="10"/>
        <v>108.73492274451898</v>
      </c>
      <c r="CC24" s="62">
        <f t="shared" si="11"/>
        <v>327.59245112039338</v>
      </c>
      <c r="CD24" s="62">
        <f ca="1">AVERAGE(OFFSET($CC$3,0,0,'Données projet'!$E$12+1,1))-AVERAGE(OFFSET($H$3,0,0,'Données projet'!$E$12+1,1))</f>
        <v>516.30971934066179</v>
      </c>
      <c r="CE24" s="62">
        <f t="shared" si="40"/>
        <v>290.84286505723571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7.6</v>
      </c>
      <c r="CT24" s="13">
        <f>IF('Données projet'!$A$140&gt;35,CT23+CS24-DB23,IF(A24&lt;'Données projet'!$A$140,$CQ$205^A24,IF(A24='Données projet'!$A$140,'Données projet'!$B$140,CT23+CS24-DB23)))</f>
        <v>25.6</v>
      </c>
      <c r="CU24" s="18">
        <f>CT24*VLOOKUP('Données projet'!$B$13,Paramètres!$A$1:$I$89,3,0)*VLOOKUP('Données projet'!$B$13,Paramètres!$A$1:$I$89,5,0)</f>
        <v>22.364160000000005</v>
      </c>
      <c r="CV24" s="14">
        <f t="shared" si="41"/>
        <v>7.1782194944528523</v>
      </c>
      <c r="CW24" s="22">
        <f t="shared" si="13"/>
        <v>51.452977619505397</v>
      </c>
      <c r="CX24" s="62">
        <f t="shared" si="14"/>
        <v>270.3105059953798</v>
      </c>
      <c r="CY24" s="62">
        <f ca="1">AVERAGE(OFFSET($CX$3,0,0,'Données projet'!$E$13+1,1))-AVERAGE(OFFSET($H$3,0,0,'Données projet'!$E$13+1,1))</f>
        <v>226.76930997889059</v>
      </c>
      <c r="CZ24" s="62">
        <f t="shared" si="42"/>
        <v>236.36066378969329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3</v>
      </c>
      <c r="DO24" s="13">
        <f>IF('Données projet'!$A$166&gt;35,DO23+DN24-DW23,IF(A24&lt;'Données projet'!$A$166,$DL$205^A24,IF(A24='Données projet'!$A$166,'Données projet'!$B$166,DO23+DN24-DW23)))</f>
        <v>24</v>
      </c>
      <c r="DP24" s="18">
        <f>DO24*VLOOKUP('Données projet'!$B$14,Paramètres!$A$1:$I$89,3,0)*VLOOKUP('Données projet'!$B$14,Paramètres!$A$1:$I$89,5,0)</f>
        <v>25.833600000000001</v>
      </c>
      <c r="DQ24" s="14">
        <f t="shared" si="43"/>
        <v>8.1537739978012986</v>
      </c>
      <c r="DR24" s="22">
        <f t="shared" si="16"/>
        <v>59.194676379503932</v>
      </c>
      <c r="DS24" s="62">
        <f t="shared" si="17"/>
        <v>278.05220475537828</v>
      </c>
      <c r="DT24" s="62">
        <f ca="1">AVERAGE(OFFSET($DS$3,0,0,'Données projet'!$E$14+1,1))-AVERAGE(OFFSET($H$3,0,0,'Données projet'!$E$14+1,1))</f>
        <v>315.12428188060306</v>
      </c>
      <c r="DU24" s="62">
        <f t="shared" si="44"/>
        <v>186.08400677811986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6.5384615384615374</v>
      </c>
      <c r="EJ24" s="13">
        <f>IF('Données projet'!$A$192&gt;35,EJ23+EI24-ER23,IF(A24&lt;'Données projet'!$A$192,$EG$205^A24,IF(A24='Données projet'!$A$192,'Données projet'!$B$192,EJ23+EI24-ER23)))</f>
        <v>65.512820512820497</v>
      </c>
      <c r="EK24" s="18">
        <f>EJ24*VLOOKUP('Données projet'!$B$15,Paramètres!$A$1:$I$89,3,0)*VLOOKUP('Données projet'!$B$15,Paramètres!$A$1:$I$89,5,0)</f>
        <v>68.47399999999999</v>
      </c>
      <c r="EL24" s="14">
        <f t="shared" si="45"/>
        <v>19.294013233443497</v>
      </c>
      <c r="EM24" s="22">
        <f t="shared" si="19"/>
        <v>152.8626230482474</v>
      </c>
      <c r="EN24" s="62">
        <f t="shared" si="20"/>
        <v>371.72015142412181</v>
      </c>
      <c r="EO24" s="62">
        <f ca="1">AVERAGE(OFFSET($EN$3,0,0,'Données projet'!$E$15+1,1))-AVERAGE(OFFSET($H$3,0,0,'Données projet'!$E$15+1,1))</f>
        <v>530.77325763685963</v>
      </c>
      <c r="EP24" s="62">
        <f t="shared" si="46"/>
        <v>344.23100274990145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90.580021122303947</v>
      </c>
      <c r="T25" s="62">
        <f t="shared" si="34"/>
        <v>375.77399473907451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75.921831430647373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3.7468943041861982</v>
      </c>
      <c r="AC25" s="24">
        <f t="shared" si="3"/>
        <v>79.668725734833572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87.3677313039193</v>
      </c>
      <c r="AO25" s="62">
        <f t="shared" si="36"/>
        <v>326.27342751542903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64.857693076147058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64.857693076147058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6.4</v>
      </c>
      <c r="BD25" s="13">
        <f>IF('Données projet'!$A$88&gt;35,BD24+BC25-BL24,IF(A25&lt;'Données projet'!$A$88,$BA$205^A25,IF(A25='Données projet'!$A$88,'Données projet'!$B$88,BD24+BC25-BL24)))</f>
        <v>116.8</v>
      </c>
      <c r="BE25" s="14">
        <f>BD25*VLOOKUP('Données projet'!$B$11,Paramètres!$A$1:$I$89,3,0)*VLOOKUP('Données projet'!$B$11,Paramètres!$A$1:$I$89,5,0)</f>
        <v>105.68064</v>
      </c>
      <c r="BF25" s="14">
        <f t="shared" si="37"/>
        <v>28.31094923104175</v>
      </c>
      <c r="BG25" s="22">
        <f t="shared" si="7"/>
        <v>233.36868457739772</v>
      </c>
      <c r="BH25" s="62">
        <f t="shared" si="8"/>
        <v>454.54959848086611</v>
      </c>
      <c r="BI25" s="62">
        <f ca="1">AVERAGE(OFFSET($BH$3,0,0,'Données projet'!$E$11+1,1))-AVERAGE(OFFSET($H$3,0,0,'Données projet'!$E$11+1,1))</f>
        <v>254.91239442958343</v>
      </c>
      <c r="BJ25" s="62">
        <f t="shared" si="38"/>
        <v>361.41009011468407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53.944800000000008</v>
      </c>
      <c r="CA25" s="14">
        <f t="shared" si="39"/>
        <v>15.627975445731321</v>
      </c>
      <c r="CB25" s="22">
        <f t="shared" si="10"/>
        <v>121.17258390131538</v>
      </c>
      <c r="CC25" s="62">
        <f t="shared" si="11"/>
        <v>342.35349780478379</v>
      </c>
      <c r="CD25" s="62">
        <f ca="1">AVERAGE(OFFSET($CC$3,0,0,'Données projet'!$E$12+1,1))-AVERAGE(OFFSET($H$3,0,0,'Données projet'!$E$12+1,1))</f>
        <v>516.30971934066179</v>
      </c>
      <c r="CE25" s="62">
        <f t="shared" si="40"/>
        <v>290.84286505723571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7.6</v>
      </c>
      <c r="CT25" s="13">
        <f>IF('Données projet'!$A$140&gt;35,CT24+CS25-DB24,IF(A25&lt;'Données projet'!$A$140,$CQ$205^A25,IF(A25='Données projet'!$A$140,'Données projet'!$B$140,CT24+CS25-DB24)))</f>
        <v>33.200000000000003</v>
      </c>
      <c r="CU25" s="18">
        <f>CT25*VLOOKUP('Données projet'!$B$13,Paramètres!$A$1:$I$89,3,0)*VLOOKUP('Données projet'!$B$13,Paramètres!$A$1:$I$89,5,0)</f>
        <v>29.003520000000005</v>
      </c>
      <c r="CV25" s="14">
        <f t="shared" si="41"/>
        <v>9.0317833500167612</v>
      </c>
      <c r="CW25" s="22">
        <f t="shared" si="13"/>
        <v>66.244820001279194</v>
      </c>
      <c r="CX25" s="62">
        <f t="shared" si="14"/>
        <v>287.42573390474757</v>
      </c>
      <c r="CY25" s="62">
        <f ca="1">AVERAGE(OFFSET($CX$3,0,0,'Données projet'!$E$13+1,1))-AVERAGE(OFFSET($H$3,0,0,'Données projet'!$E$13+1,1))</f>
        <v>226.76930997889059</v>
      </c>
      <c r="CZ25" s="62">
        <f t="shared" si="42"/>
        <v>236.36066378969329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3</v>
      </c>
      <c r="DO25" s="13">
        <f>IF('Données projet'!$A$166&gt;35,DO24+DN25-DW24,IF(A25&lt;'Données projet'!$A$166,$DL$205^A25,IF(A25='Données projet'!$A$166,'Données projet'!$B$166,DO24+DN25-DW24)))</f>
        <v>27</v>
      </c>
      <c r="DP25" s="18">
        <f>DO25*VLOOKUP('Données projet'!$B$14,Paramètres!$A$1:$I$89,3,0)*VLOOKUP('Données projet'!$B$14,Paramètres!$A$1:$I$89,5,0)</f>
        <v>29.062799999999999</v>
      </c>
      <c r="DQ25" s="14">
        <f t="shared" si="43"/>
        <v>9.0480926409310953</v>
      </c>
      <c r="DR25" s="22">
        <f t="shared" si="16"/>
        <v>66.376471349621667</v>
      </c>
      <c r="DS25" s="62">
        <f t="shared" si="17"/>
        <v>287.55738525309005</v>
      </c>
      <c r="DT25" s="62">
        <f ca="1">AVERAGE(OFFSET($DS$3,0,0,'Données projet'!$E$14+1,1))-AVERAGE(OFFSET($H$3,0,0,'Données projet'!$E$14+1,1))</f>
        <v>315.12428188060306</v>
      </c>
      <c r="DU25" s="62">
        <f t="shared" si="44"/>
        <v>186.08400677811986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6.5384615384615374</v>
      </c>
      <c r="EJ25" s="13">
        <f>IF('Données projet'!$A$192&gt;35,EJ24+EI25-ER24,IF(A25&lt;'Données projet'!$A$192,$EG$205^A25,IF(A25='Données projet'!$A$192,'Données projet'!$B$192,EJ24+EI25-ER24)))</f>
        <v>72.05128205128203</v>
      </c>
      <c r="EK25" s="18">
        <f>EJ25*VLOOKUP('Données projet'!$B$15,Paramètres!$A$1:$I$89,3,0)*VLOOKUP('Données projet'!$B$15,Paramètres!$A$1:$I$89,5,0)</f>
        <v>75.307999999999979</v>
      </c>
      <c r="EL25" s="14">
        <f t="shared" si="45"/>
        <v>20.985961565400835</v>
      </c>
      <c r="EM25" s="22">
        <f t="shared" si="19"/>
        <v>167.71198305973977</v>
      </c>
      <c r="EN25" s="62">
        <f t="shared" si="20"/>
        <v>388.89289696320816</v>
      </c>
      <c r="EO25" s="62">
        <f ca="1">AVERAGE(OFFSET($EN$3,0,0,'Données projet'!$E$15+1,1))-AVERAGE(OFFSET($H$3,0,0,'Données projet'!$E$15+1,1))</f>
        <v>530.77325763685963</v>
      </c>
      <c r="EP25" s="62">
        <f t="shared" si="46"/>
        <v>344.23100274990145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90.580021122303947</v>
      </c>
      <c r="T26" s="62">
        <f t="shared" si="34"/>
        <v>375.77399473907451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74.433050624037037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2.6494543708793112</v>
      </c>
      <c r="AC26" s="24">
        <f t="shared" si="3"/>
        <v>77.082504994916349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87.3677313039193</v>
      </c>
      <c r="AO26" s="62">
        <f t="shared" si="36"/>
        <v>326.27342751542903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63.585873274210435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63.585873274210435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6.4</v>
      </c>
      <c r="BD26" s="13">
        <f>IF('Données projet'!$A$88&gt;35,BD25+BC26-BL25,IF(A26&lt;'Données projet'!$A$88,$BA$205^A26,IF(A26='Données projet'!$A$88,'Données projet'!$B$88,BD25+BC26-BL25)))</f>
        <v>123.2</v>
      </c>
      <c r="BE26" s="14">
        <f>BD26*VLOOKUP('Données projet'!$B$11,Paramètres!$A$1:$I$89,3,0)*VLOOKUP('Données projet'!$B$11,Paramètres!$A$1:$I$89,5,0)</f>
        <v>111.47136</v>
      </c>
      <c r="BF26" s="14">
        <f t="shared" si="37"/>
        <v>29.677379926628468</v>
      </c>
      <c r="BG26" s="22">
        <f t="shared" si="7"/>
        <v>245.83405537221128</v>
      </c>
      <c r="BH26" s="62">
        <f t="shared" si="8"/>
        <v>469.31925208175778</v>
      </c>
      <c r="BI26" s="62">
        <f ca="1">AVERAGE(OFFSET($BH$3,0,0,'Données projet'!$E$11+1,1))-AVERAGE(OFFSET($H$3,0,0,'Données projet'!$E$11+1,1))</f>
        <v>254.91239442958343</v>
      </c>
      <c r="BJ26" s="62">
        <f t="shared" si="38"/>
        <v>361.41009011468407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59.623200000000011</v>
      </c>
      <c r="CA26" s="14">
        <f t="shared" si="39"/>
        <v>17.072967249098898</v>
      </c>
      <c r="CB26" s="22">
        <f t="shared" si="10"/>
        <v>133.57915795884725</v>
      </c>
      <c r="CC26" s="62">
        <f t="shared" si="11"/>
        <v>357.06435466839378</v>
      </c>
      <c r="CD26" s="62">
        <f ca="1">AVERAGE(OFFSET($CC$3,0,0,'Données projet'!$E$12+1,1))-AVERAGE(OFFSET($H$3,0,0,'Données projet'!$E$12+1,1))</f>
        <v>516.30971934066179</v>
      </c>
      <c r="CE26" s="62">
        <f t="shared" si="40"/>
        <v>290.84286505723571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7.6</v>
      </c>
      <c r="CT26" s="13">
        <f>IF('Données projet'!$A$140&gt;35,CT25+CS26-DB25,IF(A26&lt;'Données projet'!$A$140,$CQ$205^A26,IF(A26='Données projet'!$A$140,'Données projet'!$B$140,CT25+CS26-DB25)))</f>
        <v>40.800000000000004</v>
      </c>
      <c r="CU26" s="18">
        <f>CT26*VLOOKUP('Données projet'!$B$13,Paramètres!$A$1:$I$89,3,0)*VLOOKUP('Données projet'!$B$13,Paramètres!$A$1:$I$89,5,0)</f>
        <v>35.642880000000012</v>
      </c>
      <c r="CV26" s="14">
        <f t="shared" si="41"/>
        <v>10.836155304531358</v>
      </c>
      <c r="CW26" s="22">
        <f t="shared" si="13"/>
        <v>80.950986488725476</v>
      </c>
      <c r="CX26" s="62">
        <f t="shared" si="14"/>
        <v>304.43618319827198</v>
      </c>
      <c r="CY26" s="62">
        <f ca="1">AVERAGE(OFFSET($CX$3,0,0,'Données projet'!$E$13+1,1))-AVERAGE(OFFSET($H$3,0,0,'Données projet'!$E$13+1,1))</f>
        <v>226.76930997889059</v>
      </c>
      <c r="CZ26" s="62">
        <f t="shared" si="42"/>
        <v>236.36066378969329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3</v>
      </c>
      <c r="DO26" s="13">
        <f>IF('Données projet'!$A$166&gt;35,DO25+DN26-DW25,IF(A26&lt;'Données projet'!$A$166,$DL$205^A26,IF(A26='Données projet'!$A$166,'Données projet'!$B$166,DO25+DN26-DW25)))</f>
        <v>30</v>
      </c>
      <c r="DP26" s="18">
        <f>DO26*VLOOKUP('Données projet'!$B$14,Paramètres!$A$1:$I$89,3,0)*VLOOKUP('Données projet'!$B$14,Paramètres!$A$1:$I$89,5,0)</f>
        <v>32.292000000000002</v>
      </c>
      <c r="DQ26" s="14">
        <f t="shared" si="43"/>
        <v>9.9308942483743401</v>
      </c>
      <c r="DR26" s="22">
        <f t="shared" si="16"/>
        <v>73.538207482585321</v>
      </c>
      <c r="DS26" s="62">
        <f t="shared" si="17"/>
        <v>297.02340419213181</v>
      </c>
      <c r="DT26" s="62">
        <f ca="1">AVERAGE(OFFSET($DS$3,0,0,'Données projet'!$E$14+1,1))-AVERAGE(OFFSET($H$3,0,0,'Données projet'!$E$14+1,1))</f>
        <v>315.12428188060306</v>
      </c>
      <c r="DU26" s="62">
        <f t="shared" si="44"/>
        <v>186.08400677811986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6.5384615384615374</v>
      </c>
      <c r="EJ26" s="13">
        <f>IF('Données projet'!$A$192&gt;35,EJ25+EI26-ER25,IF(A26&lt;'Données projet'!$A$192,$EG$205^A26,IF(A26='Données projet'!$A$192,'Données projet'!$B$192,EJ25+EI26-ER25)))</f>
        <v>78.589743589743563</v>
      </c>
      <c r="EK26" s="18">
        <f>EJ26*VLOOKUP('Données projet'!$B$15,Paramètres!$A$1:$I$89,3,0)*VLOOKUP('Données projet'!$B$15,Paramètres!$A$1:$I$89,5,0)</f>
        <v>82.141999999999982</v>
      </c>
      <c r="EL26" s="14">
        <f t="shared" si="45"/>
        <v>22.660106151503225</v>
      </c>
      <c r="EM26" s="22">
        <f t="shared" si="19"/>
        <v>182.53033488053475</v>
      </c>
      <c r="EN26" s="62">
        <f t="shared" si="20"/>
        <v>406.01553159008125</v>
      </c>
      <c r="EO26" s="62">
        <f ca="1">AVERAGE(OFFSET($EN$3,0,0,'Données projet'!$E$15+1,1))-AVERAGE(OFFSET($H$3,0,0,'Données projet'!$E$15+1,1))</f>
        <v>530.77325763685963</v>
      </c>
      <c r="EP26" s="62">
        <f t="shared" si="46"/>
        <v>344.23100274990145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90.580021122303947</v>
      </c>
      <c r="T27" s="62">
        <f t="shared" si="34"/>
        <v>375.77399473907451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72.973463900977706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1.8734471520930991</v>
      </c>
      <c r="AC27" s="24">
        <f t="shared" si="3"/>
        <v>74.846911053070798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87.3677313039193</v>
      </c>
      <c r="AO27" s="62">
        <f t="shared" si="36"/>
        <v>326.27342751542903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62.338993082856305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62.338993082856305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6.4</v>
      </c>
      <c r="BD27" s="13">
        <f>IF('Données projet'!$A$88&gt;35,BD26+BC27-BL26,IF(A27&lt;'Données projet'!$A$88,$BA$205^A27,IF(A27='Données projet'!$A$88,'Données projet'!$B$88,BD26+BC27-BL26)))</f>
        <v>129.6</v>
      </c>
      <c r="BE27" s="14">
        <f>BD27*VLOOKUP('Données projet'!$B$11,Paramètres!$A$1:$I$89,3,0)*VLOOKUP('Données projet'!$B$11,Paramètres!$A$1:$I$89,5,0)</f>
        <v>117.26208</v>
      </c>
      <c r="BF27" s="14">
        <f t="shared" si="37"/>
        <v>31.035569170075775</v>
      </c>
      <c r="BG27" s="22">
        <f t="shared" si="7"/>
        <v>258.28507230454863</v>
      </c>
      <c r="BH27" s="62">
        <f t="shared" si="8"/>
        <v>484.05578048816847</v>
      </c>
      <c r="BI27" s="62">
        <f ca="1">AVERAGE(OFFSET($BH$3,0,0,'Données projet'!$E$11+1,1))-AVERAGE(OFFSET($H$3,0,0,'Données projet'!$E$11+1,1))</f>
        <v>254.91239442958343</v>
      </c>
      <c r="BJ27" s="62">
        <f t="shared" si="38"/>
        <v>361.41009011468407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65.301600000000008</v>
      </c>
      <c r="CA27" s="14">
        <f t="shared" si="39"/>
        <v>18.502003309535596</v>
      </c>
      <c r="CB27" s="22">
        <f t="shared" si="10"/>
        <v>145.95794243077449</v>
      </c>
      <c r="CC27" s="62">
        <f t="shared" si="11"/>
        <v>371.72865061439427</v>
      </c>
      <c r="CD27" s="62">
        <f ca="1">AVERAGE(OFFSET($CC$3,0,0,'Données projet'!$E$12+1,1))-AVERAGE(OFFSET($H$3,0,0,'Données projet'!$E$12+1,1))</f>
        <v>516.30971934066179</v>
      </c>
      <c r="CE27" s="62">
        <f t="shared" si="40"/>
        <v>290.84286505723571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7.6</v>
      </c>
      <c r="CT27" s="13">
        <f>IF('Données projet'!$A$140&gt;35,CT26+CS27-DB26,IF(A27&lt;'Données projet'!$A$140,$CQ$205^A27,IF(A27='Données projet'!$A$140,'Données projet'!$B$140,CT26+CS27-DB26)))</f>
        <v>48.400000000000006</v>
      </c>
      <c r="CU27" s="18">
        <f>CT27*VLOOKUP('Données projet'!$B$13,Paramètres!$A$1:$I$89,3,0)*VLOOKUP('Données projet'!$B$13,Paramètres!$A$1:$I$89,5,0)</f>
        <v>42.282240000000009</v>
      </c>
      <c r="CV27" s="14">
        <f t="shared" si="41"/>
        <v>12.60158758294113</v>
      </c>
      <c r="CW27" s="22">
        <f t="shared" si="13"/>
        <v>95.589333040289148</v>
      </c>
      <c r="CX27" s="62">
        <f t="shared" si="14"/>
        <v>321.36004122390898</v>
      </c>
      <c r="CY27" s="62">
        <f ca="1">AVERAGE(OFFSET($CX$3,0,0,'Données projet'!$E$13+1,1))-AVERAGE(OFFSET($H$3,0,0,'Données projet'!$E$13+1,1))</f>
        <v>226.76930997889059</v>
      </c>
      <c r="CZ27" s="62">
        <f t="shared" si="42"/>
        <v>236.36066378969329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3</v>
      </c>
      <c r="DO27" s="13">
        <f>IF('Données projet'!$A$166&gt;35,DO26+DN27-DW26,IF(A27&lt;'Données projet'!$A$166,$DL$205^A27,IF(A27='Données projet'!$A$166,'Données projet'!$B$166,DO26+DN27-DW26)))</f>
        <v>33</v>
      </c>
      <c r="DP27" s="18">
        <f>DO27*VLOOKUP('Données projet'!$B$14,Paramètres!$A$1:$I$89,3,0)*VLOOKUP('Données projet'!$B$14,Paramètres!$A$1:$I$89,5,0)</f>
        <v>35.5212</v>
      </c>
      <c r="DQ27" s="14">
        <f t="shared" si="43"/>
        <v>10.803461630334509</v>
      </c>
      <c r="DR27" s="22">
        <f t="shared" si="16"/>
        <v>80.682119006165934</v>
      </c>
      <c r="DS27" s="62">
        <f t="shared" si="17"/>
        <v>306.45282718978575</v>
      </c>
      <c r="DT27" s="62">
        <f ca="1">AVERAGE(OFFSET($DS$3,0,0,'Données projet'!$E$14+1,1))-AVERAGE(OFFSET($H$3,0,0,'Données projet'!$E$14+1,1))</f>
        <v>315.12428188060306</v>
      </c>
      <c r="DU27" s="62">
        <f t="shared" si="44"/>
        <v>186.08400677811986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6.5384615384615374</v>
      </c>
      <c r="EJ27" s="13">
        <f>IF('Données projet'!$A$192&gt;35,EJ26+EI27-ER26,IF(A27&lt;'Données projet'!$A$192,$EG$205^A27,IF(A27='Données projet'!$A$192,'Données projet'!$B$192,EJ26+EI27-ER26)))</f>
        <v>85.128205128205096</v>
      </c>
      <c r="EK27" s="18">
        <f>EJ27*VLOOKUP('Données projet'!$B$15,Paramètres!$A$1:$I$89,3,0)*VLOOKUP('Données projet'!$B$15,Paramètres!$A$1:$I$89,5,0)</f>
        <v>88.975999999999971</v>
      </c>
      <c r="EL27" s="14">
        <f t="shared" si="45"/>
        <v>24.318096618795476</v>
      </c>
      <c r="EM27" s="22">
        <f t="shared" si="19"/>
        <v>197.32055161106871</v>
      </c>
      <c r="EN27" s="62">
        <f t="shared" si="20"/>
        <v>423.09125979468854</v>
      </c>
      <c r="EO27" s="62">
        <f ca="1">AVERAGE(OFFSET($EN$3,0,0,'Données projet'!$E$15+1,1))-AVERAGE(OFFSET($H$3,0,0,'Données projet'!$E$15+1,1))</f>
        <v>530.77325763685963</v>
      </c>
      <c r="EP27" s="62">
        <f t="shared" si="46"/>
        <v>344.23100274990145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90.580021122303947</v>
      </c>
      <c r="T28" s="62">
        <f t="shared" si="34"/>
        <v>375.77399473907451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71.542498783297575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1.3247271854396556</v>
      </c>
      <c r="AC28" s="24">
        <f t="shared" si="3"/>
        <v>72.86722596873723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87.3677313039193</v>
      </c>
      <c r="AO28" s="62">
        <f t="shared" si="36"/>
        <v>326.27342751542903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61.116563451532812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61.116563451532812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136</v>
      </c>
      <c r="BB28" s="13">
        <f>VLOOKUP(A28,'Données projet'!$A$87:$I$107,9,0)</f>
        <v>6.4</v>
      </c>
      <c r="BC28" s="13">
        <f t="array" ref="BC28">INDEX(BB:BB,MIN(IF(ISNUMBER(BB28:BB224),ROW(BB28:BB224),"")))</f>
        <v>6.4</v>
      </c>
      <c r="BD28" s="13">
        <f>IF('Données projet'!$A$88&gt;35,BD27+BC28-BL27,IF(A28&lt;'Données projet'!$A$88,$BA$205^A28,IF(A28='Données projet'!$A$88,'Données projet'!$B$88,BD27+BC28-BL27)))</f>
        <v>136</v>
      </c>
      <c r="BE28" s="14">
        <f>BD28*VLOOKUP('Données projet'!$B$11,Paramètres!$A$1:$I$89,3,0)*VLOOKUP('Données projet'!$B$11,Paramètres!$A$1:$I$89,5,0)</f>
        <v>123.05279999999999</v>
      </c>
      <c r="BF28" s="14">
        <f t="shared" si="37"/>
        <v>32.385970393750824</v>
      </c>
      <c r="BG28" s="22">
        <f t="shared" si="7"/>
        <v>270.72252510244931</v>
      </c>
      <c r="BH28" s="62">
        <f t="shared" si="8"/>
        <v>498.76029906878142</v>
      </c>
      <c r="BI28" s="62">
        <f ca="1">AVERAGE(OFFSET($BH$3,0,0,'Données projet'!$E$11+1,1))-AVERAGE(OFFSET($H$3,0,0,'Données projet'!$E$11+1,1))</f>
        <v>254.91239442958343</v>
      </c>
      <c r="BJ28" s="62">
        <f t="shared" si="38"/>
        <v>361.41009011468407</v>
      </c>
      <c r="BK28" s="16">
        <f>IF(ISNA(VLOOKUP(A28,'Données projet'!$A$87:$I$107,3,0)),0,VLOOKUP(A28,'Données projet'!$A$87:$I$107,3,0))</f>
        <v>4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70.98</v>
      </c>
      <c r="CA28" s="14">
        <f t="shared" si="39"/>
        <v>19.916628839746853</v>
      </c>
      <c r="CB28" s="22">
        <f t="shared" si="10"/>
        <v>158.31162856255909</v>
      </c>
      <c r="CC28" s="62">
        <f t="shared" si="11"/>
        <v>386.34940252889123</v>
      </c>
      <c r="CD28" s="62">
        <f ca="1">AVERAGE(OFFSET($CC$3,0,0,'Données projet'!$E$12+1,1))-AVERAGE(OFFSET($H$3,0,0,'Données projet'!$E$12+1,1))</f>
        <v>516.30971934066179</v>
      </c>
      <c r="CE28" s="62">
        <f t="shared" si="40"/>
        <v>290.84286505723571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56</v>
      </c>
      <c r="CR28" s="13">
        <f>VLOOKUP(A28,'Données projet'!$A$139:$I$159,9,0)</f>
        <v>7.6</v>
      </c>
      <c r="CS28" s="13">
        <f t="array" ref="CS28">INDEX(CR:CR,MIN(IF(ISNUMBER(CR28:CR224),ROW(CR28:CR224),"")))</f>
        <v>7.6</v>
      </c>
      <c r="CT28" s="13">
        <f>IF('Données projet'!$A$140&gt;35,CT27+CS28-DB27,IF(A28&lt;'Données projet'!$A$140,$CQ$205^A28,IF(A28='Données projet'!$A$140,'Données projet'!$B$140,CT27+CS28-DB27)))</f>
        <v>56.000000000000007</v>
      </c>
      <c r="CU28" s="18">
        <f>CT28*VLOOKUP('Données projet'!$B$13,Paramètres!$A$1:$I$89,3,0)*VLOOKUP('Données projet'!$B$13,Paramètres!$A$1:$I$89,5,0)</f>
        <v>48.921600000000012</v>
      </c>
      <c r="CV28" s="14">
        <f t="shared" si="41"/>
        <v>14.334905731333873</v>
      </c>
      <c r="CW28" s="22">
        <f t="shared" si="13"/>
        <v>110.1717474820732</v>
      </c>
      <c r="CX28" s="62">
        <f t="shared" si="14"/>
        <v>338.20952144840533</v>
      </c>
      <c r="CY28" s="62">
        <f ca="1">AVERAGE(OFFSET($CX$3,0,0,'Données projet'!$E$13+1,1))-AVERAGE(OFFSET($H$3,0,0,'Données projet'!$E$13+1,1))</f>
        <v>226.76930997889059</v>
      </c>
      <c r="CZ28" s="62">
        <f t="shared" si="42"/>
        <v>236.36066378969329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36</v>
      </c>
      <c r="DM28" s="13">
        <f>VLOOKUP(A28,'Données projet'!$A$165:$I$185,9,0)</f>
        <v>3</v>
      </c>
      <c r="DN28" s="13">
        <f t="array" ref="DN28">INDEX(DM:DM,MIN(IF(ISNUMBER(DM28:DM224),ROW(DM28:DM224),"")))</f>
        <v>3</v>
      </c>
      <c r="DO28" s="13">
        <f>IF('Données projet'!$A$166&gt;35,DO27+DN28-DW27,IF(A28&lt;'Données projet'!$A$166,$DL$205^A28,IF(A28='Données projet'!$A$166,'Données projet'!$B$166,DO27+DN28-DW27)))</f>
        <v>36</v>
      </c>
      <c r="DP28" s="18">
        <f>DO28*VLOOKUP('Données projet'!$B$14,Paramètres!$A$1:$I$89,3,0)*VLOOKUP('Données projet'!$B$14,Paramètres!$A$1:$I$89,5,0)</f>
        <v>38.750399999999999</v>
      </c>
      <c r="DQ28" s="14">
        <f t="shared" si="43"/>
        <v>11.666830981019302</v>
      </c>
      <c r="DR28" s="22">
        <f t="shared" si="16"/>
        <v>87.810010625275268</v>
      </c>
      <c r="DS28" s="62">
        <f t="shared" si="17"/>
        <v>315.84778459160736</v>
      </c>
      <c r="DT28" s="62">
        <f ca="1">AVERAGE(OFFSET($DS$3,0,0,'Données projet'!$E$14+1,1))-AVERAGE(OFFSET($H$3,0,0,'Données projet'!$E$14+1,1))</f>
        <v>315.12428188060306</v>
      </c>
      <c r="DU28" s="62">
        <f t="shared" si="44"/>
        <v>186.08400677811986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91.666666666666657</v>
      </c>
      <c r="EH28" s="13">
        <f>VLOOKUP(A28,'Données projet'!$A$191:$I$211,9,0)</f>
        <v>6.5384615384615374</v>
      </c>
      <c r="EI28" s="13">
        <f t="array" ref="EI28">INDEX(EH:EH,MIN(IF(ISNUMBER(EH28:EH224),ROW(EH28:EH224),"")))</f>
        <v>6.5384615384615374</v>
      </c>
      <c r="EJ28" s="13">
        <f>IF('Données projet'!$A$192&gt;35,EJ27+EI28-ER27,IF(A28&lt;'Données projet'!$A$192,$EG$205^A28,IF(A28='Données projet'!$A$192,'Données projet'!$B$192,EJ27+EI28-ER27)))</f>
        <v>91.666666666666629</v>
      </c>
      <c r="EK28" s="18">
        <f>EJ28*VLOOKUP('Données projet'!$B$15,Paramètres!$A$1:$I$89,3,0)*VLOOKUP('Données projet'!$B$15,Paramètres!$A$1:$I$89,5,0)</f>
        <v>95.80999999999996</v>
      </c>
      <c r="EL28" s="14">
        <f t="shared" si="45"/>
        <v>25.961314793499493</v>
      </c>
      <c r="EM28" s="22">
        <f t="shared" si="19"/>
        <v>212.08503993201154</v>
      </c>
      <c r="EN28" s="62">
        <f t="shared" si="20"/>
        <v>440.12281389834368</v>
      </c>
      <c r="EO28" s="62">
        <f ca="1">AVERAGE(OFFSET($EN$3,0,0,'Données projet'!$E$15+1,1))-AVERAGE(OFFSET($H$3,0,0,'Données projet'!$E$15+1,1))</f>
        <v>530.77325763685963</v>
      </c>
      <c r="EP28" s="62">
        <f t="shared" si="46"/>
        <v>344.23100274990145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90.580021122303947</v>
      </c>
      <c r="T29" s="62">
        <f t="shared" si="34"/>
        <v>375.77399473907451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70.139594018772613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0.93672357604654954</v>
      </c>
      <c r="AC29" s="24">
        <f t="shared" si="3"/>
        <v>71.076317594819159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87.3677313039193</v>
      </c>
      <c r="AO29" s="62">
        <f t="shared" si="36"/>
        <v>326.27342751542903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59.918104919671123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59.918104919671123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5.2</v>
      </c>
      <c r="BD29" s="13">
        <f>IF('Données projet'!$A$88&gt;35,BD28+BC29-BL28,IF(A29&lt;'Données projet'!$A$88,$BA$205^A29,IF(A29='Données projet'!$A$88,'Données projet'!$B$88,BD28+BC29-BL28)))</f>
        <v>133.19999999999999</v>
      </c>
      <c r="BE29" s="14">
        <f>BD29*VLOOKUP('Données projet'!$B$11,Paramètres!$A$1:$I$89,3,0)*VLOOKUP('Données projet'!$B$11,Paramètres!$A$1:$I$89,5,0)</f>
        <v>120.51935999999998</v>
      </c>
      <c r="BF29" s="14">
        <f t="shared" si="37"/>
        <v>31.796101022354524</v>
      </c>
      <c r="BG29" s="22">
        <f t="shared" si="7"/>
        <v>265.28276128060071</v>
      </c>
      <c r="BH29" s="62">
        <f t="shared" si="8"/>
        <v>495.56947532979086</v>
      </c>
      <c r="BI29" s="62">
        <f ca="1">AVERAGE(OFFSET($BH$3,0,0,'Données projet'!$E$11+1,1))-AVERAGE(OFFSET($H$3,0,0,'Données projet'!$E$11+1,1))</f>
        <v>254.91239442958343</v>
      </c>
      <c r="BJ29" s="62">
        <f t="shared" si="38"/>
        <v>361.41009011468407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78.078000000000003</v>
      </c>
      <c r="CA29" s="14">
        <f t="shared" si="39"/>
        <v>21.666582091642084</v>
      </c>
      <c r="CB29" s="22">
        <f t="shared" si="10"/>
        <v>173.72181380960993</v>
      </c>
      <c r="CC29" s="62">
        <f t="shared" si="11"/>
        <v>404.00852785880011</v>
      </c>
      <c r="CD29" s="62">
        <f ca="1">AVERAGE(OFFSET($CC$3,0,0,'Données projet'!$E$12+1,1))-AVERAGE(OFFSET($H$3,0,0,'Données projet'!$E$12+1,1))</f>
        <v>516.30971934066179</v>
      </c>
      <c r="CE29" s="62">
        <f t="shared" si="40"/>
        <v>290.84286505723571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7.4</v>
      </c>
      <c r="CT29" s="13">
        <f>IF('Données projet'!$A$140&gt;35,CT28+CS29-DB28,IF(A29&lt;'Données projet'!$A$140,$CQ$205^A29,IF(A29='Données projet'!$A$140,'Données projet'!$B$140,CT28+CS29-DB28)))</f>
        <v>63.400000000000006</v>
      </c>
      <c r="CU29" s="18">
        <f>CT29*VLOOKUP('Données projet'!$B$13,Paramètres!$A$1:$I$89,3,0)*VLOOKUP('Données projet'!$B$13,Paramètres!$A$1:$I$89,5,0)</f>
        <v>55.386240000000008</v>
      </c>
      <c r="CV29" s="14">
        <f t="shared" si="41"/>
        <v>15.996389447319554</v>
      </c>
      <c r="CW29" s="22">
        <f t="shared" si="13"/>
        <v>124.32474628741488</v>
      </c>
      <c r="CX29" s="62">
        <f t="shared" si="14"/>
        <v>354.61146033660509</v>
      </c>
      <c r="CY29" s="62">
        <f ca="1">AVERAGE(OFFSET($CX$3,0,0,'Données projet'!$E$13+1,1))-AVERAGE(OFFSET($H$3,0,0,'Données projet'!$E$13+1,1))</f>
        <v>226.76930997889059</v>
      </c>
      <c r="CZ29" s="62">
        <f t="shared" si="42"/>
        <v>236.36066378969329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3.6</v>
      </c>
      <c r="DO29" s="13">
        <f>IF('Données projet'!$A$166&gt;35,DO28+DN29-DW28,IF(A29&lt;'Données projet'!$A$166,$DL$205^A29,IF(A29='Données projet'!$A$166,'Données projet'!$B$166,DO28+DN29-DW28)))</f>
        <v>39.6</v>
      </c>
      <c r="DP29" s="18">
        <f>DO29*VLOOKUP('Données projet'!$B$14,Paramètres!$A$1:$I$89,3,0)*VLOOKUP('Données projet'!$B$14,Paramètres!$A$1:$I$89,5,0)</f>
        <v>42.625439999999998</v>
      </c>
      <c r="DQ29" s="14">
        <f t="shared" si="43"/>
        <v>12.691924583898647</v>
      </c>
      <c r="DR29" s="22">
        <f t="shared" si="16"/>
        <v>96.344409983623464</v>
      </c>
      <c r="DS29" s="62">
        <f t="shared" si="17"/>
        <v>326.63112403281366</v>
      </c>
      <c r="DT29" s="62">
        <f ca="1">AVERAGE(OFFSET($DS$3,0,0,'Données projet'!$E$14+1,1))-AVERAGE(OFFSET($H$3,0,0,'Données projet'!$E$14+1,1))</f>
        <v>315.12428188060306</v>
      </c>
      <c r="DU29" s="62">
        <f t="shared" si="44"/>
        <v>186.08400677811986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6.7948717948717956</v>
      </c>
      <c r="EJ29" s="13">
        <f>IF('Données projet'!$A$192&gt;35,EJ28+EI29-ER28,IF(A29&lt;'Données projet'!$A$192,$EG$205^A29,IF(A29='Données projet'!$A$192,'Données projet'!$B$192,EJ28+EI29-ER28)))</f>
        <v>98.461538461538424</v>
      </c>
      <c r="EK29" s="18">
        <f>EJ29*VLOOKUP('Données projet'!$B$15,Paramètres!$A$1:$I$89,3,0)*VLOOKUP('Données projet'!$B$15,Paramètres!$A$1:$I$89,5,0)</f>
        <v>102.91199999999996</v>
      </c>
      <c r="EL29" s="14">
        <f t="shared" si="45"/>
        <v>27.65457819507073</v>
      </c>
      <c r="EM29" s="22">
        <f t="shared" si="19"/>
        <v>227.40345702308142</v>
      </c>
      <c r="EN29" s="62">
        <f t="shared" si="20"/>
        <v>457.6901710722716</v>
      </c>
      <c r="EO29" s="62">
        <f ca="1">AVERAGE(OFFSET($EN$3,0,0,'Données projet'!$E$15+1,1))-AVERAGE(OFFSET($H$3,0,0,'Données projet'!$E$15+1,1))</f>
        <v>530.77325763685963</v>
      </c>
      <c r="EP29" s="62">
        <f t="shared" si="46"/>
        <v>344.23100274990145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90.580021122303947</v>
      </c>
      <c r="T30" s="62">
        <f t="shared" si="34"/>
        <v>375.77399473907451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68.764199360992563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0.66236359271982781</v>
      </c>
      <c r="AC30" s="24">
        <f t="shared" si="3"/>
        <v>69.426562953712391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87.3677313039193</v>
      </c>
      <c r="AO30" s="62">
        <f t="shared" si="36"/>
        <v>326.27342751542903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58.743147428631715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58.743147428631715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5.2</v>
      </c>
      <c r="BD30" s="13">
        <f>IF('Données projet'!$A$88&gt;35,BD29+BC30-BL29,IF(A30&lt;'Données projet'!$A$88,$BA$205^A30,IF(A30='Données projet'!$A$88,'Données projet'!$B$88,BD29+BC30-BL29)))</f>
        <v>138.39999999999998</v>
      </c>
      <c r="BE30" s="14">
        <f>BD30*VLOOKUP('Données projet'!$B$11,Paramètres!$A$1:$I$89,3,0)*VLOOKUP('Données projet'!$B$11,Paramètres!$A$1:$I$89,5,0)</f>
        <v>125.22431999999996</v>
      </c>
      <c r="BF30" s="14">
        <f t="shared" si="37"/>
        <v>32.890447642602773</v>
      </c>
      <c r="BG30" s="22">
        <f t="shared" si="7"/>
        <v>275.38322031086642</v>
      </c>
      <c r="BH30" s="62">
        <f t="shared" si="8"/>
        <v>507.90106318342993</v>
      </c>
      <c r="BI30" s="62">
        <f ca="1">AVERAGE(OFFSET($BH$3,0,0,'Données projet'!$E$11+1,1))-AVERAGE(OFFSET($H$3,0,0,'Données projet'!$E$11+1,1))</f>
        <v>254.91239442958343</v>
      </c>
      <c r="BJ30" s="62">
        <f t="shared" si="38"/>
        <v>361.41009011468407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85.176000000000002</v>
      </c>
      <c r="CA30" s="14">
        <f t="shared" si="39"/>
        <v>23.398088487656441</v>
      </c>
      <c r="CB30" s="22">
        <f t="shared" si="10"/>
        <v>189.09987078266829</v>
      </c>
      <c r="CC30" s="62">
        <f t="shared" si="11"/>
        <v>421.6177136552318</v>
      </c>
      <c r="CD30" s="62">
        <f ca="1">AVERAGE(OFFSET($CC$3,0,0,'Données projet'!$E$12+1,1))-AVERAGE(OFFSET($H$3,0,0,'Données projet'!$E$12+1,1))</f>
        <v>516.30971934066179</v>
      </c>
      <c r="CE30" s="62">
        <f t="shared" si="40"/>
        <v>290.84286505723571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7.4</v>
      </c>
      <c r="CT30" s="13">
        <f>IF('Données projet'!$A$140&gt;35,CT29+CS30-DB29,IF(A30&lt;'Données projet'!$A$140,$CQ$205^A30,IF(A30='Données projet'!$A$140,'Données projet'!$B$140,CT29+CS30-DB29)))</f>
        <v>70.800000000000011</v>
      </c>
      <c r="CU30" s="18">
        <f>CT30*VLOOKUP('Données projet'!$B$13,Paramètres!$A$1:$I$89,3,0)*VLOOKUP('Données projet'!$B$13,Paramètres!$A$1:$I$89,5,0)</f>
        <v>61.850880000000018</v>
      </c>
      <c r="CV30" s="14">
        <f t="shared" si="41"/>
        <v>17.635398883369188</v>
      </c>
      <c r="CW30" s="22">
        <f t="shared" si="13"/>
        <v>138.43860238853472</v>
      </c>
      <c r="CX30" s="62">
        <f t="shared" si="14"/>
        <v>370.95644526109822</v>
      </c>
      <c r="CY30" s="62">
        <f ca="1">AVERAGE(OFFSET($CX$3,0,0,'Données projet'!$E$13+1,1))-AVERAGE(OFFSET($H$3,0,0,'Données projet'!$E$13+1,1))</f>
        <v>226.76930997889059</v>
      </c>
      <c r="CZ30" s="62">
        <f t="shared" si="42"/>
        <v>236.36066378969329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3.6</v>
      </c>
      <c r="DO30" s="13">
        <f>IF('Données projet'!$A$166&gt;35,DO29+DN30-DW29,IF(A30&lt;'Données projet'!$A$166,$DL$205^A30,IF(A30='Données projet'!$A$166,'Données projet'!$B$166,DO29+DN30-DW29)))</f>
        <v>43.2</v>
      </c>
      <c r="DP30" s="18">
        <f>DO30*VLOOKUP('Données projet'!$B$14,Paramètres!$A$1:$I$89,3,0)*VLOOKUP('Données projet'!$B$14,Paramètres!$A$1:$I$89,5,0)</f>
        <v>46.500480000000003</v>
      </c>
      <c r="DQ30" s="14">
        <f t="shared" si="43"/>
        <v>13.706212324429247</v>
      </c>
      <c r="DR30" s="22">
        <f t="shared" si="16"/>
        <v>104.85998913171427</v>
      </c>
      <c r="DS30" s="62">
        <f t="shared" si="17"/>
        <v>337.37783200427776</v>
      </c>
      <c r="DT30" s="62">
        <f ca="1">AVERAGE(OFFSET($DS$3,0,0,'Données projet'!$E$14+1,1))-AVERAGE(OFFSET($H$3,0,0,'Données projet'!$E$14+1,1))</f>
        <v>315.12428188060306</v>
      </c>
      <c r="DU30" s="62">
        <f t="shared" si="44"/>
        <v>186.08400677811986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6.7948717948717956</v>
      </c>
      <c r="EJ30" s="13">
        <f>IF('Données projet'!$A$192&gt;35,EJ29+EI30-ER29,IF(A30&lt;'Données projet'!$A$192,$EG$205^A30,IF(A30='Données projet'!$A$192,'Données projet'!$B$192,EJ29+EI30-ER29)))</f>
        <v>105.25641025641022</v>
      </c>
      <c r="EK30" s="18">
        <f>EJ30*VLOOKUP('Données projet'!$B$15,Paramètres!$A$1:$I$89,3,0)*VLOOKUP('Données projet'!$B$15,Paramètres!$A$1:$I$89,5,0)</f>
        <v>110.01399999999998</v>
      </c>
      <c r="EL30" s="14">
        <f t="shared" si="45"/>
        <v>29.334283057323191</v>
      </c>
      <c r="EM30" s="22">
        <f t="shared" si="19"/>
        <v>242.69825965817117</v>
      </c>
      <c r="EN30" s="62">
        <f t="shared" si="20"/>
        <v>475.2161025307347</v>
      </c>
      <c r="EO30" s="62">
        <f ca="1">AVERAGE(OFFSET($EN$3,0,0,'Données projet'!$E$15+1,1))-AVERAGE(OFFSET($H$3,0,0,'Données projet'!$E$15+1,1))</f>
        <v>530.77325763685963</v>
      </c>
      <c r="EP30" s="62">
        <f t="shared" si="46"/>
        <v>344.23100274990145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90.580021122303947</v>
      </c>
      <c r="T31" s="62">
        <f t="shared" si="34"/>
        <v>375.77399473907451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67.41577535354368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0.46836178802327477</v>
      </c>
      <c r="AC31" s="24">
        <f t="shared" si="3"/>
        <v>67.884137141566953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87.3677313039193</v>
      </c>
      <c r="AO31" s="62">
        <f t="shared" si="36"/>
        <v>326.27342751542903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57.591230137338279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57.591230137338279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5.2</v>
      </c>
      <c r="BD31" s="13">
        <f>IF('Données projet'!$A$88&gt;35,BD30+BC31-BL30,IF(A31&lt;'Données projet'!$A$88,$BA$205^A31,IF(A31='Données projet'!$A$88,'Données projet'!$B$88,BD30+BC31-BL30)))</f>
        <v>143.59999999999997</v>
      </c>
      <c r="BE31" s="14">
        <f>BD31*VLOOKUP('Données projet'!$B$11,Paramètres!$A$1:$I$89,3,0)*VLOOKUP('Données projet'!$B$11,Paramètres!$A$1:$I$89,5,0)</f>
        <v>129.92927999999995</v>
      </c>
      <c r="BF31" s="14">
        <f t="shared" si="37"/>
        <v>33.980017499256149</v>
      </c>
      <c r="BG31" s="22">
        <f t="shared" si="7"/>
        <v>285.47535981120433</v>
      </c>
      <c r="BH31" s="62">
        <f t="shared" si="8"/>
        <v>520.20682923318839</v>
      </c>
      <c r="BI31" s="62">
        <f ca="1">AVERAGE(OFFSET($BH$3,0,0,'Données projet'!$E$11+1,1))-AVERAGE(OFFSET($H$3,0,0,'Données projet'!$E$11+1,1))</f>
        <v>254.91239442958343</v>
      </c>
      <c r="BJ31" s="62">
        <f t="shared" si="38"/>
        <v>361.41009011468407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92.274000000000001</v>
      </c>
      <c r="CA31" s="14">
        <f t="shared" si="39"/>
        <v>25.112860036087575</v>
      </c>
      <c r="CB31" s="22">
        <f t="shared" si="10"/>
        <v>204.4487812295192</v>
      </c>
      <c r="CC31" s="62">
        <f t="shared" si="11"/>
        <v>439.18025065150329</v>
      </c>
      <c r="CD31" s="62">
        <f ca="1">AVERAGE(OFFSET($CC$3,0,0,'Données projet'!$E$12+1,1))-AVERAGE(OFFSET($H$3,0,0,'Données projet'!$E$12+1,1))</f>
        <v>516.30971934066179</v>
      </c>
      <c r="CE31" s="62">
        <f t="shared" si="40"/>
        <v>290.84286505723571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7.4</v>
      </c>
      <c r="CT31" s="13">
        <f>IF('Données projet'!$A$140&gt;35,CT30+CS31-DB30,IF(A31&lt;'Données projet'!$A$140,$CQ$205^A31,IF(A31='Données projet'!$A$140,'Données projet'!$B$140,CT30+CS31-DB30)))</f>
        <v>78.200000000000017</v>
      </c>
      <c r="CU31" s="18">
        <f>CT31*VLOOKUP('Données projet'!$B$13,Paramètres!$A$1:$I$89,3,0)*VLOOKUP('Données projet'!$B$13,Paramètres!$A$1:$I$89,5,0)</f>
        <v>68.315520000000021</v>
      </c>
      <c r="CV31" s="14">
        <f t="shared" si="41"/>
        <v>19.254550643039188</v>
      </c>
      <c r="CW31" s="22">
        <f t="shared" si="13"/>
        <v>152.51787303662658</v>
      </c>
      <c r="CX31" s="62">
        <f t="shared" si="14"/>
        <v>387.24934245861067</v>
      </c>
      <c r="CY31" s="62">
        <f ca="1">AVERAGE(OFFSET($CX$3,0,0,'Données projet'!$E$13+1,1))-AVERAGE(OFFSET($H$3,0,0,'Données projet'!$E$13+1,1))</f>
        <v>226.76930997889059</v>
      </c>
      <c r="CZ31" s="62">
        <f t="shared" si="42"/>
        <v>236.36066378969329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3.6</v>
      </c>
      <c r="DO31" s="13">
        <f>IF('Données projet'!$A$166&gt;35,DO30+DN31-DW30,IF(A31&lt;'Données projet'!$A$166,$DL$205^A31,IF(A31='Données projet'!$A$166,'Données projet'!$B$166,DO30+DN31-DW30)))</f>
        <v>46.800000000000004</v>
      </c>
      <c r="DP31" s="18">
        <f>DO31*VLOOKUP('Données projet'!$B$14,Paramètres!$A$1:$I$89,3,0)*VLOOKUP('Données projet'!$B$14,Paramètres!$A$1:$I$89,5,0)</f>
        <v>50.375520000000002</v>
      </c>
      <c r="DQ31" s="14">
        <f t="shared" si="43"/>
        <v>14.710697068688855</v>
      </c>
      <c r="DR31" s="22">
        <f t="shared" si="16"/>
        <v>113.3584947279664</v>
      </c>
      <c r="DS31" s="62">
        <f t="shared" si="17"/>
        <v>348.0899641499505</v>
      </c>
      <c r="DT31" s="62">
        <f ca="1">AVERAGE(OFFSET($DS$3,0,0,'Données projet'!$E$14+1,1))-AVERAGE(OFFSET($H$3,0,0,'Données projet'!$E$14+1,1))</f>
        <v>315.12428188060306</v>
      </c>
      <c r="DU31" s="62">
        <f t="shared" si="44"/>
        <v>186.08400677811986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6.7948717948717956</v>
      </c>
      <c r="EJ31" s="13">
        <f>IF('Données projet'!$A$192&gt;35,EJ30+EI31-ER30,IF(A31&lt;'Données projet'!$A$192,$EG$205^A31,IF(A31='Données projet'!$A$192,'Données projet'!$B$192,EJ30+EI31-ER30)))</f>
        <v>112.05128205128202</v>
      </c>
      <c r="EK31" s="18">
        <f>EJ31*VLOOKUP('Données projet'!$B$15,Paramètres!$A$1:$I$89,3,0)*VLOOKUP('Données projet'!$B$15,Paramètres!$A$1:$I$89,5,0)</f>
        <v>117.11599999999999</v>
      </c>
      <c r="EL31" s="14">
        <f t="shared" si="45"/>
        <v>31.001404275140228</v>
      </c>
      <c r="EM31" s="22">
        <f t="shared" si="19"/>
        <v>257.97114577920252</v>
      </c>
      <c r="EN31" s="62">
        <f t="shared" si="20"/>
        <v>492.70261520118663</v>
      </c>
      <c r="EO31" s="62">
        <f ca="1">AVERAGE(OFFSET($EN$3,0,0,'Données projet'!$E$15+1,1))-AVERAGE(OFFSET($H$3,0,0,'Données projet'!$E$15+1,1))</f>
        <v>530.77325763685963</v>
      </c>
      <c r="EP31" s="62">
        <f t="shared" si="46"/>
        <v>344.23100274990145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90.580021122303947</v>
      </c>
      <c r="T32" s="62">
        <f t="shared" si="34"/>
        <v>375.77399473907451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66.093793118423434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0.3311817963599139</v>
      </c>
      <c r="AC32" s="24">
        <f t="shared" si="3"/>
        <v>66.424974914783348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87.3677313039193</v>
      </c>
      <c r="AO32" s="62">
        <f t="shared" si="36"/>
        <v>326.27342751542903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56.461901241526938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56.461901241526938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5.2</v>
      </c>
      <c r="BD32" s="13">
        <f>IF('Données projet'!$A$88&gt;35,BD31+BC32-BL31,IF(A32&lt;'Données projet'!$A$88,$BA$205^A32,IF(A32='Données projet'!$A$88,'Données projet'!$B$88,BD31+BC32-BL31)))</f>
        <v>148.79999999999995</v>
      </c>
      <c r="BE32" s="14">
        <f>BD32*VLOOKUP('Données projet'!$B$11,Paramètres!$A$1:$I$89,3,0)*VLOOKUP('Données projet'!$B$11,Paramètres!$A$1:$I$89,5,0)</f>
        <v>134.63423999999998</v>
      </c>
      <c r="BF32" s="14">
        <f t="shared" si="37"/>
        <v>35.065003380589694</v>
      </c>
      <c r="BG32" s="22">
        <f t="shared" si="7"/>
        <v>295.55951555452697</v>
      </c>
      <c r="BH32" s="62">
        <f t="shared" si="8"/>
        <v>532.48741287730286</v>
      </c>
      <c r="BI32" s="62">
        <f ca="1">AVERAGE(OFFSET($BH$3,0,0,'Données projet'!$E$11+1,1))-AVERAGE(OFFSET($H$3,0,0,'Données projet'!$E$11+1,1))</f>
        <v>254.91239442958343</v>
      </c>
      <c r="BJ32" s="62">
        <f t="shared" si="38"/>
        <v>361.41009011468407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99.372000000000014</v>
      </c>
      <c r="CA32" s="14">
        <f t="shared" si="39"/>
        <v>26.812330397327713</v>
      </c>
      <c r="CB32" s="22">
        <f t="shared" si="10"/>
        <v>219.7710421086791</v>
      </c>
      <c r="CC32" s="62">
        <f t="shared" si="11"/>
        <v>456.69893943145496</v>
      </c>
      <c r="CD32" s="62">
        <f ca="1">AVERAGE(OFFSET($CC$3,0,0,'Données projet'!$E$12+1,1))-AVERAGE(OFFSET($H$3,0,0,'Données projet'!$E$12+1,1))</f>
        <v>516.30971934066179</v>
      </c>
      <c r="CE32" s="62">
        <f t="shared" si="40"/>
        <v>290.84286505723571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7.4</v>
      </c>
      <c r="CT32" s="13">
        <f>IF('Données projet'!$A$140&gt;35,CT31+CS32-DB31,IF(A32&lt;'Données projet'!$A$140,$CQ$205^A32,IF(A32='Données projet'!$A$140,'Données projet'!$B$140,CT31+CS32-DB31)))</f>
        <v>85.600000000000023</v>
      </c>
      <c r="CU32" s="18">
        <f>CT32*VLOOKUP('Données projet'!$B$13,Paramètres!$A$1:$I$89,3,0)*VLOOKUP('Données projet'!$B$13,Paramètres!$A$1:$I$89,5,0)</f>
        <v>74.780160000000024</v>
      </c>
      <c r="CV32" s="14">
        <f t="shared" si="41"/>
        <v>20.85593761602691</v>
      </c>
      <c r="CW32" s="22">
        <f t="shared" si="13"/>
        <v>166.56620334791356</v>
      </c>
      <c r="CX32" s="62">
        <f t="shared" si="14"/>
        <v>403.49410067068936</v>
      </c>
      <c r="CY32" s="62">
        <f ca="1">AVERAGE(OFFSET($CX$3,0,0,'Données projet'!$E$13+1,1))-AVERAGE(OFFSET($H$3,0,0,'Données projet'!$E$13+1,1))</f>
        <v>226.76930997889059</v>
      </c>
      <c r="CZ32" s="62">
        <f t="shared" si="42"/>
        <v>236.36066378969329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3.6</v>
      </c>
      <c r="DO32" s="13">
        <f>IF('Données projet'!$A$166&gt;35,DO31+DN32-DW31,IF(A32&lt;'Données projet'!$A$166,$DL$205^A32,IF(A32='Données projet'!$A$166,'Données projet'!$B$166,DO31+DN32-DW31)))</f>
        <v>50.400000000000006</v>
      </c>
      <c r="DP32" s="18">
        <f>DO32*VLOOKUP('Données projet'!$B$14,Paramètres!$A$1:$I$89,3,0)*VLOOKUP('Données projet'!$B$14,Paramètres!$A$1:$I$89,5,0)</f>
        <v>54.250560000000007</v>
      </c>
      <c r="DQ32" s="14">
        <f t="shared" si="43"/>
        <v>15.706218631166928</v>
      </c>
      <c r="DR32" s="22">
        <f t="shared" si="16"/>
        <v>121.84138944928242</v>
      </c>
      <c r="DS32" s="62">
        <f t="shared" si="17"/>
        <v>358.76928677205825</v>
      </c>
      <c r="DT32" s="62">
        <f ca="1">AVERAGE(OFFSET($DS$3,0,0,'Données projet'!$E$14+1,1))-AVERAGE(OFFSET($H$3,0,0,'Données projet'!$E$14+1,1))</f>
        <v>315.12428188060306</v>
      </c>
      <c r="DU32" s="62">
        <f t="shared" si="44"/>
        <v>186.08400677811986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6.7948717948717956</v>
      </c>
      <c r="EJ32" s="13">
        <f>IF('Données projet'!$A$192&gt;35,EJ31+EI32-ER31,IF(A32&lt;'Données projet'!$A$192,$EG$205^A32,IF(A32='Données projet'!$A$192,'Données projet'!$B$192,EJ31+EI32-ER31)))</f>
        <v>118.84615384615381</v>
      </c>
      <c r="EK32" s="18">
        <f>EJ32*VLOOKUP('Données projet'!$B$15,Paramètres!$A$1:$I$89,3,0)*VLOOKUP('Données projet'!$B$15,Paramètres!$A$1:$I$89,5,0)</f>
        <v>124.21799999999999</v>
      </c>
      <c r="EL32" s="14">
        <f t="shared" si="45"/>
        <v>32.656791825983653</v>
      </c>
      <c r="EM32" s="22">
        <f t="shared" si="19"/>
        <v>273.22359576358815</v>
      </c>
      <c r="EN32" s="62">
        <f t="shared" si="20"/>
        <v>510.15149308636398</v>
      </c>
      <c r="EO32" s="62">
        <f ca="1">AVERAGE(OFFSET($EN$3,0,0,'Données projet'!$E$15+1,1))-AVERAGE(OFFSET($H$3,0,0,'Données projet'!$E$15+1,1))</f>
        <v>530.77325763685963</v>
      </c>
      <c r="EP32" s="62">
        <f t="shared" si="46"/>
        <v>344.23100274990145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90.580021122303947</v>
      </c>
      <c r="T33" s="62">
        <f t="shared" si="34"/>
        <v>375.77399473907451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64.797734148604349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0.23418089401163739</v>
      </c>
      <c r="AC33" s="24">
        <f t="shared" si="3"/>
        <v>65.031915042615992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87.3677313039193</v>
      </c>
      <c r="AO33" s="62">
        <f t="shared" si="36"/>
        <v>326.27342751542903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55.354717796539845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55.354717796539845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154</v>
      </c>
      <c r="BB33" s="13">
        <f>VLOOKUP(A33,'Données projet'!$A$87:$I$107,9,0)</f>
        <v>5.2</v>
      </c>
      <c r="BC33" s="13">
        <f t="array" ref="BC33">INDEX(BB:BB,MIN(IF(ISNUMBER(BB33:BB229),ROW(BB33:BB229),"")))</f>
        <v>5.2</v>
      </c>
      <c r="BD33" s="13">
        <f>IF('Données projet'!$A$88&gt;35,BD32+BC33-BL32,IF(A33&lt;'Données projet'!$A$88,$BA$205^A33,IF(A33='Données projet'!$A$88,'Données projet'!$B$88,BD32+BC33-BL32)))</f>
        <v>153.99999999999994</v>
      </c>
      <c r="BE33" s="14">
        <f>BD33*VLOOKUP('Données projet'!$B$11,Paramètres!$A$1:$I$89,3,0)*VLOOKUP('Données projet'!$B$11,Paramètres!$A$1:$I$89,5,0)</f>
        <v>139.33919999999995</v>
      </c>
      <c r="BF33" s="14">
        <f t="shared" si="37"/>
        <v>36.145583836349623</v>
      </c>
      <c r="BG33" s="22">
        <f t="shared" si="7"/>
        <v>305.63599851497548</v>
      </c>
      <c r="BH33" s="62">
        <f t="shared" si="8"/>
        <v>544.74342344801744</v>
      </c>
      <c r="BI33" s="62">
        <f ca="1">AVERAGE(OFFSET($BH$3,0,0,'Données projet'!$E$11+1,1))-AVERAGE(OFFSET($H$3,0,0,'Données projet'!$E$11+1,1))</f>
        <v>254.91239442958343</v>
      </c>
      <c r="BJ33" s="62">
        <f t="shared" si="38"/>
        <v>361.41009011468407</v>
      </c>
      <c r="BK33" s="16">
        <f>IF(ISNA(VLOOKUP(A33,'Données projet'!$A$87:$I$107,3,0)),0,VLOOKUP(A33,'Données projet'!$A$87:$I$107,3,0))</f>
        <v>5</v>
      </c>
      <c r="BL33" s="16">
        <f>IF(ISNA(VLOOKUP(A33,'Données projet'!$A$87:$I$107,4,0)),0,VLOOKUP(A33,'Données projet'!$A$87:$I$107,4,0))</f>
        <v>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106.47</v>
      </c>
      <c r="CA33" s="14">
        <f t="shared" si="39"/>
        <v>28.49771681771891</v>
      </c>
      <c r="CB33" s="22">
        <f t="shared" si="10"/>
        <v>235.06877345752704</v>
      </c>
      <c r="CC33" s="62">
        <f t="shared" si="11"/>
        <v>474.17619839056903</v>
      </c>
      <c r="CD33" s="62">
        <f ca="1">AVERAGE(OFFSET($CC$3,0,0,'Données projet'!$E$12+1,1))-AVERAGE(OFFSET($H$3,0,0,'Données projet'!$E$12+1,1))</f>
        <v>516.30971934066179</v>
      </c>
      <c r="CE33" s="62">
        <f t="shared" si="40"/>
        <v>290.84286505723571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93</v>
      </c>
      <c r="CR33" s="13">
        <f>VLOOKUP(A33,'Données projet'!$A$139:$I$159,9,0)</f>
        <v>7.4</v>
      </c>
      <c r="CS33" s="13">
        <f t="array" ref="CS33">INDEX(CR:CR,MIN(IF(ISNUMBER(CR33:CR229),ROW(CR33:CR229),"")))</f>
        <v>7.4</v>
      </c>
      <c r="CT33" s="13">
        <f>IF('Données projet'!$A$140&gt;35,CT32+CS33-DB32,IF(A33&lt;'Données projet'!$A$140,$CQ$205^A33,IF(A33='Données projet'!$A$140,'Données projet'!$B$140,CT32+CS33-DB32)))</f>
        <v>93.000000000000028</v>
      </c>
      <c r="CU33" s="18">
        <f>CT33*VLOOKUP('Données projet'!$B$13,Paramètres!$A$1:$I$89,3,0)*VLOOKUP('Données projet'!$B$13,Paramètres!$A$1:$I$89,5,0)</f>
        <v>81.244800000000026</v>
      </c>
      <c r="CV33" s="14">
        <f t="shared" si="41"/>
        <v>22.441270156928962</v>
      </c>
      <c r="CW33" s="22">
        <f t="shared" si="13"/>
        <v>180.58657218998465</v>
      </c>
      <c r="CX33" s="62">
        <f t="shared" si="14"/>
        <v>419.69399712302663</v>
      </c>
      <c r="CY33" s="62">
        <f ca="1">AVERAGE(OFFSET($CX$3,0,0,'Données projet'!$E$13+1,1))-AVERAGE(OFFSET($H$3,0,0,'Données projet'!$E$13+1,1))</f>
        <v>226.76930997889059</v>
      </c>
      <c r="CZ33" s="62">
        <f t="shared" si="42"/>
        <v>236.36066378969329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31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54</v>
      </c>
      <c r="DM33" s="13">
        <f>VLOOKUP(A33,'Données projet'!$A$165:$I$185,9,0)</f>
        <v>3.6</v>
      </c>
      <c r="DN33" s="13">
        <f t="array" ref="DN33">INDEX(DM:DM,MIN(IF(ISNUMBER(DM33:DM229),ROW(DM33:DM229),"")))</f>
        <v>3.6</v>
      </c>
      <c r="DO33" s="13">
        <f>IF('Données projet'!$A$166&gt;35,DO32+DN33-DW32,IF(A33&lt;'Données projet'!$A$166,$DL$205^A33,IF(A33='Données projet'!$A$166,'Données projet'!$B$166,DO32+DN33-DW32)))</f>
        <v>54.000000000000007</v>
      </c>
      <c r="DP33" s="18">
        <f>DO33*VLOOKUP('Données projet'!$B$14,Paramètres!$A$1:$I$89,3,0)*VLOOKUP('Données projet'!$B$14,Paramètres!$A$1:$I$89,5,0)</f>
        <v>58.125600000000013</v>
      </c>
      <c r="DQ33" s="14">
        <f t="shared" si="43"/>
        <v>16.693490054590175</v>
      </c>
      <c r="DR33" s="22">
        <f t="shared" si="16"/>
        <v>130.30991517841125</v>
      </c>
      <c r="DS33" s="62">
        <f t="shared" si="17"/>
        <v>369.4173401114532</v>
      </c>
      <c r="DT33" s="62">
        <f ca="1">AVERAGE(OFFSET($DS$3,0,0,'Données projet'!$E$14+1,1))-AVERAGE(OFFSET($H$3,0,0,'Données projet'!$E$14+1,1))</f>
        <v>315.12428188060306</v>
      </c>
      <c r="DU33" s="62">
        <f t="shared" si="44"/>
        <v>186.08400677811986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125.64102564102564</v>
      </c>
      <c r="EH33" s="13">
        <f>VLOOKUP(A33,'Données projet'!$A$191:$I$211,9,0)</f>
        <v>6.7948717948717956</v>
      </c>
      <c r="EI33" s="13">
        <f t="array" ref="EI33">INDEX(EH:EH,MIN(IF(ISNUMBER(EH33:EH229),ROW(EH33:EH229),"")))</f>
        <v>6.7948717948717956</v>
      </c>
      <c r="EJ33" s="13">
        <f>IF('Données projet'!$A$192&gt;35,EJ32+EI33-ER32,IF(A33&lt;'Données projet'!$A$192,$EG$205^A33,IF(A33='Données projet'!$A$192,'Données projet'!$B$192,EJ32+EI33-ER32)))</f>
        <v>125.64102564102561</v>
      </c>
      <c r="EK33" s="18">
        <f>EJ33*VLOOKUP('Données projet'!$B$15,Paramètres!$A$1:$I$89,3,0)*VLOOKUP('Données projet'!$B$15,Paramètres!$A$1:$I$89,5,0)</f>
        <v>131.32</v>
      </c>
      <c r="EL33" s="14">
        <f t="shared" si="45"/>
        <v>34.30119300489546</v>
      </c>
      <c r="EM33" s="22">
        <f t="shared" si="19"/>
        <v>288.45691115019287</v>
      </c>
      <c r="EN33" s="62">
        <f t="shared" si="20"/>
        <v>527.56433608323482</v>
      </c>
      <c r="EO33" s="62">
        <f ca="1">AVERAGE(OFFSET($EN$3,0,0,'Données projet'!$E$15+1,1))-AVERAGE(OFFSET($H$3,0,0,'Données projet'!$E$15+1,1))</f>
        <v>530.77325763685963</v>
      </c>
      <c r="EP33" s="62">
        <f t="shared" si="46"/>
        <v>344.23100274990145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28.205128205128204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90.580021122303947</v>
      </c>
      <c r="T34" s="62">
        <f t="shared" si="34"/>
        <v>375.77399473907451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63.527090104665504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0.16559089817995695</v>
      </c>
      <c r="AC34" s="24">
        <f t="shared" si="3"/>
        <v>63.692681002845461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87.3677313039193</v>
      </c>
      <c r="AO34" s="62">
        <f t="shared" si="36"/>
        <v>326.27342751542903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54.269245543593733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54.269245543593733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4.2</v>
      </c>
      <c r="BD34" s="13">
        <f>IF('Données projet'!$A$88&gt;35,BD33+BC34-BL33,IF(A34&lt;'Données projet'!$A$88,$BA$205^A34,IF(A34='Données projet'!$A$88,'Données projet'!$B$88,BD33+BC34-BL33)))</f>
        <v>152.19999999999993</v>
      </c>
      <c r="BE34" s="14">
        <f>BD34*VLOOKUP('Données projet'!$B$11,Paramètres!$A$1:$I$89,3,0)*VLOOKUP('Données projet'!$B$11,Paramètres!$A$1:$I$89,5,0)</f>
        <v>137.71055999999993</v>
      </c>
      <c r="BF34" s="14">
        <f t="shared" si="37"/>
        <v>35.772024702085233</v>
      </c>
      <c r="BG34" s="22">
        <f t="shared" si="7"/>
        <v>302.14883502279832</v>
      </c>
      <c r="BH34" s="62">
        <f t="shared" si="8"/>
        <v>542.19695823561585</v>
      </c>
      <c r="BI34" s="62">
        <f ca="1">AVERAGE(OFFSET($BH$3,0,0,'Données projet'!$E$11+1,1))-AVERAGE(OFFSET($H$3,0,0,'Données projet'!$E$11+1,1))</f>
        <v>254.91239442958343</v>
      </c>
      <c r="BJ34" s="62">
        <f t="shared" si="38"/>
        <v>361.41009011468407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85.176000000000002</v>
      </c>
      <c r="CA34" s="14">
        <f t="shared" si="39"/>
        <v>23.398088487656441</v>
      </c>
      <c r="CB34" s="22">
        <f t="shared" si="10"/>
        <v>189.09987078266829</v>
      </c>
      <c r="CC34" s="62">
        <f t="shared" si="11"/>
        <v>429.14799399548588</v>
      </c>
      <c r="CD34" s="62">
        <f ca="1">AVERAGE(OFFSET($CC$3,0,0,'Données projet'!$E$12+1,1))-AVERAGE(OFFSET($H$3,0,0,'Données projet'!$E$12+1,1))</f>
        <v>516.30971934066179</v>
      </c>
      <c r="CE34" s="62">
        <f t="shared" si="40"/>
        <v>290.84286505723571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6.6</v>
      </c>
      <c r="CT34" s="13">
        <f>IF('Données projet'!$A$140&gt;35,CT33+CS34-DB33,IF(A34&lt;'Données projet'!$A$140,$CQ$205^A34,IF(A34='Données projet'!$A$140,'Données projet'!$B$140,CT33+CS34-DB33)))</f>
        <v>68.600000000000023</v>
      </c>
      <c r="CU34" s="18">
        <f>CT34*VLOOKUP('Données projet'!$B$13,Paramètres!$A$1:$I$89,3,0)*VLOOKUP('Données projet'!$B$13,Paramètres!$A$1:$I$89,5,0)</f>
        <v>59.928960000000032</v>
      </c>
      <c r="CV34" s="14">
        <f t="shared" si="41"/>
        <v>17.150306633391647</v>
      </c>
      <c r="CW34" s="22">
        <f t="shared" si="13"/>
        <v>134.24638938649051</v>
      </c>
      <c r="CX34" s="62">
        <f t="shared" si="14"/>
        <v>374.29451259930806</v>
      </c>
      <c r="CY34" s="62">
        <f ca="1">AVERAGE(OFFSET($CX$3,0,0,'Données projet'!$E$13+1,1))-AVERAGE(OFFSET($H$3,0,0,'Données projet'!$E$13+1,1))</f>
        <v>226.76930997889059</v>
      </c>
      <c r="CZ34" s="62">
        <f t="shared" si="42"/>
        <v>236.36066378969329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3.6</v>
      </c>
      <c r="DO34" s="13">
        <f>IF('Données projet'!$A$166&gt;35,DO33+DN34-DW33,IF(A34&lt;'Données projet'!$A$166,$DL$205^A34,IF(A34='Données projet'!$A$166,'Données projet'!$B$166,DO33+DN34-DW33)))</f>
        <v>57.600000000000009</v>
      </c>
      <c r="DP34" s="18">
        <f>DO34*VLOOKUP('Données projet'!$B$14,Paramètres!$A$1:$I$89,3,0)*VLOOKUP('Données projet'!$B$14,Paramètres!$A$1:$I$89,5,0)</f>
        <v>62.000640000000004</v>
      </c>
      <c r="DQ34" s="14">
        <f t="shared" si="43"/>
        <v>17.6731239306392</v>
      </c>
      <c r="DR34" s="22">
        <f t="shared" si="16"/>
        <v>138.76513884586331</v>
      </c>
      <c r="DS34" s="62">
        <f t="shared" si="17"/>
        <v>378.81326205868083</v>
      </c>
      <c r="DT34" s="62">
        <f ca="1">AVERAGE(OFFSET($DS$3,0,0,'Données projet'!$E$14+1,1))-AVERAGE(OFFSET($H$3,0,0,'Données projet'!$E$14+1,1))</f>
        <v>315.12428188060306</v>
      </c>
      <c r="DU34" s="62">
        <f t="shared" si="44"/>
        <v>186.08400677811986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6.7948717948717956</v>
      </c>
      <c r="EJ34" s="13">
        <f>IF('Données projet'!$A$192&gt;35,EJ33+EI34-ER33,IF(A34&lt;'Données projet'!$A$192,$EG$205^A34,IF(A34='Données projet'!$A$192,'Données projet'!$B$192,EJ33+EI34-ER33)))</f>
        <v>104.2307692307692</v>
      </c>
      <c r="EK34" s="18">
        <f>EJ34*VLOOKUP('Données projet'!$B$15,Paramètres!$A$1:$I$89,3,0)*VLOOKUP('Données projet'!$B$15,Paramètres!$A$1:$I$89,5,0)</f>
        <v>108.94199999999996</v>
      </c>
      <c r="EL34" s="14">
        <f t="shared" si="45"/>
        <v>29.08157148085148</v>
      </c>
      <c r="EM34" s="22">
        <f t="shared" si="19"/>
        <v>240.39105366248293</v>
      </c>
      <c r="EN34" s="62">
        <f t="shared" si="20"/>
        <v>480.43917687530052</v>
      </c>
      <c r="EO34" s="62">
        <f ca="1">AVERAGE(OFFSET($EN$3,0,0,'Données projet'!$E$15+1,1))-AVERAGE(OFFSET($H$3,0,0,'Données projet'!$E$15+1,1))</f>
        <v>530.77325763685963</v>
      </c>
      <c r="EP34" s="62">
        <f t="shared" si="46"/>
        <v>344.23100274990145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90.580021122303947</v>
      </c>
      <c r="T35" s="62">
        <f t="shared" si="34"/>
        <v>375.77399473907451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62.281362615411958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0.11709044700581869</v>
      </c>
      <c r="AC35" s="24">
        <f t="shared" si="3"/>
        <v>62.398453062417779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87.3677313039193</v>
      </c>
      <c r="AO35" s="62">
        <f t="shared" si="36"/>
        <v>326.27342751542903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53.20505873945519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53.20505873945519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4.2</v>
      </c>
      <c r="BD35" s="13">
        <f>IF('Données projet'!$A$88&gt;35,BD34+BC35-BL34,IF(A35&lt;'Données projet'!$A$88,$BA$205^A35,IF(A35='Données projet'!$A$88,'Données projet'!$B$88,BD34+BC35-BL34)))</f>
        <v>156.39999999999992</v>
      </c>
      <c r="BE35" s="14">
        <f>BD35*VLOOKUP('Données projet'!$B$11,Paramètres!$A$1:$I$89,3,0)*VLOOKUP('Données projet'!$B$11,Paramètres!$A$1:$I$89,5,0)</f>
        <v>141.51071999999994</v>
      </c>
      <c r="BF35" s="14">
        <f t="shared" si="37"/>
        <v>36.642873749766764</v>
      </c>
      <c r="BG35" s="22">
        <f t="shared" si="7"/>
        <v>310.28417578084361</v>
      </c>
      <c r="BH35" s="62">
        <f t="shared" si="8"/>
        <v>551.25667826136896</v>
      </c>
      <c r="BI35" s="62">
        <f ca="1">AVERAGE(OFFSET($BH$3,0,0,'Données projet'!$E$11+1,1))-AVERAGE(OFFSET($H$3,0,0,'Données projet'!$E$11+1,1))</f>
        <v>254.91239442958343</v>
      </c>
      <c r="BJ35" s="62">
        <f t="shared" si="38"/>
        <v>361.41009011468407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93.288000000000011</v>
      </c>
      <c r="CA35" s="14">
        <f t="shared" si="39"/>
        <v>25.356547829040977</v>
      </c>
      <c r="CB35" s="22">
        <f t="shared" si="10"/>
        <v>206.63925413557971</v>
      </c>
      <c r="CC35" s="62">
        <f t="shared" si="11"/>
        <v>447.61175661610503</v>
      </c>
      <c r="CD35" s="62">
        <f ca="1">AVERAGE(OFFSET($CC$3,0,0,'Données projet'!$E$12+1,1))-AVERAGE(OFFSET($H$3,0,0,'Données projet'!$E$12+1,1))</f>
        <v>516.30971934066179</v>
      </c>
      <c r="CE35" s="62">
        <f t="shared" si="40"/>
        <v>290.84286505723571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6.6</v>
      </c>
      <c r="CT35" s="13">
        <f>IF('Données projet'!$A$140&gt;35,CT34+CS35-DB34,IF(A35&lt;'Données projet'!$A$140,$CQ$205^A35,IF(A35='Données projet'!$A$140,'Données projet'!$B$140,CT34+CS35-DB34)))</f>
        <v>75.200000000000017</v>
      </c>
      <c r="CU35" s="18">
        <f>CT35*VLOOKUP('Données projet'!$B$13,Paramètres!$A$1:$I$89,3,0)*VLOOKUP('Données projet'!$B$13,Paramètres!$A$1:$I$89,5,0)</f>
        <v>65.694720000000032</v>
      </c>
      <c r="CV35" s="14">
        <f t="shared" si="41"/>
        <v>18.600387185619521</v>
      </c>
      <c r="CW35" s="22">
        <f t="shared" si="13"/>
        <v>146.81397834828738</v>
      </c>
      <c r="CX35" s="62">
        <f t="shared" si="14"/>
        <v>387.78648082881273</v>
      </c>
      <c r="CY35" s="62">
        <f ca="1">AVERAGE(OFFSET($CX$3,0,0,'Données projet'!$E$13+1,1))-AVERAGE(OFFSET($H$3,0,0,'Données projet'!$E$13+1,1))</f>
        <v>226.76930997889059</v>
      </c>
      <c r="CZ35" s="62">
        <f t="shared" si="42"/>
        <v>236.36066378969329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3.6</v>
      </c>
      <c r="DO35" s="13">
        <f>IF('Données projet'!$A$166&gt;35,DO34+DN35-DW34,IF(A35&lt;'Données projet'!$A$166,$DL$205^A35,IF(A35='Données projet'!$A$166,'Données projet'!$B$166,DO34+DN35-DW34)))</f>
        <v>61.20000000000001</v>
      </c>
      <c r="DP35" s="18">
        <f>DO35*VLOOKUP('Données projet'!$B$14,Paramètres!$A$1:$I$89,3,0)*VLOOKUP('Données projet'!$B$14,Paramètres!$A$1:$I$89,5,0)</f>
        <v>65.875680000000003</v>
      </c>
      <c r="DQ35" s="14">
        <f t="shared" si="43"/>
        <v>18.64565194906039</v>
      </c>
      <c r="DR35" s="22">
        <f t="shared" si="16"/>
        <v>147.20798647794683</v>
      </c>
      <c r="DS35" s="62">
        <f t="shared" si="17"/>
        <v>388.18048895847215</v>
      </c>
      <c r="DT35" s="62">
        <f ca="1">AVERAGE(OFFSET($DS$3,0,0,'Données projet'!$E$14+1,1))-AVERAGE(OFFSET($H$3,0,0,'Données projet'!$E$14+1,1))</f>
        <v>315.12428188060306</v>
      </c>
      <c r="DU35" s="62">
        <f t="shared" si="44"/>
        <v>186.08400677811986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6.7948717948717956</v>
      </c>
      <c r="EJ35" s="13">
        <f>IF('Données projet'!$A$192&gt;35,EJ34+EI35-ER34,IF(A35&lt;'Données projet'!$A$192,$EG$205^A35,IF(A35='Données projet'!$A$192,'Données projet'!$B$192,EJ34+EI35-ER34)))</f>
        <v>111.02564102564099</v>
      </c>
      <c r="EK35" s="18">
        <f>EJ35*VLOOKUP('Données projet'!$B$15,Paramètres!$A$1:$I$89,3,0)*VLOOKUP('Données projet'!$B$15,Paramètres!$A$1:$I$89,5,0)</f>
        <v>116.04399999999997</v>
      </c>
      <c r="EL35" s="14">
        <f t="shared" si="45"/>
        <v>30.750534860350001</v>
      </c>
      <c r="EM35" s="22">
        <f t="shared" si="19"/>
        <v>255.66714821510956</v>
      </c>
      <c r="EN35" s="62">
        <f t="shared" si="20"/>
        <v>496.63965069563488</v>
      </c>
      <c r="EO35" s="62">
        <f ca="1">AVERAGE(OFFSET($EN$3,0,0,'Données projet'!$E$15+1,1))-AVERAGE(OFFSET($H$3,0,0,'Données projet'!$E$15+1,1))</f>
        <v>530.77325763685963</v>
      </c>
      <c r="EP35" s="62">
        <f t="shared" si="46"/>
        <v>344.23100274990145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90.580021122303947</v>
      </c>
      <c r="T36" s="62">
        <f t="shared" si="34"/>
        <v>375.77399473907451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61.060063082403936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8.2795449089978476E-2</v>
      </c>
      <c r="AC36" s="24">
        <f t="shared" si="3"/>
        <v>61.142858531493914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87.3677313039193</v>
      </c>
      <c r="AO36" s="62">
        <f t="shared" si="36"/>
        <v>326.27342751542903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52.161739989455945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52.161739989455945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4.2</v>
      </c>
      <c r="BD36" s="13">
        <f>IF('Données projet'!$A$88&gt;35,BD35+BC36-BL35,IF(A36&lt;'Données projet'!$A$88,$BA$205^A36,IF(A36='Données projet'!$A$88,'Données projet'!$B$88,BD35+BC36-BL35)))</f>
        <v>160.59999999999991</v>
      </c>
      <c r="BE36" s="14">
        <f>BD36*VLOOKUP('Données projet'!$B$11,Paramètres!$A$1:$I$89,3,0)*VLOOKUP('Données projet'!$B$11,Paramètres!$A$1:$I$89,5,0)</f>
        <v>145.31087999999991</v>
      </c>
      <c r="BF36" s="14">
        <f t="shared" si="37"/>
        <v>37.511004575106362</v>
      </c>
      <c r="BG36" s="22">
        <f t="shared" si="7"/>
        <v>318.41478230164341</v>
      </c>
      <c r="BH36" s="62">
        <f t="shared" si="8"/>
        <v>560.29562813618418</v>
      </c>
      <c r="BI36" s="62">
        <f ca="1">AVERAGE(OFFSET($BH$3,0,0,'Données projet'!$E$11+1,1))-AVERAGE(OFFSET($H$3,0,0,'Données projet'!$E$11+1,1))</f>
        <v>254.91239442958343</v>
      </c>
      <c r="BJ36" s="62">
        <f t="shared" si="38"/>
        <v>361.41009011468407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101.4</v>
      </c>
      <c r="CA36" s="14">
        <f t="shared" si="39"/>
        <v>27.295257887453797</v>
      </c>
      <c r="CB36" s="22">
        <f t="shared" si="10"/>
        <v>224.14424082064872</v>
      </c>
      <c r="CC36" s="62">
        <f t="shared" si="11"/>
        <v>466.02508665518945</v>
      </c>
      <c r="CD36" s="62">
        <f ca="1">AVERAGE(OFFSET($CC$3,0,0,'Données projet'!$E$12+1,1))-AVERAGE(OFFSET($H$3,0,0,'Données projet'!$E$12+1,1))</f>
        <v>516.30971934066179</v>
      </c>
      <c r="CE36" s="62">
        <f t="shared" si="40"/>
        <v>290.84286505723571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6.6</v>
      </c>
      <c r="CT36" s="13">
        <f>IF('Données projet'!$A$140&gt;35,CT35+CS36-DB35,IF(A36&lt;'Données projet'!$A$140,$CQ$205^A36,IF(A36='Données projet'!$A$140,'Données projet'!$B$140,CT35+CS36-DB35)))</f>
        <v>81.800000000000011</v>
      </c>
      <c r="CU36" s="18">
        <f>CT36*VLOOKUP('Données projet'!$B$13,Paramètres!$A$1:$I$89,3,0)*VLOOKUP('Données projet'!$B$13,Paramètres!$A$1:$I$89,5,0)</f>
        <v>71.460480000000018</v>
      </c>
      <c r="CV36" s="14">
        <f t="shared" si="41"/>
        <v>20.035709203981977</v>
      </c>
      <c r="CW36" s="22">
        <f t="shared" si="13"/>
        <v>159.35586286360197</v>
      </c>
      <c r="CX36" s="62">
        <f t="shared" si="14"/>
        <v>401.23670869814271</v>
      </c>
      <c r="CY36" s="62">
        <f ca="1">AVERAGE(OFFSET($CX$3,0,0,'Données projet'!$E$13+1,1))-AVERAGE(OFFSET($H$3,0,0,'Données projet'!$E$13+1,1))</f>
        <v>226.76930997889059</v>
      </c>
      <c r="CZ36" s="62">
        <f t="shared" si="42"/>
        <v>236.36066378969329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3.6</v>
      </c>
      <c r="DO36" s="13">
        <f>IF('Données projet'!$A$166&gt;35,DO35+DN36-DW35,IF(A36&lt;'Données projet'!$A$166,$DL$205^A36,IF(A36='Données projet'!$A$166,'Données projet'!$B$166,DO35+DN36-DW35)))</f>
        <v>64.800000000000011</v>
      </c>
      <c r="DP36" s="18">
        <f>DO36*VLOOKUP('Données projet'!$B$14,Paramètres!$A$1:$I$89,3,0)*VLOOKUP('Données projet'!$B$14,Paramètres!$A$1:$I$89,5,0)</f>
        <v>69.750720000000001</v>
      </c>
      <c r="DQ36" s="14">
        <f t="shared" si="43"/>
        <v>19.611539714272144</v>
      </c>
      <c r="DR36" s="22">
        <f t="shared" si="16"/>
        <v>155.63926900235728</v>
      </c>
      <c r="DS36" s="62">
        <f t="shared" si="17"/>
        <v>397.52011483689802</v>
      </c>
      <c r="DT36" s="62">
        <f ca="1">AVERAGE(OFFSET($DS$3,0,0,'Données projet'!$E$14+1,1))-AVERAGE(OFFSET($H$3,0,0,'Données projet'!$E$14+1,1))</f>
        <v>315.12428188060306</v>
      </c>
      <c r="DU36" s="62">
        <f t="shared" si="44"/>
        <v>186.08400677811986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6.7948717948717956</v>
      </c>
      <c r="EJ36" s="13">
        <f>IF('Données projet'!$A$192&gt;35,EJ35+EI36-ER35,IF(A36&lt;'Données projet'!$A$192,$EG$205^A36,IF(A36='Données projet'!$A$192,'Données projet'!$B$192,EJ35+EI36-ER35)))</f>
        <v>117.82051282051279</v>
      </c>
      <c r="EK36" s="18">
        <f>EJ36*VLOOKUP('Données projet'!$B$15,Paramètres!$A$1:$I$89,3,0)*VLOOKUP('Données projet'!$B$15,Paramètres!$A$1:$I$89,5,0)</f>
        <v>123.14599999999997</v>
      </c>
      <c r="EL36" s="14">
        <f t="shared" si="45"/>
        <v>32.407643337050729</v>
      </c>
      <c r="EM36" s="22">
        <f t="shared" si="19"/>
        <v>270.92259547869656</v>
      </c>
      <c r="EN36" s="62">
        <f t="shared" si="20"/>
        <v>512.80344131323727</v>
      </c>
      <c r="EO36" s="62">
        <f ca="1">AVERAGE(OFFSET($EN$3,0,0,'Données projet'!$E$15+1,1))-AVERAGE(OFFSET($H$3,0,0,'Données projet'!$E$15+1,1))</f>
        <v>530.77325763685963</v>
      </c>
      <c r="EP36" s="62">
        <f t="shared" si="46"/>
        <v>344.23100274990145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90.580021122303947</v>
      </c>
      <c r="T37" s="62">
        <f t="shared" si="34"/>
        <v>375.77399473907451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59.86271248831904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5.8545223502909347E-2</v>
      </c>
      <c r="AC37" s="24">
        <f t="shared" si="3"/>
        <v>59.921257711821951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87.3677313039193</v>
      </c>
      <c r="AO37" s="62">
        <f t="shared" si="36"/>
        <v>326.27342751542903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51.138880083782588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51.138880083782588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4.2</v>
      </c>
      <c r="BD37" s="13">
        <f>IF('Données projet'!$A$88&gt;35,BD36+BC37-BL36,IF(A37&lt;'Données projet'!$A$88,$BA$205^A37,IF(A37='Données projet'!$A$88,'Données projet'!$B$88,BD36+BC37-BL36)))</f>
        <v>164.7999999999999</v>
      </c>
      <c r="BE37" s="14">
        <f>BD37*VLOOKUP('Données projet'!$B$11,Paramètres!$A$1:$I$89,3,0)*VLOOKUP('Données projet'!$B$11,Paramètres!$A$1:$I$89,5,0)</f>
        <v>149.11103999999989</v>
      </c>
      <c r="BF37" s="14">
        <f t="shared" si="37"/>
        <v>38.376496436982357</v>
      </c>
      <c r="BG37" s="22">
        <f t="shared" si="7"/>
        <v>326.54079262774405</v>
      </c>
      <c r="BH37" s="62">
        <f t="shared" si="8"/>
        <v>569.31422408985964</v>
      </c>
      <c r="BI37" s="62">
        <f ca="1">AVERAGE(OFFSET($BH$3,0,0,'Données projet'!$E$11+1,1))-AVERAGE(OFFSET($H$3,0,0,'Données projet'!$E$11+1,1))</f>
        <v>254.91239442958343</v>
      </c>
      <c r="BJ37" s="62">
        <f t="shared" si="38"/>
        <v>361.41009011468407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109.51200000000001</v>
      </c>
      <c r="CA37" s="14">
        <f t="shared" si="39"/>
        <v>29.215978230632555</v>
      </c>
      <c r="CB37" s="22">
        <f t="shared" si="10"/>
        <v>241.61789541835174</v>
      </c>
      <c r="CC37" s="62">
        <f t="shared" si="11"/>
        <v>484.39132688046732</v>
      </c>
      <c r="CD37" s="62">
        <f ca="1">AVERAGE(OFFSET($CC$3,0,0,'Données projet'!$E$12+1,1))-AVERAGE(OFFSET($H$3,0,0,'Données projet'!$E$12+1,1))</f>
        <v>516.30971934066179</v>
      </c>
      <c r="CE37" s="62">
        <f t="shared" si="40"/>
        <v>290.84286505723571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6.6</v>
      </c>
      <c r="CT37" s="13">
        <f>IF('Données projet'!$A$140&gt;35,CT36+CS37-DB36,IF(A37&lt;'Données projet'!$A$140,$CQ$205^A37,IF(A37='Données projet'!$A$140,'Données projet'!$B$140,CT36+CS37-DB36)))</f>
        <v>88.4</v>
      </c>
      <c r="CU37" s="18">
        <f>CT37*VLOOKUP('Données projet'!$B$13,Paramètres!$A$1:$I$89,3,0)*VLOOKUP('Données projet'!$B$13,Paramètres!$A$1:$I$89,5,0)</f>
        <v>77.226240000000004</v>
      </c>
      <c r="CV37" s="14">
        <f t="shared" si="41"/>
        <v>21.457598855530147</v>
      </c>
      <c r="CW37" s="22">
        <f t="shared" si="13"/>
        <v>171.87435267338171</v>
      </c>
      <c r="CX37" s="62">
        <f t="shared" si="14"/>
        <v>414.64778413549732</v>
      </c>
      <c r="CY37" s="62">
        <f ca="1">AVERAGE(OFFSET($CX$3,0,0,'Données projet'!$E$13+1,1))-AVERAGE(OFFSET($H$3,0,0,'Données projet'!$E$13+1,1))</f>
        <v>226.76930997889059</v>
      </c>
      <c r="CZ37" s="62">
        <f t="shared" si="42"/>
        <v>236.36066378969329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3.6</v>
      </c>
      <c r="DO37" s="13">
        <f>IF('Données projet'!$A$166&gt;35,DO36+DN37-DW36,IF(A37&lt;'Données projet'!$A$166,$DL$205^A37,IF(A37='Données projet'!$A$166,'Données projet'!$B$166,DO36+DN37-DW36)))</f>
        <v>68.400000000000006</v>
      </c>
      <c r="DP37" s="18">
        <f>DO37*VLOOKUP('Données projet'!$B$14,Paramètres!$A$1:$I$89,3,0)*VLOOKUP('Données projet'!$B$14,Paramètres!$A$1:$I$89,5,0)</f>
        <v>73.62576</v>
      </c>
      <c r="DQ37" s="14">
        <f t="shared" si="43"/>
        <v>20.571198174996731</v>
      </c>
      <c r="DR37" s="22">
        <f t="shared" si="16"/>
        <v>164.05970215478595</v>
      </c>
      <c r="DS37" s="62">
        <f t="shared" si="17"/>
        <v>406.83313361690153</v>
      </c>
      <c r="DT37" s="62">
        <f ca="1">AVERAGE(OFFSET($DS$3,0,0,'Données projet'!$E$14+1,1))-AVERAGE(OFFSET($H$3,0,0,'Données projet'!$E$14+1,1))</f>
        <v>315.12428188060306</v>
      </c>
      <c r="DU37" s="62">
        <f t="shared" si="44"/>
        <v>186.08400677811986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6.7948717948717956</v>
      </c>
      <c r="EJ37" s="13">
        <f>IF('Données projet'!$A$192&gt;35,EJ36+EI37-ER36,IF(A37&lt;'Données projet'!$A$192,$EG$205^A37,IF(A37='Données projet'!$A$192,'Données projet'!$B$192,EJ36+EI37-ER36)))</f>
        <v>124.61538461538458</v>
      </c>
      <c r="EK37" s="18">
        <f>EJ37*VLOOKUP('Données projet'!$B$15,Paramètres!$A$1:$I$89,3,0)*VLOOKUP('Données projet'!$B$15,Paramètres!$A$1:$I$89,5,0)</f>
        <v>130.24799999999999</v>
      </c>
      <c r="EL37" s="14">
        <f t="shared" si="45"/>
        <v>34.053658492903352</v>
      </c>
      <c r="EM37" s="22">
        <f t="shared" si="19"/>
        <v>286.15872187513997</v>
      </c>
      <c r="EN37" s="62">
        <f t="shared" si="20"/>
        <v>528.93215333725561</v>
      </c>
      <c r="EO37" s="62">
        <f ca="1">AVERAGE(OFFSET($EN$3,0,0,'Données projet'!$E$15+1,1))-AVERAGE(OFFSET($H$3,0,0,'Données projet'!$E$15+1,1))</f>
        <v>530.77325763685963</v>
      </c>
      <c r="EP37" s="62">
        <f t="shared" si="46"/>
        <v>344.23100274990145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90.580021122303947</v>
      </c>
      <c r="T38" s="62">
        <f t="shared" si="34"/>
        <v>375.77399473907451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58.6888412090724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4.1397724544989238E-2</v>
      </c>
      <c r="AC38" s="24">
        <f t="shared" si="3"/>
        <v>58.730238933617386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87.3677313039193</v>
      </c>
      <c r="AO38" s="62">
        <f t="shared" si="36"/>
        <v>326.27342751542903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50.136077836976547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50.136077836976547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169</v>
      </c>
      <c r="BB38" s="13">
        <f>VLOOKUP(A38,'Données projet'!$A$87:$I$107,9,0)</f>
        <v>4.2</v>
      </c>
      <c r="BC38" s="13">
        <f t="array" ref="BC38">INDEX(BB:BB,MIN(IF(ISNUMBER(BB38:BB234),ROW(BB38:BB234),"")))</f>
        <v>4.2</v>
      </c>
      <c r="BD38" s="13">
        <f>IF('Données projet'!$A$88&gt;35,BD37+BC38-BL37,IF(A38&lt;'Données projet'!$A$88,$BA$205^A38,IF(A38='Données projet'!$A$88,'Données projet'!$B$88,BD37+BC38-BL37)))</f>
        <v>168.99999999999989</v>
      </c>
      <c r="BE38" s="14">
        <f>BD38*VLOOKUP('Données projet'!$B$11,Paramètres!$A$1:$I$89,3,0)*VLOOKUP('Données projet'!$B$11,Paramètres!$A$1:$I$89,5,0)</f>
        <v>152.91119999999989</v>
      </c>
      <c r="BF38" s="14">
        <f t="shared" si="37"/>
        <v>39.239424324197508</v>
      </c>
      <c r="BG38" s="22">
        <f t="shared" si="7"/>
        <v>334.66233736464375</v>
      </c>
      <c r="BH38" s="62">
        <f t="shared" si="8"/>
        <v>578.31287008921822</v>
      </c>
      <c r="BI38" s="62">
        <f ca="1">AVERAGE(OFFSET($BH$3,0,0,'Données projet'!$E$11+1,1))-AVERAGE(OFFSET($H$3,0,0,'Données projet'!$E$11+1,1))</f>
        <v>254.91239442958343</v>
      </c>
      <c r="BJ38" s="62">
        <f t="shared" si="38"/>
        <v>361.41009011468407</v>
      </c>
      <c r="BK38" s="16">
        <f>IF(ISNA(VLOOKUP(A38,'Données projet'!$A$87:$I$107,3,0)),0,VLOOKUP(A38,'Données projet'!$A$87:$I$107,3,0))</f>
        <v>6</v>
      </c>
      <c r="BL38" s="16">
        <f>IF(ISNA(VLOOKUP(A38,'Données projet'!$A$87:$I$107,4,0)),0,VLOOKUP(A38,'Données projet'!$A$87:$I$107,4,0))</f>
        <v>5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117.62400000000001</v>
      </c>
      <c r="CA38" s="14">
        <f t="shared" si="39"/>
        <v>31.120192961985413</v>
      </c>
      <c r="CB38" s="22">
        <f t="shared" si="10"/>
        <v>259.06280274212457</v>
      </c>
      <c r="CC38" s="62">
        <f t="shared" si="11"/>
        <v>502.71333546669905</v>
      </c>
      <c r="CD38" s="62">
        <f ca="1">AVERAGE(OFFSET($CC$3,0,0,'Données projet'!$E$12+1,1))-AVERAGE(OFFSET($H$3,0,0,'Données projet'!$E$12+1,1))</f>
        <v>516.30971934066179</v>
      </c>
      <c r="CE38" s="62">
        <f t="shared" si="40"/>
        <v>290.84286505723571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95</v>
      </c>
      <c r="CR38" s="13">
        <f>VLOOKUP(A38,'Données projet'!$A$139:$I$159,9,0)</f>
        <v>6.6</v>
      </c>
      <c r="CS38" s="13">
        <f t="array" ref="CS38">INDEX(CR:CR,MIN(IF(ISNUMBER(CR38:CR234),ROW(CR38:CR234),"")))</f>
        <v>6.6</v>
      </c>
      <c r="CT38" s="13">
        <f>IF('Données projet'!$A$140&gt;35,CT37+CS38-DB37,IF(A38&lt;'Données projet'!$A$140,$CQ$205^A38,IF(A38='Données projet'!$A$140,'Données projet'!$B$140,CT37+CS38-DB37)))</f>
        <v>95</v>
      </c>
      <c r="CU38" s="18">
        <f>CT38*VLOOKUP('Données projet'!$B$13,Paramètres!$A$1:$I$89,3,0)*VLOOKUP('Données projet'!$B$13,Paramètres!$A$1:$I$89,5,0)</f>
        <v>82.992000000000004</v>
      </c>
      <c r="CV38" s="14">
        <f t="shared" si="41"/>
        <v>22.867173045817324</v>
      </c>
      <c r="CW38" s="22">
        <f t="shared" si="13"/>
        <v>184.37139305479852</v>
      </c>
      <c r="CX38" s="62">
        <f t="shared" si="14"/>
        <v>428.02192577937302</v>
      </c>
      <c r="CY38" s="62">
        <f ca="1">AVERAGE(OFFSET($CX$3,0,0,'Données projet'!$E$13+1,1))-AVERAGE(OFFSET($H$3,0,0,'Données projet'!$E$13+1,1))</f>
        <v>226.76930997889059</v>
      </c>
      <c r="CZ38" s="62">
        <f t="shared" si="42"/>
        <v>236.36066378969329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72</v>
      </c>
      <c r="DM38" s="13">
        <f>VLOOKUP(A38,'Données projet'!$A$165:$I$185,9,0)</f>
        <v>3.6</v>
      </c>
      <c r="DN38" s="13">
        <f t="array" ref="DN38">INDEX(DM:DM,MIN(IF(ISNUMBER(DM38:DM234),ROW(DM38:DM234),"")))</f>
        <v>3.6</v>
      </c>
      <c r="DO38" s="13">
        <f>IF('Données projet'!$A$166&gt;35,DO37+DN38-DW37,IF(A38&lt;'Données projet'!$A$166,$DL$205^A38,IF(A38='Données projet'!$A$166,'Données projet'!$B$166,DO37+DN38-DW37)))</f>
        <v>72</v>
      </c>
      <c r="DP38" s="18">
        <f>DO38*VLOOKUP('Données projet'!$B$14,Paramètres!$A$1:$I$89,3,0)*VLOOKUP('Données projet'!$B$14,Paramètres!$A$1:$I$89,5,0)</f>
        <v>77.500799999999998</v>
      </c>
      <c r="DQ38" s="14">
        <f t="shared" si="43"/>
        <v>21.524992579009275</v>
      </c>
      <c r="DR38" s="22">
        <f t="shared" si="16"/>
        <v>172.4699220751078</v>
      </c>
      <c r="DS38" s="62">
        <f t="shared" si="17"/>
        <v>416.12045479968231</v>
      </c>
      <c r="DT38" s="62">
        <f ca="1">AVERAGE(OFFSET($DS$3,0,0,'Données projet'!$E$14+1,1))-AVERAGE(OFFSET($H$3,0,0,'Données projet'!$E$14+1,1))</f>
        <v>315.12428188060306</v>
      </c>
      <c r="DU38" s="62">
        <f t="shared" si="44"/>
        <v>186.08400677811986</v>
      </c>
      <c r="DV38" s="16">
        <f>IF(ISNA(VLOOKUP(A38,'Données projet'!$A$165:$I$185,3,0)),0,VLOOKUP(A38,'Données projet'!$A$165:$I$185,3,0))</f>
        <v>1</v>
      </c>
      <c r="DW38" s="16">
        <f>IF(ISNA(VLOOKUP(A38,'Données projet'!$A$165:$I$185,4,0)),0,VLOOKUP(A38,'Données projet'!$A$165:$I$185,4,0))</f>
        <v>17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131.41025641025641</v>
      </c>
      <c r="EH38" s="13">
        <f>VLOOKUP(A38,'Données projet'!$A$191:$I$211,9,0)</f>
        <v>6.7948717948717956</v>
      </c>
      <c r="EI38" s="13">
        <f t="array" ref="EI38">INDEX(EH:EH,MIN(IF(ISNUMBER(EH38:EH234),ROW(EH38:EH234),"")))</f>
        <v>6.7948717948717956</v>
      </c>
      <c r="EJ38" s="13">
        <f>IF('Données projet'!$A$192&gt;35,EJ37+EI38-ER37,IF(A38&lt;'Données projet'!$A$192,$EG$205^A38,IF(A38='Données projet'!$A$192,'Données projet'!$B$192,EJ37+EI38-ER37)))</f>
        <v>131.41025641025638</v>
      </c>
      <c r="EK38" s="18">
        <f>EJ38*VLOOKUP('Données projet'!$B$15,Paramètres!$A$1:$I$89,3,0)*VLOOKUP('Données projet'!$B$15,Paramètres!$A$1:$I$89,5,0)</f>
        <v>137.35</v>
      </c>
      <c r="EL38" s="14">
        <f t="shared" si="45"/>
        <v>35.68925416600387</v>
      </c>
      <c r="EM38" s="22">
        <f t="shared" si="19"/>
        <v>301.37670100579004</v>
      </c>
      <c r="EN38" s="62">
        <f t="shared" si="20"/>
        <v>545.02723373036451</v>
      </c>
      <c r="EO38" s="62">
        <f ca="1">AVERAGE(OFFSET($EN$3,0,0,'Données projet'!$E$15+1,1))-AVERAGE(OFFSET($H$3,0,0,'Données projet'!$E$15+1,1))</f>
        <v>530.77325763685963</v>
      </c>
      <c r="EP38" s="62">
        <f t="shared" si="46"/>
        <v>344.23100274990145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90.580021122303947</v>
      </c>
      <c r="T39" s="62">
        <f t="shared" si="34"/>
        <v>375.77399473907451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57.537988829621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2.9272611751454673E-2</v>
      </c>
      <c r="AC39" s="24">
        <f t="shared" si="3"/>
        <v>57.567261441372452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87.3677313039193</v>
      </c>
      <c r="AO39" s="62">
        <f t="shared" si="36"/>
        <v>326.27342751542903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49.152939930581397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49.152939930581397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3.8</v>
      </c>
      <c r="BD39" s="13">
        <f>IF('Données projet'!$A$88&gt;35,BD38+BC39-BL38,IF(A39&lt;'Données projet'!$A$88,$BA$205^A39,IF(A39='Données projet'!$A$88,'Données projet'!$B$88,BD38+BC39-BL38)))</f>
        <v>167.7999999999999</v>
      </c>
      <c r="BE39" s="14">
        <f>BD39*VLOOKUP('Données projet'!$B$11,Paramètres!$A$1:$I$89,3,0)*VLOOKUP('Données projet'!$B$11,Paramètres!$A$1:$I$89,5,0)</f>
        <v>151.8254399999999</v>
      </c>
      <c r="BF39" s="14">
        <f t="shared" si="37"/>
        <v>38.993130915848106</v>
      </c>
      <c r="BG39" s="22">
        <f t="shared" si="7"/>
        <v>332.34234434510194</v>
      </c>
      <c r="BH39" s="62">
        <f t="shared" si="8"/>
        <v>576.8547625861363</v>
      </c>
      <c r="BI39" s="62">
        <f ca="1">AVERAGE(OFFSET($BH$3,0,0,'Données projet'!$E$11+1,1))-AVERAGE(OFFSET($H$3,0,0,'Données projet'!$E$11+1,1))</f>
        <v>254.91239442958343</v>
      </c>
      <c r="BJ39" s="62">
        <f t="shared" si="38"/>
        <v>361.41009011468407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126.1416</v>
      </c>
      <c r="CA39" s="14">
        <f t="shared" si="39"/>
        <v>33.10323903126482</v>
      </c>
      <c r="CB39" s="22">
        <f t="shared" si="10"/>
        <v>277.35142797945286</v>
      </c>
      <c r="CC39" s="62">
        <f t="shared" si="11"/>
        <v>521.86384622048729</v>
      </c>
      <c r="CD39" s="62">
        <f ca="1">AVERAGE(OFFSET($CC$3,0,0,'Données projet'!$E$12+1,1))-AVERAGE(OFFSET($H$3,0,0,'Données projet'!$E$12+1,1))</f>
        <v>516.30971934066179</v>
      </c>
      <c r="CE39" s="62">
        <f t="shared" si="40"/>
        <v>290.84286505723571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5.6</v>
      </c>
      <c r="CT39" s="13">
        <f>IF('Données projet'!$A$140&gt;35,CT38+CS39-DB38,IF(A39&lt;'Données projet'!$A$140,$CQ$205^A39,IF(A39='Données projet'!$A$140,'Données projet'!$B$140,CT38+CS39-DB38)))</f>
        <v>100.6</v>
      </c>
      <c r="CU39" s="18">
        <f>CT39*VLOOKUP('Données projet'!$B$13,Paramètres!$A$1:$I$89,3,0)*VLOOKUP('Données projet'!$B$13,Paramètres!$A$1:$I$89,5,0)</f>
        <v>87.884160000000008</v>
      </c>
      <c r="CV39" s="14">
        <f t="shared" si="41"/>
        <v>24.054230949481131</v>
      </c>
      <c r="CW39" s="22">
        <f t="shared" si="13"/>
        <v>194.95936423701301</v>
      </c>
      <c r="CX39" s="62">
        <f t="shared" si="14"/>
        <v>439.47178247804743</v>
      </c>
      <c r="CY39" s="62">
        <f ca="1">AVERAGE(OFFSET($CX$3,0,0,'Données projet'!$E$13+1,1))-AVERAGE(OFFSET($H$3,0,0,'Données projet'!$E$13+1,1))</f>
        <v>226.76930997889059</v>
      </c>
      <c r="CZ39" s="62">
        <f t="shared" si="42"/>
        <v>236.36066378969329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4</v>
      </c>
      <c r="DO39" s="13">
        <f>IF('Données projet'!$A$166&gt;35,DO38+DN39-DW38,IF(A39&lt;'Données projet'!$A$166,$DL$205^A39,IF(A39='Données projet'!$A$166,'Données projet'!$B$166,DO38+DN39-DW38)))</f>
        <v>59</v>
      </c>
      <c r="DP39" s="18">
        <f>DO39*VLOOKUP('Données projet'!$B$14,Paramètres!$A$1:$I$89,3,0)*VLOOKUP('Données projet'!$B$14,Paramètres!$A$1:$I$89,5,0)</f>
        <v>63.507599999999989</v>
      </c>
      <c r="DQ39" s="14">
        <f t="shared" si="43"/>
        <v>18.052146695841799</v>
      </c>
      <c r="DR39" s="22">
        <f t="shared" si="16"/>
        <v>142.04989216192445</v>
      </c>
      <c r="DS39" s="62">
        <f t="shared" si="17"/>
        <v>386.56231040295887</v>
      </c>
      <c r="DT39" s="62">
        <f ca="1">AVERAGE(OFFSET($DS$3,0,0,'Données projet'!$E$14+1,1))-AVERAGE(OFFSET($H$3,0,0,'Données projet'!$E$14+1,1))</f>
        <v>315.12428188060306</v>
      </c>
      <c r="DU39" s="62">
        <f t="shared" si="44"/>
        <v>186.08400677811986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6.5384615384615357</v>
      </c>
      <c r="EJ39" s="13">
        <f>IF('Données projet'!$A$192&gt;35,EJ38+EI39-ER38,IF(A39&lt;'Données projet'!$A$192,$EG$205^A39,IF(A39='Données projet'!$A$192,'Données projet'!$B$192,EJ38+EI39-ER38)))</f>
        <v>137.94871794871793</v>
      </c>
      <c r="EK39" s="18">
        <f>EJ39*VLOOKUP('Données projet'!$B$15,Paramètres!$A$1:$I$89,3,0)*VLOOKUP('Données projet'!$B$15,Paramètres!$A$1:$I$89,5,0)</f>
        <v>144.184</v>
      </c>
      <c r="EL39" s="14">
        <f t="shared" si="45"/>
        <v>37.253852236732257</v>
      </c>
      <c r="EM39" s="22">
        <f t="shared" si="19"/>
        <v>316.00425931230865</v>
      </c>
      <c r="EN39" s="62">
        <f t="shared" si="20"/>
        <v>560.51667755334302</v>
      </c>
      <c r="EO39" s="62">
        <f ca="1">AVERAGE(OFFSET($EN$3,0,0,'Données projet'!$E$15+1,1))-AVERAGE(OFFSET($H$3,0,0,'Données projet'!$E$15+1,1))</f>
        <v>530.77325763685963</v>
      </c>
      <c r="EP39" s="62">
        <f t="shared" si="46"/>
        <v>344.23100274990145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90.580021122303947</v>
      </c>
      <c r="T40" s="62">
        <f t="shared" si="34"/>
        <v>375.77399473907451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56.409703963380004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2.0698862272494619E-2</v>
      </c>
      <c r="AC40" s="24">
        <f t="shared" si="3"/>
        <v>56.4304028256525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87.3677313039193</v>
      </c>
      <c r="AO40" s="62">
        <f t="shared" si="36"/>
        <v>326.27342751542903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48.18908075887574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48.18908075887574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3.8</v>
      </c>
      <c r="BD40" s="13">
        <f>IF('Données projet'!$A$88&gt;35,BD39+BC40-BL39,IF(A40&lt;'Données projet'!$A$88,$BA$205^A40,IF(A40='Données projet'!$A$88,'Données projet'!$B$88,BD39+BC40-BL39)))</f>
        <v>171.59999999999991</v>
      </c>
      <c r="BE40" s="14">
        <f>BD40*VLOOKUP('Données projet'!$B$11,Paramètres!$A$1:$I$89,3,0)*VLOOKUP('Données projet'!$B$11,Paramètres!$A$1:$I$89,5,0)</f>
        <v>155.26367999999991</v>
      </c>
      <c r="BF40" s="14">
        <f t="shared" si="37"/>
        <v>39.77236412265178</v>
      </c>
      <c r="BG40" s="22">
        <f t="shared" si="7"/>
        <v>339.68777684695164</v>
      </c>
      <c r="BH40" s="62">
        <f t="shared" si="8"/>
        <v>585.04712881762271</v>
      </c>
      <c r="BI40" s="62">
        <f ca="1">AVERAGE(OFFSET($BH$3,0,0,'Données projet'!$E$11+1,1))-AVERAGE(OFFSET($H$3,0,0,'Données projet'!$E$11+1,1))</f>
        <v>254.91239442958343</v>
      </c>
      <c r="BJ40" s="62">
        <f t="shared" si="38"/>
        <v>361.41009011468407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134.65920000000003</v>
      </c>
      <c r="CA40" s="14">
        <f t="shared" si="39"/>
        <v>35.07074737441733</v>
      </c>
      <c r="CB40" s="22">
        <f t="shared" si="10"/>
        <v>295.61299167711019</v>
      </c>
      <c r="CC40" s="62">
        <f t="shared" si="11"/>
        <v>540.97234364778126</v>
      </c>
      <c r="CD40" s="62">
        <f ca="1">AVERAGE(OFFSET($CC$3,0,0,'Données projet'!$E$12+1,1))-AVERAGE(OFFSET($H$3,0,0,'Données projet'!$E$12+1,1))</f>
        <v>516.30971934066179</v>
      </c>
      <c r="CE40" s="62">
        <f t="shared" si="40"/>
        <v>290.84286505723571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5.6</v>
      </c>
      <c r="CT40" s="13">
        <f>IF('Données projet'!$A$140&gt;35,CT39+CS40-DB39,IF(A40&lt;'Données projet'!$A$140,$CQ$205^A40,IF(A40='Données projet'!$A$140,'Données projet'!$B$140,CT39+CS40-DB39)))</f>
        <v>106.19999999999999</v>
      </c>
      <c r="CU40" s="18">
        <f>CT40*VLOOKUP('Données projet'!$B$13,Paramètres!$A$1:$I$89,3,0)*VLOOKUP('Données projet'!$B$13,Paramètres!$A$1:$I$89,5,0)</f>
        <v>92.776319999999998</v>
      </c>
      <c r="CV40" s="14">
        <f t="shared" si="41"/>
        <v>25.233617967655977</v>
      </c>
      <c r="CW40" s="22">
        <f t="shared" si="13"/>
        <v>205.53397529366748</v>
      </c>
      <c r="CX40" s="62">
        <f t="shared" si="14"/>
        <v>450.89332726433861</v>
      </c>
      <c r="CY40" s="62">
        <f ca="1">AVERAGE(OFFSET($CX$3,0,0,'Données projet'!$E$13+1,1))-AVERAGE(OFFSET($H$3,0,0,'Données projet'!$E$13+1,1))</f>
        <v>226.76930997889059</v>
      </c>
      <c r="CZ40" s="62">
        <f t="shared" si="42"/>
        <v>236.36066378969329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4</v>
      </c>
      <c r="DO40" s="13">
        <f>IF('Données projet'!$A$166&gt;35,DO39+DN40-DW39,IF(A40&lt;'Données projet'!$A$166,$DL$205^A40,IF(A40='Données projet'!$A$166,'Données projet'!$B$166,DO39+DN40-DW39)))</f>
        <v>63</v>
      </c>
      <c r="DP40" s="18">
        <f>DO40*VLOOKUP('Données projet'!$B$14,Paramètres!$A$1:$I$89,3,0)*VLOOKUP('Données projet'!$B$14,Paramètres!$A$1:$I$89,5,0)</f>
        <v>67.813199999999995</v>
      </c>
      <c r="DQ40" s="14">
        <f t="shared" si="43"/>
        <v>19.12939901326985</v>
      </c>
      <c r="DR40" s="22">
        <f t="shared" si="16"/>
        <v>151.42502661477829</v>
      </c>
      <c r="DS40" s="62">
        <f t="shared" si="17"/>
        <v>396.78437858544942</v>
      </c>
      <c r="DT40" s="62">
        <f ca="1">AVERAGE(OFFSET($DS$3,0,0,'Données projet'!$E$14+1,1))-AVERAGE(OFFSET($H$3,0,0,'Données projet'!$E$14+1,1))</f>
        <v>315.12428188060306</v>
      </c>
      <c r="DU40" s="62">
        <f t="shared" si="44"/>
        <v>186.08400677811986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6.5384615384615357</v>
      </c>
      <c r="EJ40" s="13">
        <f>IF('Données projet'!$A$192&gt;35,EJ39+EI40-ER39,IF(A40&lt;'Données projet'!$A$192,$EG$205^A40,IF(A40='Données projet'!$A$192,'Données projet'!$B$192,EJ39+EI40-ER39)))</f>
        <v>144.48717948717947</v>
      </c>
      <c r="EK40" s="18">
        <f>EJ40*VLOOKUP('Données projet'!$B$15,Paramètres!$A$1:$I$89,3,0)*VLOOKUP('Données projet'!$B$15,Paramètres!$A$1:$I$89,5,0)</f>
        <v>151.018</v>
      </c>
      <c r="EL40" s="14">
        <f t="shared" si="45"/>
        <v>38.809838626521376</v>
      </c>
      <c r="EM40" s="22">
        <f t="shared" si="19"/>
        <v>330.61681894119141</v>
      </c>
      <c r="EN40" s="62">
        <f t="shared" si="20"/>
        <v>575.97617091186248</v>
      </c>
      <c r="EO40" s="62">
        <f ca="1">AVERAGE(OFFSET($EN$3,0,0,'Données projet'!$E$15+1,1))-AVERAGE(OFFSET($H$3,0,0,'Données projet'!$E$15+1,1))</f>
        <v>530.77325763685963</v>
      </c>
      <c r="EP40" s="62">
        <f t="shared" si="46"/>
        <v>344.23100274990145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90.580021122303947</v>
      </c>
      <c r="T41" s="62">
        <f t="shared" si="34"/>
        <v>375.77399473907451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55.303544075180177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1.4636305875727337E-2</v>
      </c>
      <c r="AC41" s="24">
        <f t="shared" si="3"/>
        <v>55.318180381055903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87.3677313039193</v>
      </c>
      <c r="AO41" s="62">
        <f t="shared" si="36"/>
        <v>326.27342751542903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47.244122277631185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47.244122277631185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3.8</v>
      </c>
      <c r="BD41" s="13">
        <f>IF('Données projet'!$A$88&gt;35,BD40+BC41-BL40,IF(A41&lt;'Données projet'!$A$88,$BA$205^A41,IF(A41='Données projet'!$A$88,'Données projet'!$B$88,BD40+BC41-BL40)))</f>
        <v>175.39999999999992</v>
      </c>
      <c r="BE41" s="14">
        <f>BD41*VLOOKUP('Données projet'!$B$11,Paramètres!$A$1:$I$89,3,0)*VLOOKUP('Données projet'!$B$11,Paramètres!$A$1:$I$89,5,0)</f>
        <v>158.70191999999992</v>
      </c>
      <c r="BF41" s="14">
        <f t="shared" si="37"/>
        <v>40.549591173644728</v>
      </c>
      <c r="BG41" s="22">
        <f t="shared" si="7"/>
        <v>347.02971529409774</v>
      </c>
      <c r="BH41" s="62">
        <f t="shared" si="8"/>
        <v>593.22130858765649</v>
      </c>
      <c r="BI41" s="62">
        <f ca="1">AVERAGE(OFFSET($BH$3,0,0,'Données projet'!$E$11+1,1))-AVERAGE(OFFSET($H$3,0,0,'Données projet'!$E$11+1,1))</f>
        <v>254.91239442958343</v>
      </c>
      <c r="BJ41" s="62">
        <f t="shared" si="38"/>
        <v>361.41009011468407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143.17680000000004</v>
      </c>
      <c r="CA41" s="14">
        <f t="shared" si="39"/>
        <v>37.023812674521515</v>
      </c>
      <c r="CB41" s="22">
        <f t="shared" si="10"/>
        <v>313.84940040812506</v>
      </c>
      <c r="CC41" s="62">
        <f t="shared" si="11"/>
        <v>560.04099370168376</v>
      </c>
      <c r="CD41" s="62">
        <f ca="1">AVERAGE(OFFSET($CC$3,0,0,'Données projet'!$E$12+1,1))-AVERAGE(OFFSET($H$3,0,0,'Données projet'!$E$12+1,1))</f>
        <v>516.30971934066179</v>
      </c>
      <c r="CE41" s="62">
        <f t="shared" si="40"/>
        <v>290.84286505723571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5.6</v>
      </c>
      <c r="CT41" s="13">
        <f>IF('Données projet'!$A$140&gt;35,CT40+CS41-DB40,IF(A41&lt;'Données projet'!$A$140,$CQ$205^A41,IF(A41='Données projet'!$A$140,'Données projet'!$B$140,CT40+CS41-DB40)))</f>
        <v>111.79999999999998</v>
      </c>
      <c r="CU41" s="18">
        <f>CT41*VLOOKUP('Données projet'!$B$13,Paramètres!$A$1:$I$89,3,0)*VLOOKUP('Données projet'!$B$13,Paramètres!$A$1:$I$89,5,0)</f>
        <v>97.668480000000002</v>
      </c>
      <c r="CV41" s="14">
        <f t="shared" si="41"/>
        <v>26.405784719550642</v>
      </c>
      <c r="CW41" s="22">
        <f t="shared" si="13"/>
        <v>216.09601105321735</v>
      </c>
      <c r="CX41" s="62">
        <f t="shared" si="14"/>
        <v>462.28760434677611</v>
      </c>
      <c r="CY41" s="62">
        <f ca="1">AVERAGE(OFFSET($CX$3,0,0,'Données projet'!$E$13+1,1))-AVERAGE(OFFSET($H$3,0,0,'Données projet'!$E$13+1,1))</f>
        <v>226.76930997889059</v>
      </c>
      <c r="CZ41" s="62">
        <f t="shared" si="42"/>
        <v>236.36066378969329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4</v>
      </c>
      <c r="DO41" s="13">
        <f>IF('Données projet'!$A$166&gt;35,DO40+DN41-DW40,IF(A41&lt;'Données projet'!$A$166,$DL$205^A41,IF(A41='Données projet'!$A$166,'Données projet'!$B$166,DO40+DN41-DW40)))</f>
        <v>67</v>
      </c>
      <c r="DP41" s="18">
        <f>DO41*VLOOKUP('Données projet'!$B$14,Paramètres!$A$1:$I$89,3,0)*VLOOKUP('Données projet'!$B$14,Paramètres!$A$1:$I$89,5,0)</f>
        <v>72.118799999999993</v>
      </c>
      <c r="DQ41" s="14">
        <f t="shared" si="43"/>
        <v>20.198713641862817</v>
      </c>
      <c r="DR41" s="22">
        <f t="shared" si="16"/>
        <v>160.78633625957769</v>
      </c>
      <c r="DS41" s="62">
        <f t="shared" si="17"/>
        <v>406.97792955313639</v>
      </c>
      <c r="DT41" s="62">
        <f ca="1">AVERAGE(OFFSET($DS$3,0,0,'Données projet'!$E$14+1,1))-AVERAGE(OFFSET($H$3,0,0,'Données projet'!$E$14+1,1))</f>
        <v>315.12428188060306</v>
      </c>
      <c r="DU41" s="62">
        <f t="shared" si="44"/>
        <v>186.08400677811986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6.5384615384615357</v>
      </c>
      <c r="EJ41" s="13">
        <f>IF('Données projet'!$A$192&gt;35,EJ40+EI41-ER40,IF(A41&lt;'Données projet'!$A$192,$EG$205^A41,IF(A41='Données projet'!$A$192,'Données projet'!$B$192,EJ40+EI41-ER40)))</f>
        <v>151.02564102564102</v>
      </c>
      <c r="EK41" s="18">
        <f>EJ41*VLOOKUP('Données projet'!$B$15,Paramètres!$A$1:$I$89,3,0)*VLOOKUP('Données projet'!$B$15,Paramètres!$A$1:$I$89,5,0)</f>
        <v>157.852</v>
      </c>
      <c r="EL41" s="14">
        <f t="shared" si="45"/>
        <v>40.357647559226351</v>
      </c>
      <c r="EM41" s="22">
        <f t="shared" si="19"/>
        <v>345.21513616565261</v>
      </c>
      <c r="EN41" s="62">
        <f t="shared" si="20"/>
        <v>591.40672945921131</v>
      </c>
      <c r="EO41" s="62">
        <f ca="1">AVERAGE(OFFSET($EN$3,0,0,'Données projet'!$E$15+1,1))-AVERAGE(OFFSET($H$3,0,0,'Données projet'!$E$15+1,1))</f>
        <v>530.77325763685963</v>
      </c>
      <c r="EP41" s="62">
        <f t="shared" si="46"/>
        <v>344.23100274990145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90.580021122303947</v>
      </c>
      <c r="T42" s="62">
        <f t="shared" si="34"/>
        <v>375.77399473907451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54.21907530769704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1.034943113624731E-2</v>
      </c>
      <c r="AC42" s="24">
        <f t="shared" si="3"/>
        <v>54.229424738833288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87.3677313039193</v>
      </c>
      <c r="AO42" s="62">
        <f t="shared" si="36"/>
        <v>326.27342751542903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46.317693855836076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46.317693855836076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3.8</v>
      </c>
      <c r="BD42" s="13">
        <f>IF('Données projet'!$A$88&gt;35,BD41+BC42-BL41,IF(A42&lt;'Données projet'!$A$88,$BA$205^A42,IF(A42='Données projet'!$A$88,'Données projet'!$B$88,BD41+BC42-BL41)))</f>
        <v>179.19999999999993</v>
      </c>
      <c r="BE42" s="14">
        <f>BD42*VLOOKUP('Données projet'!$B$11,Paramètres!$A$1:$I$89,3,0)*VLOOKUP('Données projet'!$B$11,Paramètres!$A$1:$I$89,5,0)</f>
        <v>162.14015999999992</v>
      </c>
      <c r="BF42" s="14">
        <f t="shared" si="37"/>
        <v>41.324860537333677</v>
      </c>
      <c r="BG42" s="22">
        <f t="shared" si="7"/>
        <v>354.36824410252262</v>
      </c>
      <c r="BH42" s="62">
        <f t="shared" si="8"/>
        <v>601.37764119262977</v>
      </c>
      <c r="BI42" s="62">
        <f ca="1">AVERAGE(OFFSET($BH$3,0,0,'Données projet'!$E$11+1,1))-AVERAGE(OFFSET($H$3,0,0,'Données projet'!$E$11+1,1))</f>
        <v>254.91239442958343</v>
      </c>
      <c r="BJ42" s="62">
        <f t="shared" si="38"/>
        <v>361.41009011468407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151.69440000000003</v>
      </c>
      <c r="CA42" s="14">
        <f t="shared" si="39"/>
        <v>38.963392010880654</v>
      </c>
      <c r="CB42" s="22">
        <f t="shared" si="10"/>
        <v>332.06232108561716</v>
      </c>
      <c r="CC42" s="62">
        <f t="shared" si="11"/>
        <v>579.0717181757243</v>
      </c>
      <c r="CD42" s="62">
        <f ca="1">AVERAGE(OFFSET($CC$3,0,0,'Données projet'!$E$12+1,1))-AVERAGE(OFFSET($H$3,0,0,'Données projet'!$E$12+1,1))</f>
        <v>516.30971934066179</v>
      </c>
      <c r="CE42" s="62">
        <f t="shared" si="40"/>
        <v>290.84286505723571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5.6</v>
      </c>
      <c r="CT42" s="13">
        <f>IF('Données projet'!$A$140&gt;35,CT41+CS42-DB41,IF(A42&lt;'Données projet'!$A$140,$CQ$205^A42,IF(A42='Données projet'!$A$140,'Données projet'!$B$140,CT41+CS42-DB41)))</f>
        <v>117.39999999999998</v>
      </c>
      <c r="CU42" s="18">
        <f>CT42*VLOOKUP('Données projet'!$B$13,Paramètres!$A$1:$I$89,3,0)*VLOOKUP('Données projet'!$B$13,Paramètres!$A$1:$I$89,5,0)</f>
        <v>102.56064000000001</v>
      </c>
      <c r="CV42" s="14">
        <f t="shared" si="41"/>
        <v>27.571134131783779</v>
      </c>
      <c r="CW42" s="22">
        <f t="shared" si="13"/>
        <v>226.64617327952342</v>
      </c>
      <c r="CX42" s="62">
        <f t="shared" si="14"/>
        <v>473.65557036963054</v>
      </c>
      <c r="CY42" s="62">
        <f ca="1">AVERAGE(OFFSET($CX$3,0,0,'Données projet'!$E$13+1,1))-AVERAGE(OFFSET($H$3,0,0,'Données projet'!$E$13+1,1))</f>
        <v>226.76930997889059</v>
      </c>
      <c r="CZ42" s="62">
        <f t="shared" si="42"/>
        <v>236.36066378969329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4</v>
      </c>
      <c r="DO42" s="13">
        <f>IF('Données projet'!$A$166&gt;35,DO41+DN42-DW41,IF(A42&lt;'Données projet'!$A$166,$DL$205^A42,IF(A42='Données projet'!$A$166,'Données projet'!$B$166,DO41+DN42-DW41)))</f>
        <v>71</v>
      </c>
      <c r="DP42" s="18">
        <f>DO42*VLOOKUP('Données projet'!$B$14,Paramètres!$A$1:$I$89,3,0)*VLOOKUP('Données projet'!$B$14,Paramètres!$A$1:$I$89,5,0)</f>
        <v>76.424399999999991</v>
      </c>
      <c r="DQ42" s="14">
        <f t="shared" si="43"/>
        <v>21.260618446015851</v>
      </c>
      <c r="DR42" s="22">
        <f t="shared" si="16"/>
        <v>170.13474046014426</v>
      </c>
      <c r="DS42" s="62">
        <f t="shared" si="17"/>
        <v>417.14413755025134</v>
      </c>
      <c r="DT42" s="62">
        <f ca="1">AVERAGE(OFFSET($DS$3,0,0,'Données projet'!$E$14+1,1))-AVERAGE(OFFSET($H$3,0,0,'Données projet'!$E$14+1,1))</f>
        <v>315.12428188060306</v>
      </c>
      <c r="DU42" s="62">
        <f t="shared" si="44"/>
        <v>186.08400677811986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6.5384615384615357</v>
      </c>
      <c r="EJ42" s="13">
        <f>IF('Données projet'!$A$192&gt;35,EJ41+EI42-ER41,IF(A42&lt;'Données projet'!$A$192,$EG$205^A42,IF(A42='Données projet'!$A$192,'Données projet'!$B$192,EJ41+EI42-ER41)))</f>
        <v>157.56410256410257</v>
      </c>
      <c r="EK42" s="18">
        <f>EJ42*VLOOKUP('Données projet'!$B$15,Paramètres!$A$1:$I$89,3,0)*VLOOKUP('Données projet'!$B$15,Paramètres!$A$1:$I$89,5,0)</f>
        <v>164.68600000000001</v>
      </c>
      <c r="EL42" s="14">
        <f t="shared" si="45"/>
        <v>41.89767353409232</v>
      </c>
      <c r="EM42" s="22">
        <f t="shared" si="19"/>
        <v>359.79989807187752</v>
      </c>
      <c r="EN42" s="62">
        <f t="shared" si="20"/>
        <v>606.80929516198466</v>
      </c>
      <c r="EO42" s="62">
        <f ca="1">AVERAGE(OFFSET($EN$3,0,0,'Données projet'!$E$15+1,1))-AVERAGE(OFFSET($H$3,0,0,'Données projet'!$E$15+1,1))</f>
        <v>530.77325763685963</v>
      </c>
      <c r="EP42" s="62">
        <f t="shared" si="46"/>
        <v>344.23100274990145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90.580021122303947</v>
      </c>
      <c r="T43" s="62">
        <f t="shared" si="34"/>
        <v>375.77399473907451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53.155872311283609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7.3181529378636683E-3</v>
      </c>
      <c r="AC43" s="24">
        <f t="shared" si="3"/>
        <v>53.163190464221472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87.3677313039193</v>
      </c>
      <c r="AO43" s="62">
        <f t="shared" si="36"/>
        <v>326.27342751542903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45.409432130326827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45.409432130326827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183</v>
      </c>
      <c r="BB43" s="13">
        <f>VLOOKUP(A43,'Données projet'!$A$87:$I$107,9,0)</f>
        <v>3.8</v>
      </c>
      <c r="BC43" s="13">
        <f t="array" ref="BC43">INDEX(BB:BB,MIN(IF(ISNUMBER(BB43:BB239),ROW(BB43:BB239),"")))</f>
        <v>3.8</v>
      </c>
      <c r="BD43" s="13">
        <f>IF('Données projet'!$A$88&gt;35,BD42+BC43-BL42,IF(A43&lt;'Données projet'!$A$88,$BA$205^A43,IF(A43='Données projet'!$A$88,'Données projet'!$B$88,BD42+BC43-BL42)))</f>
        <v>182.99999999999994</v>
      </c>
      <c r="BE43" s="14">
        <f>BD43*VLOOKUP('Données projet'!$B$11,Paramètres!$A$1:$I$89,3,0)*VLOOKUP('Données projet'!$B$11,Paramètres!$A$1:$I$89,5,0)</f>
        <v>165.57839999999993</v>
      </c>
      <c r="BF43" s="14">
        <f t="shared" si="37"/>
        <v>42.098218509199661</v>
      </c>
      <c r="BG43" s="22">
        <f t="shared" si="7"/>
        <v>361.70344390352261</v>
      </c>
      <c r="BH43" s="62">
        <f t="shared" si="8"/>
        <v>609.51645772264339</v>
      </c>
      <c r="BI43" s="62">
        <f ca="1">AVERAGE(OFFSET($BH$3,0,0,'Données projet'!$E$11+1,1))-AVERAGE(OFFSET($H$3,0,0,'Données projet'!$E$11+1,1))</f>
        <v>254.91239442958343</v>
      </c>
      <c r="BJ43" s="62">
        <f t="shared" si="38"/>
        <v>361.41009011468407</v>
      </c>
      <c r="BK43" s="16">
        <f>IF(ISNA(VLOOKUP(A43,'Données projet'!$A$87:$I$107,3,0)),0,VLOOKUP(A43,'Données projet'!$A$87:$I$107,3,0))</f>
        <v>7</v>
      </c>
      <c r="BL43" s="16">
        <f>IF(ISNA(VLOOKUP(A43,'Données projet'!$A$87:$I$107,4,0)),0,VLOOKUP(A43,'Données projet'!$A$87:$I$107,4,0))</f>
        <v>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160.21200000000005</v>
      </c>
      <c r="CA43" s="14">
        <f t="shared" si="39"/>
        <v>40.890328912852695</v>
      </c>
      <c r="CB43" s="22">
        <f t="shared" si="10"/>
        <v>350.25322285655176</v>
      </c>
      <c r="CC43" s="62">
        <f t="shared" si="11"/>
        <v>598.0662366756726</v>
      </c>
      <c r="CD43" s="62">
        <f ca="1">AVERAGE(OFFSET($CC$3,0,0,'Données projet'!$E$12+1,1))-AVERAGE(OFFSET($H$3,0,0,'Données projet'!$E$12+1,1))</f>
        <v>516.30971934066179</v>
      </c>
      <c r="CE43" s="62">
        <f t="shared" si="40"/>
        <v>290.84286505723571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123</v>
      </c>
      <c r="CR43" s="13">
        <f>VLOOKUP(A43,'Données projet'!$A$139:$I$159,9,0)</f>
        <v>5.6</v>
      </c>
      <c r="CS43" s="13">
        <f t="array" ref="CS43">INDEX(CR:CR,MIN(IF(ISNUMBER(CR43:CR239),ROW(CR43:CR239),"")))</f>
        <v>5.6</v>
      </c>
      <c r="CT43" s="13">
        <f>IF('Données projet'!$A$140&gt;35,CT42+CS43-DB42,IF(A43&lt;'Données projet'!$A$140,$CQ$205^A43,IF(A43='Données projet'!$A$140,'Données projet'!$B$140,CT42+CS43-DB42)))</f>
        <v>122.99999999999997</v>
      </c>
      <c r="CU43" s="18">
        <f>CT43*VLOOKUP('Données projet'!$B$13,Paramètres!$A$1:$I$89,3,0)*VLOOKUP('Données projet'!$B$13,Paramètres!$A$1:$I$89,5,0)</f>
        <v>107.4528</v>
      </c>
      <c r="CV43" s="14">
        <f t="shared" si="41"/>
        <v>28.7300285196239</v>
      </c>
      <c r="CW43" s="22">
        <f t="shared" si="13"/>
        <v>237.18509300501162</v>
      </c>
      <c r="CX43" s="62">
        <f t="shared" si="14"/>
        <v>484.99810682413244</v>
      </c>
      <c r="CY43" s="62">
        <f ca="1">AVERAGE(OFFSET($CX$3,0,0,'Données projet'!$E$13+1,1))-AVERAGE(OFFSET($H$3,0,0,'Données projet'!$E$13+1,1))</f>
        <v>226.76930997889059</v>
      </c>
      <c r="CZ43" s="62">
        <f t="shared" si="42"/>
        <v>236.36066378969329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75</v>
      </c>
      <c r="DM43" s="13">
        <f>VLOOKUP(A43,'Données projet'!$A$165:$I$185,9,0)</f>
        <v>4</v>
      </c>
      <c r="DN43" s="13">
        <f t="array" ref="DN43">INDEX(DM:DM,MIN(IF(ISNUMBER(DM43:DM239),ROW(DM43:DM239),"")))</f>
        <v>4</v>
      </c>
      <c r="DO43" s="13">
        <f>IF('Données projet'!$A$166&gt;35,DO42+DN43-DW42,IF(A43&lt;'Données projet'!$A$166,$DL$205^A43,IF(A43='Données projet'!$A$166,'Données projet'!$B$166,DO42+DN43-DW42)))</f>
        <v>75</v>
      </c>
      <c r="DP43" s="18">
        <f>DO43*VLOOKUP('Données projet'!$B$14,Paramètres!$A$1:$I$89,3,0)*VLOOKUP('Données projet'!$B$14,Paramètres!$A$1:$I$89,5,0)</f>
        <v>80.72999999999999</v>
      </c>
      <c r="DQ43" s="14">
        <f t="shared" si="43"/>
        <v>22.315578453114171</v>
      </c>
      <c r="DR43" s="22">
        <f t="shared" si="16"/>
        <v>179.47104913917383</v>
      </c>
      <c r="DS43" s="62">
        <f t="shared" si="17"/>
        <v>427.28406295829461</v>
      </c>
      <c r="DT43" s="62">
        <f ca="1">AVERAGE(OFFSET($DS$3,0,0,'Données projet'!$E$14+1,1))-AVERAGE(OFFSET($H$3,0,0,'Données projet'!$E$14+1,1))</f>
        <v>315.12428188060306</v>
      </c>
      <c r="DU43" s="62">
        <f t="shared" si="44"/>
        <v>186.08400677811986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164.10256410256409</v>
      </c>
      <c r="EH43" s="13">
        <f>VLOOKUP(A43,'Données projet'!$A$191:$I$211,9,0)</f>
        <v>6.5384615384615357</v>
      </c>
      <c r="EI43" s="13">
        <f t="array" ref="EI43">INDEX(EH:EH,MIN(IF(ISNUMBER(EH43:EH239),ROW(EH43:EH239),"")))</f>
        <v>6.5384615384615357</v>
      </c>
      <c r="EJ43" s="13">
        <f>IF('Données projet'!$A$192&gt;35,EJ42+EI43-ER42,IF(A43&lt;'Données projet'!$A$192,$EG$205^A43,IF(A43='Données projet'!$A$192,'Données projet'!$B$192,EJ42+EI43-ER42)))</f>
        <v>164.10256410256412</v>
      </c>
      <c r="EK43" s="18">
        <f>EJ43*VLOOKUP('Données projet'!$B$15,Paramètres!$A$1:$I$89,3,0)*VLOOKUP('Données projet'!$B$15,Paramètres!$A$1:$I$89,5,0)</f>
        <v>171.52000000000004</v>
      </c>
      <c r="EL43" s="14">
        <f t="shared" si="45"/>
        <v>43.430276456724698</v>
      </c>
      <c r="EM43" s="22">
        <f t="shared" si="19"/>
        <v>374.3717314954622</v>
      </c>
      <c r="EN43" s="62">
        <f t="shared" si="20"/>
        <v>622.18474531458298</v>
      </c>
      <c r="EO43" s="62">
        <f ca="1">AVERAGE(OFFSET($EN$3,0,0,'Données projet'!$E$15+1,1))-AVERAGE(OFFSET($H$3,0,0,'Données projet'!$E$15+1,1))</f>
        <v>530.77325763685963</v>
      </c>
      <c r="EP43" s="62">
        <f t="shared" si="46"/>
        <v>344.23100274990145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22.435897435897434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90.580021122303947</v>
      </c>
      <c r="T44" s="62">
        <f t="shared" si="34"/>
        <v>375.77399473907451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52.11351807714005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5.1747155681236548E-3</v>
      </c>
      <c r="AC44" s="24">
        <f t="shared" si="3"/>
        <v>52.118692792708174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87.3677313039193</v>
      </c>
      <c r="AO44" s="62">
        <f t="shared" si="36"/>
        <v>326.27342751542903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44.518980863269867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44.518980863269867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3.8</v>
      </c>
      <c r="BD44" s="13">
        <f>IF('Données projet'!$A$88&gt;35,BD43+BC44-BL43,IF(A44&lt;'Données projet'!$A$88,$BA$205^A44,IF(A44='Données projet'!$A$88,'Données projet'!$B$88,BD43+BC44-BL43)))</f>
        <v>182.79999999999995</v>
      </c>
      <c r="BE44" s="14">
        <f>BD44*VLOOKUP('Données projet'!$B$11,Paramètres!$A$1:$I$89,3,0)*VLOOKUP('Données projet'!$B$11,Paramètres!$A$1:$I$89,5,0)</f>
        <v>165.39743999999996</v>
      </c>
      <c r="BF44" s="14">
        <f t="shared" si="37"/>
        <v>42.057562385840804</v>
      </c>
      <c r="BG44" s="22">
        <f t="shared" si="7"/>
        <v>361.31746248867267</v>
      </c>
      <c r="BH44" s="62">
        <f t="shared" si="8"/>
        <v>609.92015208317662</v>
      </c>
      <c r="BI44" s="62">
        <f ca="1">AVERAGE(OFFSET($BH$3,0,0,'Données projet'!$E$11+1,1))-AVERAGE(OFFSET($H$3,0,0,'Données projet'!$E$11+1,1))</f>
        <v>254.91239442958343</v>
      </c>
      <c r="BJ44" s="62">
        <f t="shared" si="38"/>
        <v>361.41009011468407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126.14160000000005</v>
      </c>
      <c r="CA44" s="14">
        <f t="shared" si="39"/>
        <v>33.10323903126482</v>
      </c>
      <c r="CB44" s="22">
        <f t="shared" si="10"/>
        <v>277.35142797945298</v>
      </c>
      <c r="CC44" s="62">
        <f t="shared" si="11"/>
        <v>525.95411757395698</v>
      </c>
      <c r="CD44" s="62">
        <f ca="1">AVERAGE(OFFSET($CC$3,0,0,'Données projet'!$E$12+1,1))-AVERAGE(OFFSET($H$3,0,0,'Données projet'!$E$12+1,1))</f>
        <v>516.30971934066179</v>
      </c>
      <c r="CE44" s="62">
        <f t="shared" si="40"/>
        <v>290.84286505723571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</v>
      </c>
      <c r="CT44" s="13">
        <f>IF('Données projet'!$A$140&gt;35,CT43+CS44-DB43,IF(A44&lt;'Données projet'!$A$140,$CQ$205^A44,IF(A44='Données projet'!$A$140,'Données projet'!$B$140,CT43+CS44-DB43)))</f>
        <v>99.999999999999972</v>
      </c>
      <c r="CU44" s="18">
        <f>CT44*VLOOKUP('Données projet'!$B$13,Paramètres!$A$1:$I$89,3,0)*VLOOKUP('Données projet'!$B$13,Paramètres!$A$1:$I$89,5,0)</f>
        <v>87.359999999999985</v>
      </c>
      <c r="CV44" s="14">
        <f t="shared" si="41"/>
        <v>23.927421530185931</v>
      </c>
      <c r="CW44" s="22">
        <f t="shared" si="13"/>
        <v>193.82559249840713</v>
      </c>
      <c r="CX44" s="62">
        <f t="shared" si="14"/>
        <v>442.4282820929111</v>
      </c>
      <c r="CY44" s="62">
        <f ca="1">AVERAGE(OFFSET($CX$3,0,0,'Données projet'!$E$13+1,1))-AVERAGE(OFFSET($H$3,0,0,'Données projet'!$E$13+1,1))</f>
        <v>226.76930997889059</v>
      </c>
      <c r="CZ44" s="62">
        <f t="shared" si="42"/>
        <v>236.36066378969329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3.8</v>
      </c>
      <c r="DO44" s="13">
        <f>IF('Données projet'!$A$166&gt;35,DO43+DN44-DW43,IF(A44&lt;'Données projet'!$A$166,$DL$205^A44,IF(A44='Données projet'!$A$166,'Données projet'!$B$166,DO43+DN44-DW43)))</f>
        <v>78.8</v>
      </c>
      <c r="DP44" s="18">
        <f>DO44*VLOOKUP('Données projet'!$B$14,Paramètres!$A$1:$I$89,3,0)*VLOOKUP('Données projet'!$B$14,Paramètres!$A$1:$I$89,5,0)</f>
        <v>84.820319999999995</v>
      </c>
      <c r="DQ44" s="14">
        <f t="shared" si="43"/>
        <v>23.311734183304917</v>
      </c>
      <c r="DR44" s="22">
        <f t="shared" si="16"/>
        <v>188.32999436925604</v>
      </c>
      <c r="DS44" s="62">
        <f t="shared" si="17"/>
        <v>436.93268396376004</v>
      </c>
      <c r="DT44" s="62">
        <f ca="1">AVERAGE(OFFSET($DS$3,0,0,'Données projet'!$E$14+1,1))-AVERAGE(OFFSET($H$3,0,0,'Données projet'!$E$14+1,1))</f>
        <v>315.12428188060306</v>
      </c>
      <c r="DU44" s="62">
        <f t="shared" si="44"/>
        <v>186.08400677811986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6.2820512820512819</v>
      </c>
      <c r="EJ44" s="13">
        <f>IF('Données projet'!$A$192&gt;35,EJ43+EI44-ER43,IF(A44&lt;'Données projet'!$A$192,$EG$205^A44,IF(A44='Données projet'!$A$192,'Données projet'!$B$192,EJ43+EI44-ER43)))</f>
        <v>147.94871794871796</v>
      </c>
      <c r="EK44" s="18">
        <f>EJ44*VLOOKUP('Données projet'!$B$15,Paramètres!$A$1:$I$89,3,0)*VLOOKUP('Données projet'!$B$15,Paramètres!$A$1:$I$89,5,0)</f>
        <v>154.63600000000002</v>
      </c>
      <c r="EL44" s="14">
        <f t="shared" si="45"/>
        <v>39.630259615196607</v>
      </c>
      <c r="EM44" s="22">
        <f t="shared" si="19"/>
        <v>338.34706882980078</v>
      </c>
      <c r="EN44" s="62">
        <f t="shared" si="20"/>
        <v>586.94975842430472</v>
      </c>
      <c r="EO44" s="62">
        <f ca="1">AVERAGE(OFFSET($EN$3,0,0,'Données projet'!$E$15+1,1))-AVERAGE(OFFSET($H$3,0,0,'Données projet'!$E$15+1,1))</f>
        <v>530.77325763685963</v>
      </c>
      <c r="EP44" s="62">
        <f t="shared" si="46"/>
        <v>344.23100274990145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90.580021122303947</v>
      </c>
      <c r="T45" s="62">
        <f t="shared" si="34"/>
        <v>375.77399473907451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51.091603773754741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3.6590764689318342E-3</v>
      </c>
      <c r="AC45" s="24">
        <f t="shared" si="3"/>
        <v>51.095262850223676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87.3677313039193</v>
      </c>
      <c r="AO45" s="62">
        <f t="shared" si="36"/>
        <v>326.27342751542903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43.645990802438249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43.645990802438249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3.8</v>
      </c>
      <c r="BD45" s="13">
        <f>IF('Données projet'!$A$88&gt;35,BD44+BC45-BL44,IF(A45&lt;'Données projet'!$A$88,$BA$205^A45,IF(A45='Données projet'!$A$88,'Données projet'!$B$88,BD44+BC45-BL44)))</f>
        <v>186.59999999999997</v>
      </c>
      <c r="BE45" s="14">
        <f>BD45*VLOOKUP('Données projet'!$B$11,Paramètres!$A$1:$I$89,3,0)*VLOOKUP('Données projet'!$B$11,Paramètres!$A$1:$I$89,5,0)</f>
        <v>168.83567999999994</v>
      </c>
      <c r="BF45" s="14">
        <f t="shared" si="37"/>
        <v>42.829150426593394</v>
      </c>
      <c r="BG45" s="22">
        <f t="shared" si="7"/>
        <v>368.64957965965004</v>
      </c>
      <c r="BH45" s="62">
        <f t="shared" si="8"/>
        <v>618.0282459202848</v>
      </c>
      <c r="BI45" s="62">
        <f ca="1">AVERAGE(OFFSET($BH$3,0,0,'Données projet'!$E$11+1,1))-AVERAGE(OFFSET($H$3,0,0,'Données projet'!$E$11+1,1))</f>
        <v>254.91239442958343</v>
      </c>
      <c r="BJ45" s="62">
        <f t="shared" si="38"/>
        <v>361.41009011468407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134.65920000000006</v>
      </c>
      <c r="CA45" s="14">
        <f t="shared" si="39"/>
        <v>35.07074737441733</v>
      </c>
      <c r="CB45" s="22">
        <f t="shared" si="10"/>
        <v>295.61299167711024</v>
      </c>
      <c r="CC45" s="62">
        <f t="shared" si="11"/>
        <v>544.991657937745</v>
      </c>
      <c r="CD45" s="62">
        <f ca="1">AVERAGE(OFFSET($CC$3,0,0,'Données projet'!$E$12+1,1))-AVERAGE(OFFSET($H$3,0,0,'Données projet'!$E$12+1,1))</f>
        <v>516.30971934066179</v>
      </c>
      <c r="CE45" s="62">
        <f t="shared" si="40"/>
        <v>290.84286505723571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</v>
      </c>
      <c r="CT45" s="13">
        <f>IF('Données projet'!$A$140&gt;35,CT44+CS45-DB44,IF(A45&lt;'Données projet'!$A$140,$CQ$205^A45,IF(A45='Données projet'!$A$140,'Données projet'!$B$140,CT44+CS45-DB44)))</f>
        <v>104.99999999999997</v>
      </c>
      <c r="CU45" s="18">
        <f>CT45*VLOOKUP('Données projet'!$B$13,Paramètres!$A$1:$I$89,3,0)*VLOOKUP('Données projet'!$B$13,Paramètres!$A$1:$I$89,5,0)</f>
        <v>91.727999999999994</v>
      </c>
      <c r="CV45" s="14">
        <f t="shared" si="41"/>
        <v>24.981514582386563</v>
      </c>
      <c r="CW45" s="22">
        <f t="shared" si="13"/>
        <v>203.26907123098991</v>
      </c>
      <c r="CX45" s="62">
        <f t="shared" si="14"/>
        <v>452.64773749162464</v>
      </c>
      <c r="CY45" s="62">
        <f ca="1">AVERAGE(OFFSET($CX$3,0,0,'Données projet'!$E$13+1,1))-AVERAGE(OFFSET($H$3,0,0,'Données projet'!$E$13+1,1))</f>
        <v>226.76930997889059</v>
      </c>
      <c r="CZ45" s="62">
        <f t="shared" si="42"/>
        <v>236.36066378969329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3.8</v>
      </c>
      <c r="DO45" s="13">
        <f>IF('Données projet'!$A$166&gt;35,DO44+DN45-DW44,IF(A45&lt;'Données projet'!$A$166,$DL$205^A45,IF(A45='Données projet'!$A$166,'Données projet'!$B$166,DO44+DN45-DW44)))</f>
        <v>82.6</v>
      </c>
      <c r="DP45" s="18">
        <f>DO45*VLOOKUP('Données projet'!$B$14,Paramètres!$A$1:$I$89,3,0)*VLOOKUP('Données projet'!$B$14,Paramètres!$A$1:$I$89,5,0)</f>
        <v>88.910639999999987</v>
      </c>
      <c r="DQ45" s="14">
        <f t="shared" si="43"/>
        <v>24.302311675558148</v>
      </c>
      <c r="DR45" s="22">
        <f t="shared" si="16"/>
        <v>197.17922416826374</v>
      </c>
      <c r="DS45" s="62">
        <f t="shared" si="17"/>
        <v>446.55789042889847</v>
      </c>
      <c r="DT45" s="62">
        <f ca="1">AVERAGE(OFFSET($DS$3,0,0,'Données projet'!$E$14+1,1))-AVERAGE(OFFSET($H$3,0,0,'Données projet'!$E$14+1,1))</f>
        <v>315.12428188060306</v>
      </c>
      <c r="DU45" s="62">
        <f t="shared" si="44"/>
        <v>186.08400677811986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6.2820512820512819</v>
      </c>
      <c r="EJ45" s="13">
        <f>IF('Données projet'!$A$192&gt;35,EJ44+EI45-ER44,IF(A45&lt;'Données projet'!$A$192,$EG$205^A45,IF(A45='Données projet'!$A$192,'Données projet'!$B$192,EJ44+EI45-ER44)))</f>
        <v>154.23076923076923</v>
      </c>
      <c r="EK45" s="18">
        <f>EJ45*VLOOKUP('Données projet'!$B$15,Paramètres!$A$1:$I$89,3,0)*VLOOKUP('Données projet'!$B$15,Paramètres!$A$1:$I$89,5,0)</f>
        <v>161.20200000000003</v>
      </c>
      <c r="EL45" s="14">
        <f t="shared" si="45"/>
        <v>41.113511653265036</v>
      </c>
      <c r="EM45" s="22">
        <f t="shared" si="19"/>
        <v>352.36618279610326</v>
      </c>
      <c r="EN45" s="62">
        <f t="shared" si="20"/>
        <v>601.74484905673796</v>
      </c>
      <c r="EO45" s="62">
        <f ca="1">AVERAGE(OFFSET($EN$3,0,0,'Données projet'!$E$15+1,1))-AVERAGE(OFFSET($H$3,0,0,'Données projet'!$E$15+1,1))</f>
        <v>530.77325763685963</v>
      </c>
      <c r="EP45" s="62">
        <f t="shared" si="46"/>
        <v>344.23100274990145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90.580021122303947</v>
      </c>
      <c r="T46" s="62">
        <f t="shared" si="34"/>
        <v>375.77399473907451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50.089728586552638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2.5873577840618274E-3</v>
      </c>
      <c r="AC46" s="24">
        <f t="shared" si="3"/>
        <v>50.092315944336697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87.3677313039193</v>
      </c>
      <c r="AO46" s="62">
        <f t="shared" si="36"/>
        <v>326.27342751542903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42.790119544228176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42.790119544228176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3.8</v>
      </c>
      <c r="BD46" s="13">
        <f>IF('Données projet'!$A$88&gt;35,BD45+BC46-BL45,IF(A46&lt;'Données projet'!$A$88,$BA$205^A46,IF(A46='Données projet'!$A$88,'Données projet'!$B$88,BD45+BC46-BL45)))</f>
        <v>190.39999999999998</v>
      </c>
      <c r="BE46" s="14">
        <f>BD46*VLOOKUP('Données projet'!$B$11,Paramètres!$A$1:$I$89,3,0)*VLOOKUP('Données projet'!$B$11,Paramètres!$A$1:$I$89,5,0)</f>
        <v>172.27391999999998</v>
      </c>
      <c r="BF46" s="14">
        <f t="shared" si="37"/>
        <v>43.598911513699605</v>
      </c>
      <c r="BG46" s="22">
        <f t="shared" si="7"/>
        <v>375.97851488636002</v>
      </c>
      <c r="BH46" s="62">
        <f t="shared" si="8"/>
        <v>626.11969635279206</v>
      </c>
      <c r="BI46" s="62">
        <f ca="1">AVERAGE(OFFSET($BH$3,0,0,'Données projet'!$E$11+1,1))-AVERAGE(OFFSET($H$3,0,0,'Données projet'!$E$11+1,1))</f>
        <v>254.91239442958343</v>
      </c>
      <c r="BJ46" s="62">
        <f t="shared" si="38"/>
        <v>361.41009011468407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143.17680000000004</v>
      </c>
      <c r="CA46" s="14">
        <f t="shared" si="39"/>
        <v>37.023812674521515</v>
      </c>
      <c r="CB46" s="22">
        <f t="shared" si="10"/>
        <v>313.84940040812506</v>
      </c>
      <c r="CC46" s="62">
        <f t="shared" si="11"/>
        <v>563.99058187455717</v>
      </c>
      <c r="CD46" s="62">
        <f ca="1">AVERAGE(OFFSET($CC$3,0,0,'Données projet'!$E$12+1,1))-AVERAGE(OFFSET($H$3,0,0,'Données projet'!$E$12+1,1))</f>
        <v>516.30971934066179</v>
      </c>
      <c r="CE46" s="62">
        <f t="shared" si="40"/>
        <v>290.84286505723571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</v>
      </c>
      <c r="CT46" s="13">
        <f>IF('Données projet'!$A$140&gt;35,CT45+CS46-DB45,IF(A46&lt;'Données projet'!$A$140,$CQ$205^A46,IF(A46='Données projet'!$A$140,'Données projet'!$B$140,CT45+CS46-DB45)))</f>
        <v>109.99999999999997</v>
      </c>
      <c r="CU46" s="18">
        <f>CT46*VLOOKUP('Données projet'!$B$13,Paramètres!$A$1:$I$89,3,0)*VLOOKUP('Données projet'!$B$13,Paramètres!$A$1:$I$89,5,0)</f>
        <v>96.095999999999989</v>
      </c>
      <c r="CV46" s="14">
        <f t="shared" si="41"/>
        <v>26.029778784173352</v>
      </c>
      <c r="CW46" s="22">
        <f t="shared" si="13"/>
        <v>212.70239804910193</v>
      </c>
      <c r="CX46" s="62">
        <f t="shared" si="14"/>
        <v>462.84357951553397</v>
      </c>
      <c r="CY46" s="62">
        <f ca="1">AVERAGE(OFFSET($CX$3,0,0,'Données projet'!$E$13+1,1))-AVERAGE(OFFSET($H$3,0,0,'Données projet'!$E$13+1,1))</f>
        <v>226.76930997889059</v>
      </c>
      <c r="CZ46" s="62">
        <f t="shared" si="42"/>
        <v>236.36066378969329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3.8</v>
      </c>
      <c r="DO46" s="13">
        <f>IF('Données projet'!$A$166&gt;35,DO45+DN46-DW45,IF(A46&lt;'Données projet'!$A$166,$DL$205^A46,IF(A46='Données projet'!$A$166,'Données projet'!$B$166,DO45+DN46-DW45)))</f>
        <v>86.399999999999991</v>
      </c>
      <c r="DP46" s="18">
        <f>DO46*VLOOKUP('Données projet'!$B$14,Paramètres!$A$1:$I$89,3,0)*VLOOKUP('Données projet'!$B$14,Paramètres!$A$1:$I$89,5,0)</f>
        <v>93.000959999999992</v>
      </c>
      <c r="DQ46" s="14">
        <f t="shared" si="43"/>
        <v>25.28759686753336</v>
      </c>
      <c r="DR46" s="22">
        <f t="shared" si="16"/>
        <v>206.01923654428722</v>
      </c>
      <c r="DS46" s="62">
        <f t="shared" si="17"/>
        <v>456.16041801071924</v>
      </c>
      <c r="DT46" s="62">
        <f ca="1">AVERAGE(OFFSET($DS$3,0,0,'Données projet'!$E$14+1,1))-AVERAGE(OFFSET($H$3,0,0,'Données projet'!$E$14+1,1))</f>
        <v>315.12428188060306</v>
      </c>
      <c r="DU46" s="62">
        <f t="shared" si="44"/>
        <v>186.08400677811986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6.2820512820512819</v>
      </c>
      <c r="EJ46" s="13">
        <f>IF('Données projet'!$A$192&gt;35,EJ45+EI46-ER45,IF(A46&lt;'Données projet'!$A$192,$EG$205^A46,IF(A46='Données projet'!$A$192,'Données projet'!$B$192,EJ45+EI46-ER45)))</f>
        <v>160.5128205128205</v>
      </c>
      <c r="EK46" s="18">
        <f>EJ46*VLOOKUP('Données projet'!$B$15,Paramètres!$A$1:$I$89,3,0)*VLOOKUP('Données projet'!$B$15,Paramètres!$A$1:$I$89,5,0)</f>
        <v>167.768</v>
      </c>
      <c r="EL46" s="14">
        <f t="shared" si="45"/>
        <v>42.589745970134487</v>
      </c>
      <c r="EM46" s="22">
        <f t="shared" si="19"/>
        <v>366.37307423131756</v>
      </c>
      <c r="EN46" s="62">
        <f t="shared" si="20"/>
        <v>616.5142556977496</v>
      </c>
      <c r="EO46" s="62">
        <f ca="1">AVERAGE(OFFSET($EN$3,0,0,'Données projet'!$E$15+1,1))-AVERAGE(OFFSET($H$3,0,0,'Données projet'!$E$15+1,1))</f>
        <v>530.77325763685963</v>
      </c>
      <c r="EP46" s="62">
        <f t="shared" si="46"/>
        <v>344.23100274990145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90.580021122303947</v>
      </c>
      <c r="T47" s="62">
        <f t="shared" si="34"/>
        <v>375.77399473907451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49.107499560688048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1.8295382344659171E-3</v>
      </c>
      <c r="AC47" s="24">
        <f t="shared" si="3"/>
        <v>49.109329098922515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87.3677313039193</v>
      </c>
      <c r="AO47" s="62">
        <f t="shared" si="36"/>
        <v>326.27342751542903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41.951031399361682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41.951031399361682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3.8</v>
      </c>
      <c r="BD47" s="13">
        <f>IF('Données projet'!$A$88&gt;35,BD46+BC47-BL46,IF(A47&lt;'Données projet'!$A$88,$BA$205^A47,IF(A47='Données projet'!$A$88,'Données projet'!$B$88,BD46+BC47-BL46)))</f>
        <v>194.2</v>
      </c>
      <c r="BE47" s="14">
        <f>BD47*VLOOKUP('Données projet'!$B$11,Paramètres!$A$1:$I$89,3,0)*VLOOKUP('Données projet'!$B$11,Paramètres!$A$1:$I$89,5,0)</f>
        <v>175.71215999999998</v>
      </c>
      <c r="BF47" s="14">
        <f t="shared" si="37"/>
        <v>44.366886311884528</v>
      </c>
      <c r="BG47" s="22">
        <f t="shared" si="7"/>
        <v>383.30433899319883</v>
      </c>
      <c r="BH47" s="62">
        <f t="shared" si="8"/>
        <v>634.19480773133625</v>
      </c>
      <c r="BI47" s="62">
        <f ca="1">AVERAGE(OFFSET($BH$3,0,0,'Données projet'!$E$11+1,1))-AVERAGE(OFFSET($H$3,0,0,'Données projet'!$E$11+1,1))</f>
        <v>254.91239442958343</v>
      </c>
      <c r="BJ47" s="62">
        <f t="shared" si="38"/>
        <v>361.41009011468407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151.69440000000006</v>
      </c>
      <c r="CA47" s="14">
        <f t="shared" si="39"/>
        <v>38.963392010880654</v>
      </c>
      <c r="CB47" s="22">
        <f t="shared" si="10"/>
        <v>332.06232108561721</v>
      </c>
      <c r="CC47" s="62">
        <f t="shared" si="11"/>
        <v>582.95278982375464</v>
      </c>
      <c r="CD47" s="62">
        <f ca="1">AVERAGE(OFFSET($CC$3,0,0,'Données projet'!$E$12+1,1))-AVERAGE(OFFSET($H$3,0,0,'Données projet'!$E$12+1,1))</f>
        <v>516.30971934066179</v>
      </c>
      <c r="CE47" s="62">
        <f t="shared" si="40"/>
        <v>290.84286505723571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</v>
      </c>
      <c r="CT47" s="13">
        <f>IF('Données projet'!$A$140&gt;35,CT46+CS47-DB46,IF(A47&lt;'Données projet'!$A$140,$CQ$205^A47,IF(A47='Données projet'!$A$140,'Données projet'!$B$140,CT46+CS47-DB46)))</f>
        <v>114.99999999999997</v>
      </c>
      <c r="CU47" s="18">
        <f>CT47*VLOOKUP('Données projet'!$B$13,Paramètres!$A$1:$I$89,3,0)*VLOOKUP('Données projet'!$B$13,Paramètres!$A$1:$I$89,5,0)</f>
        <v>100.46399999999998</v>
      </c>
      <c r="CV47" s="14">
        <f t="shared" si="41"/>
        <v>27.072509349827456</v>
      </c>
      <c r="CW47" s="22">
        <f t="shared" si="13"/>
        <v>222.12608711761615</v>
      </c>
      <c r="CX47" s="62">
        <f t="shared" si="14"/>
        <v>473.01655585575361</v>
      </c>
      <c r="CY47" s="62">
        <f ca="1">AVERAGE(OFFSET($CX$3,0,0,'Données projet'!$E$13+1,1))-AVERAGE(OFFSET($H$3,0,0,'Données projet'!$E$13+1,1))</f>
        <v>226.76930997889059</v>
      </c>
      <c r="CZ47" s="62">
        <f t="shared" si="42"/>
        <v>236.36066378969329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3.8</v>
      </c>
      <c r="DO47" s="13">
        <f>IF('Données projet'!$A$166&gt;35,DO46+DN47-DW46,IF(A47&lt;'Données projet'!$A$166,$DL$205^A47,IF(A47='Données projet'!$A$166,'Données projet'!$B$166,DO46+DN47-DW46)))</f>
        <v>90.199999999999989</v>
      </c>
      <c r="DP47" s="18">
        <f>DO47*VLOOKUP('Données projet'!$B$14,Paramètres!$A$1:$I$89,3,0)*VLOOKUP('Données projet'!$B$14,Paramètres!$A$1:$I$89,5,0)</f>
        <v>97.091279999999983</v>
      </c>
      <c r="DQ47" s="14">
        <f t="shared" si="43"/>
        <v>26.267849122787243</v>
      </c>
      <c r="DR47" s="22">
        <f t="shared" si="16"/>
        <v>214.85048322218776</v>
      </c>
      <c r="DS47" s="62">
        <f t="shared" si="17"/>
        <v>465.74095196032522</v>
      </c>
      <c r="DT47" s="62">
        <f ca="1">AVERAGE(OFFSET($DS$3,0,0,'Données projet'!$E$14+1,1))-AVERAGE(OFFSET($H$3,0,0,'Données projet'!$E$14+1,1))</f>
        <v>315.12428188060306</v>
      </c>
      <c r="DU47" s="62">
        <f t="shared" si="44"/>
        <v>186.08400677811986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6.2820512820512819</v>
      </c>
      <c r="EJ47" s="13">
        <f>IF('Données projet'!$A$192&gt;35,EJ46+EI47-ER46,IF(A47&lt;'Données projet'!$A$192,$EG$205^A47,IF(A47='Données projet'!$A$192,'Données projet'!$B$192,EJ46+EI47-ER46)))</f>
        <v>166.79487179487177</v>
      </c>
      <c r="EK47" s="18">
        <f>EJ47*VLOOKUP('Données projet'!$B$15,Paramètres!$A$1:$I$89,3,0)*VLOOKUP('Données projet'!$B$15,Paramètres!$A$1:$I$89,5,0)</f>
        <v>174.334</v>
      </c>
      <c r="EL47" s="14">
        <f t="shared" si="45"/>
        <v>44.059268652696204</v>
      </c>
      <c r="EM47" s="22">
        <f t="shared" si="19"/>
        <v>380.3682762367792</v>
      </c>
      <c r="EN47" s="62">
        <f t="shared" si="20"/>
        <v>631.25874497491668</v>
      </c>
      <c r="EO47" s="62">
        <f ca="1">AVERAGE(OFFSET($EN$3,0,0,'Données projet'!$E$15+1,1))-AVERAGE(OFFSET($H$3,0,0,'Données projet'!$E$15+1,1))</f>
        <v>530.77325763685963</v>
      </c>
      <c r="EP47" s="62">
        <f t="shared" si="46"/>
        <v>344.23100274990145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90.580021122303947</v>
      </c>
      <c r="T48" s="62">
        <f t="shared" si="34"/>
        <v>375.77399473907451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48.144531446920112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1.2936788920309137E-3</v>
      </c>
      <c r="AC48" s="24">
        <f t="shared" si="3"/>
        <v>48.145825125812145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87.3677313039193</v>
      </c>
      <c r="AO48" s="62">
        <f t="shared" si="36"/>
        <v>326.27342751542903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41.128397261222787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41.128397261222787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198</v>
      </c>
      <c r="BB48" s="13">
        <f>VLOOKUP(A48,'Données projet'!$A$87:$I$107,9,0)</f>
        <v>3.8</v>
      </c>
      <c r="BC48" s="13">
        <f t="array" ref="BC48">INDEX(BB:BB,MIN(IF(ISNUMBER(BB48:BB244),ROW(BB48:BB244),"")))</f>
        <v>3.8</v>
      </c>
      <c r="BD48" s="13">
        <f>IF('Données projet'!$A$88&gt;35,BD47+BC48-BL47,IF(A48&lt;'Données projet'!$A$88,$BA$205^A48,IF(A48='Données projet'!$A$88,'Données projet'!$B$88,BD47+BC48-BL47)))</f>
        <v>198</v>
      </c>
      <c r="BE48" s="14">
        <f>BD48*VLOOKUP('Données projet'!$B$11,Paramètres!$A$1:$I$89,3,0)*VLOOKUP('Données projet'!$B$11,Paramètres!$A$1:$I$89,5,0)</f>
        <v>179.15039999999999</v>
      </c>
      <c r="BF48" s="14">
        <f t="shared" si="37"/>
        <v>45.133113803437304</v>
      </c>
      <c r="BG48" s="22">
        <f t="shared" si="7"/>
        <v>390.62711987431993</v>
      </c>
      <c r="BH48" s="62">
        <f t="shared" si="8"/>
        <v>642.25387742515409</v>
      </c>
      <c r="BI48" s="62">
        <f ca="1">AVERAGE(OFFSET($BH$3,0,0,'Données projet'!$E$11+1,1))-AVERAGE(OFFSET($H$3,0,0,'Données projet'!$E$11+1,1))</f>
        <v>254.91239442958343</v>
      </c>
      <c r="BJ48" s="62">
        <f t="shared" si="38"/>
        <v>361.41009011468407</v>
      </c>
      <c r="BK48" s="16">
        <f>IF(ISNA(VLOOKUP(A48,'Données projet'!$A$87:$I$107,3,0)),0,VLOOKUP(A48,'Données projet'!$A$87:$I$107,3,0))</f>
        <v>8</v>
      </c>
      <c r="BL48" s="16">
        <f>IF(ISNA(VLOOKUP(A48,'Données projet'!$A$87:$I$107,4,0)),0,VLOOKUP(A48,'Données projet'!$A$87:$I$107,4,0))</f>
        <v>198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160.21200000000007</v>
      </c>
      <c r="CA48" s="14">
        <f t="shared" si="39"/>
        <v>40.890328912852731</v>
      </c>
      <c r="CB48" s="22">
        <f t="shared" si="10"/>
        <v>350.25322285655193</v>
      </c>
      <c r="CC48" s="62">
        <f t="shared" si="11"/>
        <v>601.87998040738603</v>
      </c>
      <c r="CD48" s="62">
        <f ca="1">AVERAGE(OFFSET($CC$3,0,0,'Données projet'!$E$12+1,1))-AVERAGE(OFFSET($H$3,0,0,'Données projet'!$E$12+1,1))</f>
        <v>516.30971934066179</v>
      </c>
      <c r="CE48" s="62">
        <f t="shared" si="40"/>
        <v>290.84286505723571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120</v>
      </c>
      <c r="CR48" s="13">
        <f>VLOOKUP(A48,'Données projet'!$A$139:$I$159,9,0)</f>
        <v>5</v>
      </c>
      <c r="CS48" s="13">
        <f t="array" ref="CS48">INDEX(CR:CR,MIN(IF(ISNUMBER(CR48:CR244),ROW(CR48:CR244),"")))</f>
        <v>5</v>
      </c>
      <c r="CT48" s="13">
        <f>IF('Données projet'!$A$140&gt;35,CT47+CS48-DB47,IF(A48&lt;'Données projet'!$A$140,$CQ$205^A48,IF(A48='Données projet'!$A$140,'Données projet'!$B$140,CT47+CS48-DB47)))</f>
        <v>119.99999999999997</v>
      </c>
      <c r="CU48" s="18">
        <f>CT48*VLOOKUP('Données projet'!$B$13,Paramètres!$A$1:$I$89,3,0)*VLOOKUP('Données projet'!$B$13,Paramètres!$A$1:$I$89,5,0)</f>
        <v>104.83199999999998</v>
      </c>
      <c r="CV48" s="14">
        <f t="shared" si="41"/>
        <v>28.109974371137692</v>
      </c>
      <c r="CW48" s="22">
        <f t="shared" si="13"/>
        <v>231.54060536306474</v>
      </c>
      <c r="CX48" s="62">
        <f t="shared" si="14"/>
        <v>483.16736291389884</v>
      </c>
      <c r="CY48" s="62">
        <f ca="1">AVERAGE(OFFSET($CX$3,0,0,'Données projet'!$E$13+1,1))-AVERAGE(OFFSET($H$3,0,0,'Données projet'!$E$13+1,1))</f>
        <v>226.76930997889059</v>
      </c>
      <c r="CZ48" s="62">
        <f t="shared" si="42"/>
        <v>236.36066378969329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94</v>
      </c>
      <c r="DM48" s="13">
        <f>VLOOKUP(A48,'Données projet'!$A$165:$I$185,9,0)</f>
        <v>3.8</v>
      </c>
      <c r="DN48" s="13">
        <f t="array" ref="DN48">INDEX(DM:DM,MIN(IF(ISNUMBER(DM48:DM244),ROW(DM48:DM244),"")))</f>
        <v>3.8</v>
      </c>
      <c r="DO48" s="13">
        <f>IF('Données projet'!$A$166&gt;35,DO47+DN48-DW47,IF(A48&lt;'Données projet'!$A$166,$DL$205^A48,IF(A48='Données projet'!$A$166,'Données projet'!$B$166,DO47+DN48-DW47)))</f>
        <v>93.999999999999986</v>
      </c>
      <c r="DP48" s="18">
        <f>DO48*VLOOKUP('Données projet'!$B$14,Paramètres!$A$1:$I$89,3,0)*VLOOKUP('Données projet'!$B$14,Paramètres!$A$1:$I$89,5,0)</f>
        <v>101.18159999999997</v>
      </c>
      <c r="DQ48" s="14">
        <f t="shared" si="43"/>
        <v>27.243304715412336</v>
      </c>
      <c r="DR48" s="22">
        <f t="shared" si="16"/>
        <v>223.6733757126764</v>
      </c>
      <c r="DS48" s="62">
        <f t="shared" si="17"/>
        <v>475.30013326351053</v>
      </c>
      <c r="DT48" s="62">
        <f ca="1">AVERAGE(OFFSET($DS$3,0,0,'Données projet'!$E$14+1,1))-AVERAGE(OFFSET($H$3,0,0,'Données projet'!$E$14+1,1))</f>
        <v>315.12428188060306</v>
      </c>
      <c r="DU48" s="62">
        <f t="shared" si="44"/>
        <v>186.08400677811986</v>
      </c>
      <c r="DV48" s="16">
        <f>IF(ISNA(VLOOKUP(A48,'Données projet'!$A$165:$I$185,3,0)),0,VLOOKUP(A48,'Données projet'!$A$165:$I$185,3,0))</f>
        <v>2</v>
      </c>
      <c r="DW48" s="16">
        <f>IF(ISNA(VLOOKUP(A48,'Données projet'!$A$165:$I$185,4,0)),0,VLOOKUP(A48,'Données projet'!$A$165:$I$185,4,0))</f>
        <v>18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173.07692307692307</v>
      </c>
      <c r="EH48" s="13">
        <f>VLOOKUP(A48,'Données projet'!$A$191:$I$211,9,0)</f>
        <v>6.2820512820512819</v>
      </c>
      <c r="EI48" s="13">
        <f t="array" ref="EI48">INDEX(EH:EH,MIN(IF(ISNUMBER(EH48:EH244),ROW(EH48:EH244),"")))</f>
        <v>6.2820512820512819</v>
      </c>
      <c r="EJ48" s="13">
        <f>IF('Données projet'!$A$192&gt;35,EJ47+EI48-ER47,IF(A48&lt;'Données projet'!$A$192,$EG$205^A48,IF(A48='Données projet'!$A$192,'Données projet'!$B$192,EJ47+EI48-ER47)))</f>
        <v>173.07692307692304</v>
      </c>
      <c r="EK48" s="18">
        <f>EJ48*VLOOKUP('Données projet'!$B$15,Paramètres!$A$1:$I$89,3,0)*VLOOKUP('Données projet'!$B$15,Paramètres!$A$1:$I$89,5,0)</f>
        <v>180.89999999999998</v>
      </c>
      <c r="EL48" s="14">
        <f t="shared" si="45"/>
        <v>45.522361425254346</v>
      </c>
      <c r="EM48" s="22">
        <f t="shared" si="19"/>
        <v>394.35227948231795</v>
      </c>
      <c r="EN48" s="62">
        <f t="shared" si="20"/>
        <v>645.97903703315205</v>
      </c>
      <c r="EO48" s="62">
        <f ca="1">AVERAGE(OFFSET($EN$3,0,0,'Données projet'!$E$15+1,1))-AVERAGE(OFFSET($H$3,0,0,'Données projet'!$E$15+1,1))</f>
        <v>530.77325763685963</v>
      </c>
      <c r="EP48" s="62">
        <f t="shared" si="46"/>
        <v>344.23100274990145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90.580021122303947</v>
      </c>
      <c r="T49" s="62">
        <f t="shared" si="34"/>
        <v>375.77399473907451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47.200446550510613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9.1476911723295854E-4</v>
      </c>
      <c r="AC49" s="24">
        <f t="shared" si="3"/>
        <v>47.201361319627843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87.3677313039193</v>
      </c>
      <c r="AO49" s="62">
        <f t="shared" si="36"/>
        <v>326.27342751542903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40.321894476775519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40.321894476775519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254.91239442958343</v>
      </c>
      <c r="BJ49" s="62">
        <f t="shared" si="38"/>
        <v>361.41009011468407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168.52680000000007</v>
      </c>
      <c r="CA49" s="14">
        <f t="shared" si="39"/>
        <v>42.759908842532369</v>
      </c>
      <c r="CB49" s="22">
        <f t="shared" si="10"/>
        <v>367.991017900744</v>
      </c>
      <c r="CC49" s="62">
        <f t="shared" si="11"/>
        <v>620.34129129946962</v>
      </c>
      <c r="CD49" s="62">
        <f ca="1">AVERAGE(OFFSET($CC$3,0,0,'Données projet'!$E$12+1,1))-AVERAGE(OFFSET($H$3,0,0,'Données projet'!$E$12+1,1))</f>
        <v>516.30971934066179</v>
      </c>
      <c r="CE49" s="62">
        <f t="shared" si="40"/>
        <v>290.84286505723571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4.2</v>
      </c>
      <c r="CT49" s="13">
        <f>IF('Données projet'!$A$140&gt;35,CT48+CS49-DB48,IF(A49&lt;'Données projet'!$A$140,$CQ$205^A49,IF(A49='Données projet'!$A$140,'Données projet'!$B$140,CT48+CS49-DB48)))</f>
        <v>124.19999999999997</v>
      </c>
      <c r="CU49" s="18">
        <f>CT49*VLOOKUP('Données projet'!$B$13,Paramètres!$A$1:$I$89,3,0)*VLOOKUP('Données projet'!$B$13,Paramètres!$A$1:$I$89,5,0)</f>
        <v>108.50111999999999</v>
      </c>
      <c r="CV49" s="14">
        <f t="shared" si="41"/>
        <v>28.977555261594095</v>
      </c>
      <c r="CW49" s="22">
        <f t="shared" si="13"/>
        <v>239.44202608060968</v>
      </c>
      <c r="CX49" s="62">
        <f t="shared" si="14"/>
        <v>491.79229947933533</v>
      </c>
      <c r="CY49" s="62">
        <f ca="1">AVERAGE(OFFSET($CX$3,0,0,'Données projet'!$E$13+1,1))-AVERAGE(OFFSET($H$3,0,0,'Données projet'!$E$13+1,1))</f>
        <v>226.76930997889059</v>
      </c>
      <c r="CZ49" s="62">
        <f t="shared" si="42"/>
        <v>236.36066378969329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3.8</v>
      </c>
      <c r="DO49" s="13">
        <f>IF('Données projet'!$A$166&gt;35,DO48+DN49-DW48,IF(A49&lt;'Données projet'!$A$166,$DL$205^A49,IF(A49='Données projet'!$A$166,'Données projet'!$B$166,DO48+DN49-DW48)))</f>
        <v>79.799999999999983</v>
      </c>
      <c r="DP49" s="18">
        <f>DO49*VLOOKUP('Données projet'!$B$14,Paramètres!$A$1:$I$89,3,0)*VLOOKUP('Données projet'!$B$14,Paramètres!$A$1:$I$89,5,0)</f>
        <v>85.896719999999974</v>
      </c>
      <c r="DQ49" s="14">
        <f t="shared" si="43"/>
        <v>23.572941115591171</v>
      </c>
      <c r="DR49" s="22">
        <f t="shared" si="16"/>
        <v>190.65965977632126</v>
      </c>
      <c r="DS49" s="62">
        <f t="shared" si="17"/>
        <v>443.00993317504691</v>
      </c>
      <c r="DT49" s="62">
        <f ca="1">AVERAGE(OFFSET($DS$3,0,0,'Données projet'!$E$14+1,1))-AVERAGE(OFFSET($H$3,0,0,'Données projet'!$E$14+1,1))</f>
        <v>315.12428188060306</v>
      </c>
      <c r="DU49" s="62">
        <f t="shared" si="44"/>
        <v>186.08400677811986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6.0256410256410273</v>
      </c>
      <c r="EJ49" s="13">
        <f>IF('Données projet'!$A$192&gt;35,EJ48+EI49-ER48,IF(A49&lt;'Données projet'!$A$192,$EG$205^A49,IF(A49='Données projet'!$A$192,'Données projet'!$B$192,EJ48+EI49-ER48)))</f>
        <v>179.10256410256406</v>
      </c>
      <c r="EK49" s="18">
        <f>EJ49*VLOOKUP('Données projet'!$B$15,Paramètres!$A$1:$I$89,3,0)*VLOOKUP('Données projet'!$B$15,Paramètres!$A$1:$I$89,5,0)</f>
        <v>187.19799999999998</v>
      </c>
      <c r="EL49" s="14">
        <f t="shared" si="45"/>
        <v>46.919935793880072</v>
      </c>
      <c r="EM49" s="22">
        <f t="shared" si="19"/>
        <v>407.75540484100776</v>
      </c>
      <c r="EN49" s="62">
        <f t="shared" si="20"/>
        <v>660.10567823973338</v>
      </c>
      <c r="EO49" s="62">
        <f ca="1">AVERAGE(OFFSET($EN$3,0,0,'Données projet'!$E$15+1,1))-AVERAGE(OFFSET($H$3,0,0,'Données projet'!$E$15+1,1))</f>
        <v>530.77325763685963</v>
      </c>
      <c r="EP49" s="62">
        <f t="shared" si="46"/>
        <v>344.23100274990145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90.580021122303947</v>
      </c>
      <c r="T50" s="62">
        <f t="shared" si="34"/>
        <v>375.77399473907451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46.274874583084774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6.4683944601545685E-4</v>
      </c>
      <c r="AC50" s="24">
        <f t="shared" si="3"/>
        <v>46.275521422530787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87.3677313039193</v>
      </c>
      <c r="AO50" s="62">
        <f t="shared" si="36"/>
        <v>326.27342751542903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39.531206720013131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39.531206720013131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254.91239442958343</v>
      </c>
      <c r="BJ50" s="62">
        <f t="shared" si="38"/>
        <v>361.41009011468407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176.84160000000006</v>
      </c>
      <c r="CA50" s="14">
        <f t="shared" si="39"/>
        <v>44.618778032982952</v>
      </c>
      <c r="CB50" s="22">
        <f t="shared" si="10"/>
        <v>385.71015840744536</v>
      </c>
      <c r="CC50" s="62">
        <f t="shared" si="11"/>
        <v>638.7713962716407</v>
      </c>
      <c r="CD50" s="62">
        <f ca="1">AVERAGE(OFFSET($CC$3,0,0,'Données projet'!$E$12+1,1))-AVERAGE(OFFSET($H$3,0,0,'Données projet'!$E$12+1,1))</f>
        <v>516.30971934066179</v>
      </c>
      <c r="CE50" s="62">
        <f t="shared" si="40"/>
        <v>290.84286505723571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4.2</v>
      </c>
      <c r="CT50" s="13">
        <f>IF('Données projet'!$A$140&gt;35,CT49+CS50-DB49,IF(A50&lt;'Données projet'!$A$140,$CQ$205^A50,IF(A50='Données projet'!$A$140,'Données projet'!$B$140,CT49+CS50-DB49)))</f>
        <v>128.39999999999998</v>
      </c>
      <c r="CU50" s="18">
        <f>CT50*VLOOKUP('Données projet'!$B$13,Paramètres!$A$1:$I$89,3,0)*VLOOKUP('Données projet'!$B$13,Paramètres!$A$1:$I$89,5,0)</f>
        <v>112.17023999999999</v>
      </c>
      <c r="CV50" s="14">
        <f t="shared" si="41"/>
        <v>29.841727178418456</v>
      </c>
      <c r="CW50" s="22">
        <f t="shared" si="13"/>
        <v>247.3375095024121</v>
      </c>
      <c r="CX50" s="62">
        <f t="shared" si="14"/>
        <v>500.39874736660749</v>
      </c>
      <c r="CY50" s="62">
        <f ca="1">AVERAGE(OFFSET($CX$3,0,0,'Données projet'!$E$13+1,1))-AVERAGE(OFFSET($H$3,0,0,'Données projet'!$E$13+1,1))</f>
        <v>226.76930997889059</v>
      </c>
      <c r="CZ50" s="62">
        <f t="shared" si="42"/>
        <v>236.36066378969329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3.8</v>
      </c>
      <c r="DO50" s="13">
        <f>IF('Données projet'!$A$166&gt;35,DO49+DN50-DW49,IF(A50&lt;'Données projet'!$A$166,$DL$205^A50,IF(A50='Données projet'!$A$166,'Données projet'!$B$166,DO49+DN50-DW49)))</f>
        <v>83.59999999999998</v>
      </c>
      <c r="DP50" s="18">
        <f>DO50*VLOOKUP('Données projet'!$B$14,Paramètres!$A$1:$I$89,3,0)*VLOOKUP('Données projet'!$B$14,Paramètres!$A$1:$I$89,5,0)</f>
        <v>89.987039999999979</v>
      </c>
      <c r="DQ50" s="14">
        <f t="shared" si="43"/>
        <v>24.56209932778879</v>
      </c>
      <c r="DR50" s="22">
        <f t="shared" si="16"/>
        <v>199.50641766256544</v>
      </c>
      <c r="DS50" s="62">
        <f t="shared" si="17"/>
        <v>452.56765552676086</v>
      </c>
      <c r="DT50" s="62">
        <f ca="1">AVERAGE(OFFSET($DS$3,0,0,'Données projet'!$E$14+1,1))-AVERAGE(OFFSET($H$3,0,0,'Données projet'!$E$14+1,1))</f>
        <v>315.12428188060306</v>
      </c>
      <c r="DU50" s="62">
        <f t="shared" si="44"/>
        <v>186.08400677811986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6.0256410256410273</v>
      </c>
      <c r="EJ50" s="13">
        <f>IF('Données projet'!$A$192&gt;35,EJ49+EI50-ER49,IF(A50&lt;'Données projet'!$A$192,$EG$205^A50,IF(A50='Données projet'!$A$192,'Données projet'!$B$192,EJ49+EI50-ER49)))</f>
        <v>185.12820512820508</v>
      </c>
      <c r="EK50" s="18">
        <f>EJ50*VLOOKUP('Données projet'!$B$15,Paramètres!$A$1:$I$89,3,0)*VLOOKUP('Données projet'!$B$15,Paramètres!$A$1:$I$89,5,0)</f>
        <v>193.49599999999998</v>
      </c>
      <c r="EL50" s="14">
        <f t="shared" si="45"/>
        <v>48.312046726948296</v>
      </c>
      <c r="EM50" s="22">
        <f t="shared" si="19"/>
        <v>421.14901471610159</v>
      </c>
      <c r="EN50" s="62">
        <f t="shared" si="20"/>
        <v>674.21025258029704</v>
      </c>
      <c r="EO50" s="62">
        <f ca="1">AVERAGE(OFFSET($EN$3,0,0,'Données projet'!$E$15+1,1))-AVERAGE(OFFSET($H$3,0,0,'Données projet'!$E$15+1,1))</f>
        <v>530.77325763685963</v>
      </c>
      <c r="EP50" s="62">
        <f t="shared" si="46"/>
        <v>344.23100274990145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90.580021122303947</v>
      </c>
      <c r="T51" s="62">
        <f t="shared" si="34"/>
        <v>375.77399473907451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45.367452517396998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4.5738455861647927E-4</v>
      </c>
      <c r="AC51" s="24">
        <f t="shared" si="3"/>
        <v>45.367909901955613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87.3677313039193</v>
      </c>
      <c r="AO51" s="62">
        <f t="shared" si="36"/>
        <v>326.27342751542903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38.756023867888942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38.756023867888942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254.91239442958343</v>
      </c>
      <c r="BJ51" s="62">
        <f t="shared" si="38"/>
        <v>361.41009011468407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185.15640000000002</v>
      </c>
      <c r="CA51" s="14">
        <f t="shared" si="39"/>
        <v>46.467497591770453</v>
      </c>
      <c r="CB51" s="22">
        <f t="shared" si="10"/>
        <v>403.4116216390002</v>
      </c>
      <c r="CC51" s="62">
        <f t="shared" si="11"/>
        <v>657.17149032466796</v>
      </c>
      <c r="CD51" s="62">
        <f ca="1">AVERAGE(OFFSET($CC$3,0,0,'Données projet'!$E$12+1,1))-AVERAGE(OFFSET($H$3,0,0,'Données projet'!$E$12+1,1))</f>
        <v>516.30971934066179</v>
      </c>
      <c r="CE51" s="62">
        <f t="shared" si="40"/>
        <v>290.84286505723571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4.2</v>
      </c>
      <c r="CT51" s="13">
        <f>IF('Données projet'!$A$140&gt;35,CT50+CS51-DB50,IF(A51&lt;'Données projet'!$A$140,$CQ$205^A51,IF(A51='Données projet'!$A$140,'Données projet'!$B$140,CT50+CS51-DB50)))</f>
        <v>132.59999999999997</v>
      </c>
      <c r="CU51" s="18">
        <f>CT51*VLOOKUP('Données projet'!$B$13,Paramètres!$A$1:$I$89,3,0)*VLOOKUP('Données projet'!$B$13,Paramètres!$A$1:$I$89,5,0)</f>
        <v>115.83935999999999</v>
      </c>
      <c r="CV51" s="14">
        <f t="shared" si="41"/>
        <v>30.70261441799703</v>
      </c>
      <c r="CW51" s="22">
        <f t="shared" si="13"/>
        <v>255.22727211134475</v>
      </c>
      <c r="CX51" s="62">
        <f t="shared" si="14"/>
        <v>508.98714079701244</v>
      </c>
      <c r="CY51" s="62">
        <f ca="1">AVERAGE(OFFSET($CX$3,0,0,'Données projet'!$E$13+1,1))-AVERAGE(OFFSET($H$3,0,0,'Données projet'!$E$13+1,1))</f>
        <v>226.76930997889059</v>
      </c>
      <c r="CZ51" s="62">
        <f t="shared" si="42"/>
        <v>236.36066378969329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3.8</v>
      </c>
      <c r="DO51" s="13">
        <f>IF('Données projet'!$A$166&gt;35,DO50+DN51-DW50,IF(A51&lt;'Données projet'!$A$166,$DL$205^A51,IF(A51='Données projet'!$A$166,'Données projet'!$B$166,DO50+DN51-DW50)))</f>
        <v>87.399999999999977</v>
      </c>
      <c r="DP51" s="18">
        <f>DO51*VLOOKUP('Données projet'!$B$14,Paramètres!$A$1:$I$89,3,0)*VLOOKUP('Données projet'!$B$14,Paramètres!$A$1:$I$89,5,0)</f>
        <v>94.07735999999997</v>
      </c>
      <c r="DQ51" s="14">
        <f t="shared" si="43"/>
        <v>25.546035915881891</v>
      </c>
      <c r="DR51" s="22">
        <f t="shared" si="16"/>
        <v>208.34408122016089</v>
      </c>
      <c r="DS51" s="62">
        <f t="shared" si="17"/>
        <v>462.10394990582859</v>
      </c>
      <c r="DT51" s="62">
        <f ca="1">AVERAGE(OFFSET($DS$3,0,0,'Données projet'!$E$14+1,1))-AVERAGE(OFFSET($H$3,0,0,'Données projet'!$E$14+1,1))</f>
        <v>315.12428188060306</v>
      </c>
      <c r="DU51" s="62">
        <f t="shared" si="44"/>
        <v>186.08400677811986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6.0256410256410273</v>
      </c>
      <c r="EJ51" s="13">
        <f>IF('Données projet'!$A$192&gt;35,EJ50+EI51-ER50,IF(A51&lt;'Données projet'!$A$192,$EG$205^A51,IF(A51='Données projet'!$A$192,'Données projet'!$B$192,EJ50+EI51-ER50)))</f>
        <v>191.1538461538461</v>
      </c>
      <c r="EK51" s="18">
        <f>EJ51*VLOOKUP('Données projet'!$B$15,Paramètres!$A$1:$I$89,3,0)*VLOOKUP('Données projet'!$B$15,Paramètres!$A$1:$I$89,5,0)</f>
        <v>199.79399999999995</v>
      </c>
      <c r="EL51" s="14">
        <f t="shared" si="45"/>
        <v>49.698892445432982</v>
      </c>
      <c r="EM51" s="22">
        <f t="shared" si="19"/>
        <v>434.53345434246239</v>
      </c>
      <c r="EN51" s="62">
        <f t="shared" si="20"/>
        <v>688.29332302813009</v>
      </c>
      <c r="EO51" s="62">
        <f ca="1">AVERAGE(OFFSET($EN$3,0,0,'Données projet'!$E$15+1,1))-AVERAGE(OFFSET($H$3,0,0,'Données projet'!$E$15+1,1))</f>
        <v>530.77325763685963</v>
      </c>
      <c r="EP51" s="62">
        <f t="shared" si="46"/>
        <v>344.23100274990145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90.580021122303947</v>
      </c>
      <c r="T52" s="62">
        <f t="shared" si="34"/>
        <v>375.77399473907451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44.477824444944552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3.2341972300772842E-4</v>
      </c>
      <c r="AC52" s="24">
        <f t="shared" si="3"/>
        <v>44.478147864667562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87.3677313039193</v>
      </c>
      <c r="AO52" s="62">
        <f t="shared" si="36"/>
        <v>326.27342751542903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37.99604187868006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37.99604187868006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254.91239442958343</v>
      </c>
      <c r="BJ52" s="62">
        <f t="shared" si="38"/>
        <v>361.41009011468407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193.47120000000001</v>
      </c>
      <c r="CA52" s="14">
        <f t="shared" si="39"/>
        <v>48.306575382296536</v>
      </c>
      <c r="CB52" s="22">
        <f t="shared" si="10"/>
        <v>421.09629212416644</v>
      </c>
      <c r="CC52" s="62">
        <f t="shared" si="11"/>
        <v>675.54267194845841</v>
      </c>
      <c r="CD52" s="62">
        <f ca="1">AVERAGE(OFFSET($CC$3,0,0,'Données projet'!$E$12+1,1))-AVERAGE(OFFSET($H$3,0,0,'Données projet'!$E$12+1,1))</f>
        <v>516.30971934066179</v>
      </c>
      <c r="CE52" s="62">
        <f t="shared" si="40"/>
        <v>290.84286505723571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4.2</v>
      </c>
      <c r="CT52" s="13">
        <f>IF('Données projet'!$A$140&gt;35,CT51+CS52-DB51,IF(A52&lt;'Données projet'!$A$140,$CQ$205^A52,IF(A52='Données projet'!$A$140,'Données projet'!$B$140,CT51+CS52-DB51)))</f>
        <v>136.79999999999995</v>
      </c>
      <c r="CU52" s="18">
        <f>CT52*VLOOKUP('Données projet'!$B$13,Paramètres!$A$1:$I$89,3,0)*VLOOKUP('Données projet'!$B$13,Paramètres!$A$1:$I$89,5,0)</f>
        <v>119.50847999999996</v>
      </c>
      <c r="CV52" s="14">
        <f t="shared" si="41"/>
        <v>31.560332955588962</v>
      </c>
      <c r="CW52" s="22">
        <f t="shared" si="13"/>
        <v>263.11151589765069</v>
      </c>
      <c r="CX52" s="62">
        <f t="shared" si="14"/>
        <v>517.55789572194271</v>
      </c>
      <c r="CY52" s="62">
        <f ca="1">AVERAGE(OFFSET($CX$3,0,0,'Données projet'!$E$13+1,1))-AVERAGE(OFFSET($H$3,0,0,'Données projet'!$E$13+1,1))</f>
        <v>226.76930997889059</v>
      </c>
      <c r="CZ52" s="62">
        <f t="shared" si="42"/>
        <v>236.36066378969329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3.8</v>
      </c>
      <c r="DO52" s="13">
        <f>IF('Données projet'!$A$166&gt;35,DO51+DN52-DW51,IF(A52&lt;'Données projet'!$A$166,$DL$205^A52,IF(A52='Données projet'!$A$166,'Données projet'!$B$166,DO51+DN52-DW51)))</f>
        <v>91.199999999999974</v>
      </c>
      <c r="DP52" s="18">
        <f>DO52*VLOOKUP('Données projet'!$B$14,Paramètres!$A$1:$I$89,3,0)*VLOOKUP('Données projet'!$B$14,Paramètres!$A$1:$I$89,5,0)</f>
        <v>98.167679999999962</v>
      </c>
      <c r="DQ52" s="14">
        <f t="shared" si="43"/>
        <v>26.525003855402876</v>
      </c>
      <c r="DR52" s="22">
        <f t="shared" si="16"/>
        <v>217.17309104815993</v>
      </c>
      <c r="DS52" s="62">
        <f t="shared" si="17"/>
        <v>471.61947087245187</v>
      </c>
      <c r="DT52" s="62">
        <f ca="1">AVERAGE(OFFSET($DS$3,0,0,'Données projet'!$E$14+1,1))-AVERAGE(OFFSET($H$3,0,0,'Données projet'!$E$14+1,1))</f>
        <v>315.12428188060306</v>
      </c>
      <c r="DU52" s="62">
        <f t="shared" si="44"/>
        <v>186.08400677811986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6.0256410256410273</v>
      </c>
      <c r="EJ52" s="13">
        <f>IF('Données projet'!$A$192&gt;35,EJ51+EI52-ER51,IF(A52&lt;'Données projet'!$A$192,$EG$205^A52,IF(A52='Données projet'!$A$192,'Données projet'!$B$192,EJ51+EI52-ER51)))</f>
        <v>197.17948717948713</v>
      </c>
      <c r="EK52" s="18">
        <f>EJ52*VLOOKUP('Données projet'!$B$15,Paramètres!$A$1:$I$89,3,0)*VLOOKUP('Données projet'!$B$15,Paramètres!$A$1:$I$89,5,0)</f>
        <v>206.09199999999996</v>
      </c>
      <c r="EL52" s="14">
        <f t="shared" si="45"/>
        <v>51.080657963757403</v>
      </c>
      <c r="EM52" s="22">
        <f t="shared" si="19"/>
        <v>447.90904595354408</v>
      </c>
      <c r="EN52" s="62">
        <f t="shared" si="20"/>
        <v>702.35542577783599</v>
      </c>
      <c r="EO52" s="62">
        <f ca="1">AVERAGE(OFFSET($EN$3,0,0,'Données projet'!$E$15+1,1))-AVERAGE(OFFSET($H$3,0,0,'Données projet'!$E$15+1,1))</f>
        <v>530.77325763685963</v>
      </c>
      <c r="EP52" s="62">
        <f t="shared" si="46"/>
        <v>344.23100274990145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90.580021122303947</v>
      </c>
      <c r="T53" s="62">
        <f t="shared" si="34"/>
        <v>375.77399473907451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43.605641436373354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2.2869227930823963E-4</v>
      </c>
      <c r="AC53" s="24">
        <f t="shared" si="3"/>
        <v>43.605870128652661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87.3677313039193</v>
      </c>
      <c r="AO53" s="62">
        <f t="shared" si="36"/>
        <v>326.27342751542903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37.250962672736321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37.250962672736321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254.91239442958343</v>
      </c>
      <c r="BJ53" s="62">
        <f t="shared" si="38"/>
        <v>361.41009011468407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201.786</v>
      </c>
      <c r="CA53" s="14">
        <f t="shared" si="39"/>
        <v>50.136473146268756</v>
      </c>
      <c r="CB53" s="22">
        <f t="shared" si="10"/>
        <v>438.76497406308476</v>
      </c>
      <c r="CC53" s="62">
        <f t="shared" si="11"/>
        <v>693.88595559255486</v>
      </c>
      <c r="CD53" s="62">
        <f ca="1">AVERAGE(OFFSET($CC$3,0,0,'Données projet'!$E$12+1,1))-AVERAGE(OFFSET($H$3,0,0,'Données projet'!$E$12+1,1))</f>
        <v>516.30971934066179</v>
      </c>
      <c r="CE53" s="62">
        <f t="shared" si="40"/>
        <v>290.84286505723571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141</v>
      </c>
      <c r="CR53" s="13">
        <f>VLOOKUP(A53,'Données projet'!$A$139:$I$159,9,0)</f>
        <v>4.2</v>
      </c>
      <c r="CS53" s="13">
        <f t="array" ref="CS53">INDEX(CR:CR,MIN(IF(ISNUMBER(CR53:CR249),ROW(CR53:CR249),"")))</f>
        <v>4.2</v>
      </c>
      <c r="CT53" s="13">
        <f>IF('Données projet'!$A$140&gt;35,CT52+CS53-DB52,IF(A53&lt;'Données projet'!$A$140,$CQ$205^A53,IF(A53='Données projet'!$A$140,'Données projet'!$B$140,CT52+CS53-DB52)))</f>
        <v>140.99999999999994</v>
      </c>
      <c r="CU53" s="18">
        <f>CT53*VLOOKUP('Données projet'!$B$13,Paramètres!$A$1:$I$89,3,0)*VLOOKUP('Données projet'!$B$13,Paramètres!$A$1:$I$89,5,0)</f>
        <v>123.17759999999997</v>
      </c>
      <c r="CV53" s="14">
        <f t="shared" si="41"/>
        <v>32.414991240570416</v>
      </c>
      <c r="CW53" s="22">
        <f t="shared" si="13"/>
        <v>270.99042974399339</v>
      </c>
      <c r="CX53" s="62">
        <f t="shared" si="14"/>
        <v>526.11141127346355</v>
      </c>
      <c r="CY53" s="62">
        <f ca="1">AVERAGE(OFFSET($CX$3,0,0,'Données projet'!$E$13+1,1))-AVERAGE(OFFSET($H$3,0,0,'Données projet'!$E$13+1,1))</f>
        <v>226.76930997889059</v>
      </c>
      <c r="CZ53" s="62">
        <f t="shared" si="42"/>
        <v>236.36066378969329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25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95</v>
      </c>
      <c r="DM53" s="13">
        <f>VLOOKUP(A53,'Données projet'!$A$165:$I$185,9,0)</f>
        <v>3.8</v>
      </c>
      <c r="DN53" s="13">
        <f t="array" ref="DN53">INDEX(DM:DM,MIN(IF(ISNUMBER(DM53:DM249),ROW(DM53:DM249),"")))</f>
        <v>3.8</v>
      </c>
      <c r="DO53" s="13">
        <f>IF('Données projet'!$A$166&gt;35,DO52+DN53-DW52,IF(A53&lt;'Données projet'!$A$166,$DL$205^A53,IF(A53='Données projet'!$A$166,'Données projet'!$B$166,DO52+DN53-DW52)))</f>
        <v>94.999999999999972</v>
      </c>
      <c r="DP53" s="18">
        <f>DO53*VLOOKUP('Données projet'!$B$14,Paramètres!$A$1:$I$89,3,0)*VLOOKUP('Données projet'!$B$14,Paramètres!$A$1:$I$89,5,0)</f>
        <v>102.25799999999995</v>
      </c>
      <c r="DQ53" s="14">
        <f t="shared" si="43"/>
        <v>27.499233847895834</v>
      </c>
      <c r="DR53" s="22">
        <f t="shared" si="16"/>
        <v>225.9938489517518</v>
      </c>
      <c r="DS53" s="62">
        <f t="shared" si="17"/>
        <v>481.11483048122193</v>
      </c>
      <c r="DT53" s="62">
        <f ca="1">AVERAGE(OFFSET($DS$3,0,0,'Données projet'!$E$14+1,1))-AVERAGE(OFFSET($H$3,0,0,'Données projet'!$E$14+1,1))</f>
        <v>315.12428188060306</v>
      </c>
      <c r="DU53" s="62">
        <f t="shared" si="44"/>
        <v>186.08400677811986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203.2051282051282</v>
      </c>
      <c r="EH53" s="13">
        <f>VLOOKUP(A53,'Données projet'!$A$191:$I$211,9,0)</f>
        <v>6.0256410256410273</v>
      </c>
      <c r="EI53" s="13">
        <f t="array" ref="EI53">INDEX(EH:EH,MIN(IF(ISNUMBER(EH53:EH249),ROW(EH53:EH249),"")))</f>
        <v>6.0256410256410273</v>
      </c>
      <c r="EJ53" s="13">
        <f>IF('Données projet'!$A$192&gt;35,EJ52+EI53-ER52,IF(A53&lt;'Données projet'!$A$192,$EG$205^A53,IF(A53='Données projet'!$A$192,'Données projet'!$B$192,EJ52+EI53-ER52)))</f>
        <v>203.20512820512815</v>
      </c>
      <c r="EK53" s="18">
        <f>EJ53*VLOOKUP('Données projet'!$B$15,Paramètres!$A$1:$I$89,3,0)*VLOOKUP('Données projet'!$B$15,Paramètres!$A$1:$I$89,5,0)</f>
        <v>212.38999999999993</v>
      </c>
      <c r="EL53" s="14">
        <f t="shared" si="45"/>
        <v>52.457516346075991</v>
      </c>
      <c r="EM53" s="22">
        <f t="shared" si="19"/>
        <v>461.27609096941552</v>
      </c>
      <c r="EN53" s="62">
        <f t="shared" si="20"/>
        <v>716.39707249888556</v>
      </c>
      <c r="EO53" s="62">
        <f ca="1">AVERAGE(OFFSET($EN$3,0,0,'Données projet'!$E$15+1,1))-AVERAGE(OFFSET($H$3,0,0,'Données projet'!$E$15+1,1))</f>
        <v>530.77325763685963</v>
      </c>
      <c r="EP53" s="62">
        <f t="shared" si="46"/>
        <v>344.23100274990145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24.358974358974358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90.580021122303947</v>
      </c>
      <c r="T54" s="62">
        <f t="shared" si="34"/>
        <v>375.77399473907451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42.750561404621131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1.6170986150386421E-4</v>
      </c>
      <c r="AC54" s="24">
        <f t="shared" si="3"/>
        <v>42.750723114482632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87.3677313039193</v>
      </c>
      <c r="AO54" s="62">
        <f t="shared" si="36"/>
        <v>326.27342751542903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36.520494015567692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36.520494015567692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254.91239442958343</v>
      </c>
      <c r="BJ54" s="62">
        <f t="shared" si="38"/>
        <v>361.41009011468407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167.31</v>
      </c>
      <c r="CA54" s="14">
        <f t="shared" si="39"/>
        <v>42.486994942347515</v>
      </c>
      <c r="CB54" s="22">
        <f t="shared" si="10"/>
        <v>365.39643285792187</v>
      </c>
      <c r="CC54" s="62">
        <f t="shared" si="11"/>
        <v>621.18031326116875</v>
      </c>
      <c r="CD54" s="62">
        <f ca="1">AVERAGE(OFFSET($CC$3,0,0,'Données projet'!$E$12+1,1))-AVERAGE(OFFSET($H$3,0,0,'Données projet'!$E$12+1,1))</f>
        <v>516.30971934066179</v>
      </c>
      <c r="CE54" s="62">
        <f t="shared" si="40"/>
        <v>290.84286505723571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3.4</v>
      </c>
      <c r="CT54" s="13">
        <f>IF('Données projet'!$A$140&gt;35,CT53+CS54-DB53,IF(A54&lt;'Données projet'!$A$140,$CQ$205^A54,IF(A54='Données projet'!$A$140,'Données projet'!$B$140,CT53+CS54-DB53)))</f>
        <v>119.39999999999995</v>
      </c>
      <c r="CU54" s="18">
        <f>CT54*VLOOKUP('Données projet'!$B$13,Paramètres!$A$1:$I$89,3,0)*VLOOKUP('Données projet'!$B$13,Paramètres!$A$1:$I$89,5,0)</f>
        <v>104.30783999999997</v>
      </c>
      <c r="CV54" s="14">
        <f t="shared" si="41"/>
        <v>27.985748297693238</v>
      </c>
      <c r="CW54" s="22">
        <f t="shared" si="13"/>
        <v>230.41133295181569</v>
      </c>
      <c r="CX54" s="62">
        <f t="shared" si="14"/>
        <v>486.19521335506249</v>
      </c>
      <c r="CY54" s="62">
        <f ca="1">AVERAGE(OFFSET($CX$3,0,0,'Données projet'!$E$13+1,1))-AVERAGE(OFFSET($H$3,0,0,'Données projet'!$E$13+1,1))</f>
        <v>226.76930997889059</v>
      </c>
      <c r="CZ54" s="62">
        <f t="shared" si="42"/>
        <v>236.36066378969329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4</v>
      </c>
      <c r="DO54" s="13">
        <f>IF('Données projet'!$A$166&gt;35,DO53+DN54-DW53,IF(A54&lt;'Données projet'!$A$166,$DL$205^A54,IF(A54='Données projet'!$A$166,'Données projet'!$B$166,DO53+DN54-DW53)))</f>
        <v>98.999999999999972</v>
      </c>
      <c r="DP54" s="18">
        <f>DO54*VLOOKUP('Données projet'!$B$14,Paramètres!$A$1:$I$89,3,0)*VLOOKUP('Données projet'!$B$14,Paramètres!$A$1:$I$89,5,0)</f>
        <v>106.56359999999997</v>
      </c>
      <c r="DQ54" s="14">
        <f t="shared" si="43"/>
        <v>28.519852461359374</v>
      </c>
      <c r="DR54" s="22">
        <f t="shared" si="16"/>
        <v>235.27034637020085</v>
      </c>
      <c r="DS54" s="62">
        <f t="shared" si="17"/>
        <v>491.05422677344768</v>
      </c>
      <c r="DT54" s="62">
        <f ca="1">AVERAGE(OFFSET($DS$3,0,0,'Données projet'!$E$14+1,1))-AVERAGE(OFFSET($H$3,0,0,'Données projet'!$E$14+1,1))</f>
        <v>315.12428188060306</v>
      </c>
      <c r="DU54" s="62">
        <f t="shared" si="44"/>
        <v>186.08400677811986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5.6410256410256405</v>
      </c>
      <c r="EJ54" s="13">
        <f>IF('Données projet'!$A$192&gt;35,EJ53+EI54-ER53,IF(A54&lt;'Données projet'!$A$192,$EG$205^A54,IF(A54='Données projet'!$A$192,'Données projet'!$B$192,EJ53+EI54-ER53)))</f>
        <v>184.48717948717942</v>
      </c>
      <c r="EK54" s="18">
        <f>EJ54*VLOOKUP('Données projet'!$B$15,Paramètres!$A$1:$I$89,3,0)*VLOOKUP('Données projet'!$B$15,Paramètres!$A$1:$I$89,5,0)</f>
        <v>192.82599999999994</v>
      </c>
      <c r="EL54" s="14">
        <f t="shared" si="45"/>
        <v>48.164203450161025</v>
      </c>
      <c r="EM54" s="22">
        <f t="shared" si="19"/>
        <v>419.72460434236359</v>
      </c>
      <c r="EN54" s="62">
        <f t="shared" si="20"/>
        <v>675.50848474561042</v>
      </c>
      <c r="EO54" s="62">
        <f ca="1">AVERAGE(OFFSET($EN$3,0,0,'Données projet'!$E$15+1,1))-AVERAGE(OFFSET($H$3,0,0,'Données projet'!$E$15+1,1))</f>
        <v>530.77325763685963</v>
      </c>
      <c r="EP54" s="62">
        <f t="shared" si="46"/>
        <v>344.23100274990145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90.580021122303947</v>
      </c>
      <c r="T55" s="62">
        <f t="shared" si="34"/>
        <v>375.77399473907451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41.912248970744251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1.1434613965411982E-4</v>
      </c>
      <c r="AC55" s="24">
        <f t="shared" si="3"/>
        <v>41.912363316883905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87.3677313039193</v>
      </c>
      <c r="AO55" s="62">
        <f t="shared" si="36"/>
        <v>326.27342751542903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35.804349403224258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35.804349403224258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254.91239442958343</v>
      </c>
      <c r="BJ55" s="62">
        <f t="shared" si="38"/>
        <v>361.41009011468407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175.422</v>
      </c>
      <c r="CA55" s="14">
        <f t="shared" si="39"/>
        <v>44.302143412304737</v>
      </c>
      <c r="CB55" s="22">
        <f t="shared" si="10"/>
        <v>382.68621644309741</v>
      </c>
      <c r="CC55" s="62">
        <f t="shared" si="11"/>
        <v>639.12149590668082</v>
      </c>
      <c r="CD55" s="62">
        <f ca="1">AVERAGE(OFFSET($CC$3,0,0,'Données projet'!$E$12+1,1))-AVERAGE(OFFSET($H$3,0,0,'Données projet'!$E$12+1,1))</f>
        <v>516.30971934066179</v>
      </c>
      <c r="CE55" s="62">
        <f t="shared" si="40"/>
        <v>290.84286505723571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3.4</v>
      </c>
      <c r="CT55" s="13">
        <f>IF('Données projet'!$A$140&gt;35,CT54+CS55-DB54,IF(A55&lt;'Données projet'!$A$140,$CQ$205^A55,IF(A55='Données projet'!$A$140,'Données projet'!$B$140,CT54+CS55-DB54)))</f>
        <v>122.79999999999995</v>
      </c>
      <c r="CU55" s="18">
        <f>CT55*VLOOKUP('Données projet'!$B$13,Paramètres!$A$1:$I$89,3,0)*VLOOKUP('Données projet'!$B$13,Paramètres!$A$1:$I$89,5,0)</f>
        <v>107.27807999999999</v>
      </c>
      <c r="CV55" s="14">
        <f t="shared" si="41"/>
        <v>28.688746800886673</v>
      </c>
      <c r="CW55" s="22">
        <f t="shared" si="13"/>
        <v>236.80889001154424</v>
      </c>
      <c r="CX55" s="62">
        <f t="shared" si="14"/>
        <v>493.24416947512759</v>
      </c>
      <c r="CY55" s="62">
        <f ca="1">AVERAGE(OFFSET($CX$3,0,0,'Données projet'!$E$13+1,1))-AVERAGE(OFFSET($H$3,0,0,'Données projet'!$E$13+1,1))</f>
        <v>226.76930997889059</v>
      </c>
      <c r="CZ55" s="62">
        <f t="shared" si="42"/>
        <v>236.36066378969329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4</v>
      </c>
      <c r="DO55" s="13">
        <f>IF('Données projet'!$A$166&gt;35,DO54+DN55-DW54,IF(A55&lt;'Données projet'!$A$166,$DL$205^A55,IF(A55='Données projet'!$A$166,'Données projet'!$B$166,DO54+DN55-DW54)))</f>
        <v>102.99999999999997</v>
      </c>
      <c r="DP55" s="18">
        <f>DO55*VLOOKUP('Données projet'!$B$14,Paramètres!$A$1:$I$89,3,0)*VLOOKUP('Données projet'!$B$14,Paramètres!$A$1:$I$89,5,0)</f>
        <v>110.86919999999998</v>
      </c>
      <c r="DQ55" s="14">
        <f t="shared" si="43"/>
        <v>29.535680967701595</v>
      </c>
      <c r="DR55" s="22">
        <f t="shared" si="16"/>
        <v>244.53850101874687</v>
      </c>
      <c r="DS55" s="62">
        <f t="shared" si="17"/>
        <v>500.9737804823302</v>
      </c>
      <c r="DT55" s="62">
        <f ca="1">AVERAGE(OFFSET($DS$3,0,0,'Données projet'!$E$14+1,1))-AVERAGE(OFFSET($H$3,0,0,'Données projet'!$E$14+1,1))</f>
        <v>315.12428188060306</v>
      </c>
      <c r="DU55" s="62">
        <f t="shared" si="44"/>
        <v>186.08400677811986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5.6410256410256405</v>
      </c>
      <c r="EJ55" s="13">
        <f>IF('Données projet'!$A$192&gt;35,EJ54+EI55-ER54,IF(A55&lt;'Données projet'!$A$192,$EG$205^A55,IF(A55='Données projet'!$A$192,'Données projet'!$B$192,EJ54+EI55-ER54)))</f>
        <v>190.12820512820505</v>
      </c>
      <c r="EK55" s="18">
        <f>EJ55*VLOOKUP('Données projet'!$B$15,Paramètres!$A$1:$I$89,3,0)*VLOOKUP('Données projet'!$B$15,Paramètres!$A$1:$I$89,5,0)</f>
        <v>198.72199999999992</v>
      </c>
      <c r="EL55" s="14">
        <f t="shared" si="45"/>
        <v>49.463197303970119</v>
      </c>
      <c r="EM55" s="22">
        <f t="shared" si="19"/>
        <v>432.25588530441445</v>
      </c>
      <c r="EN55" s="62">
        <f t="shared" si="20"/>
        <v>688.69116476799786</v>
      </c>
      <c r="EO55" s="62">
        <f ca="1">AVERAGE(OFFSET($EN$3,0,0,'Données projet'!$E$15+1,1))-AVERAGE(OFFSET($H$3,0,0,'Données projet'!$E$15+1,1))</f>
        <v>530.77325763685963</v>
      </c>
      <c r="EP55" s="62">
        <f t="shared" si="46"/>
        <v>344.23100274990145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90.580021122303947</v>
      </c>
      <c r="T56" s="62">
        <f t="shared" si="34"/>
        <v>375.77399473907451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41.090375332375601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8.0854930751932106E-5</v>
      </c>
      <c r="AC56" s="24">
        <f t="shared" si="3"/>
        <v>41.090456187306351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87.3677313039193</v>
      </c>
      <c r="AO56" s="62">
        <f t="shared" si="36"/>
        <v>326.27342751542903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35.102247949923793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35.102247949923793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254.91239442958343</v>
      </c>
      <c r="BJ56" s="62">
        <f t="shared" si="38"/>
        <v>361.41009011468407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183.53400000000002</v>
      </c>
      <c r="CA56" s="14">
        <f t="shared" si="39"/>
        <v>46.107544136839593</v>
      </c>
      <c r="CB56" s="22">
        <f t="shared" si="10"/>
        <v>399.95902270499568</v>
      </c>
      <c r="CC56" s="62">
        <f t="shared" si="11"/>
        <v>657.03440091152891</v>
      </c>
      <c r="CD56" s="62">
        <f ca="1">AVERAGE(OFFSET($CC$3,0,0,'Données projet'!$E$12+1,1))-AVERAGE(OFFSET($H$3,0,0,'Données projet'!$E$12+1,1))</f>
        <v>516.30971934066179</v>
      </c>
      <c r="CE56" s="62">
        <f t="shared" si="40"/>
        <v>290.84286505723571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3.4</v>
      </c>
      <c r="CT56" s="13">
        <f>IF('Données projet'!$A$140&gt;35,CT55+CS56-DB55,IF(A56&lt;'Données projet'!$A$140,$CQ$205^A56,IF(A56='Données projet'!$A$140,'Données projet'!$B$140,CT55+CS56-DB55)))</f>
        <v>126.19999999999996</v>
      </c>
      <c r="CU56" s="18">
        <f>CT56*VLOOKUP('Données projet'!$B$13,Paramètres!$A$1:$I$89,3,0)*VLOOKUP('Données projet'!$B$13,Paramètres!$A$1:$I$89,5,0)</f>
        <v>110.24831999999998</v>
      </c>
      <c r="CV56" s="14">
        <f t="shared" si="41"/>
        <v>29.389483021072536</v>
      </c>
      <c r="CW56" s="22">
        <f t="shared" si="13"/>
        <v>243.20250692836794</v>
      </c>
      <c r="CX56" s="62">
        <f t="shared" si="14"/>
        <v>500.27788513490117</v>
      </c>
      <c r="CY56" s="62">
        <f ca="1">AVERAGE(OFFSET($CX$3,0,0,'Données projet'!$E$13+1,1))-AVERAGE(OFFSET($H$3,0,0,'Données projet'!$E$13+1,1))</f>
        <v>226.76930997889059</v>
      </c>
      <c r="CZ56" s="62">
        <f t="shared" si="42"/>
        <v>236.36066378969329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4</v>
      </c>
      <c r="DO56" s="13">
        <f>IF('Données projet'!$A$166&gt;35,DO55+DN56-DW55,IF(A56&lt;'Données projet'!$A$166,$DL$205^A56,IF(A56='Données projet'!$A$166,'Données projet'!$B$166,DO55+DN56-DW55)))</f>
        <v>106.99999999999997</v>
      </c>
      <c r="DP56" s="18">
        <f>DO56*VLOOKUP('Données projet'!$B$14,Paramètres!$A$1:$I$89,3,0)*VLOOKUP('Données projet'!$B$14,Paramètres!$A$1:$I$89,5,0)</f>
        <v>115.17479999999996</v>
      </c>
      <c r="DQ56" s="14">
        <f t="shared" si="43"/>
        <v>30.546926681092497</v>
      </c>
      <c r="DR56" s="22">
        <f t="shared" si="16"/>
        <v>253.79867396956936</v>
      </c>
      <c r="DS56" s="62">
        <f t="shared" si="17"/>
        <v>510.87405217610262</v>
      </c>
      <c r="DT56" s="62">
        <f ca="1">AVERAGE(OFFSET($DS$3,0,0,'Données projet'!$E$14+1,1))-AVERAGE(OFFSET($H$3,0,0,'Données projet'!$E$14+1,1))</f>
        <v>315.12428188060306</v>
      </c>
      <c r="DU56" s="62">
        <f t="shared" si="44"/>
        <v>186.08400677811986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5.6410256410256405</v>
      </c>
      <c r="EJ56" s="13">
        <f>IF('Données projet'!$A$192&gt;35,EJ55+EI56-ER55,IF(A56&lt;'Données projet'!$A$192,$EG$205^A56,IF(A56='Données projet'!$A$192,'Données projet'!$B$192,EJ55+EI56-ER55)))</f>
        <v>195.76923076923069</v>
      </c>
      <c r="EK56" s="18">
        <f>EJ56*VLOOKUP('Données projet'!$B$15,Paramètres!$A$1:$I$89,3,0)*VLOOKUP('Données projet'!$B$15,Paramètres!$A$1:$I$89,5,0)</f>
        <v>204.61799999999994</v>
      </c>
      <c r="EL56" s="14">
        <f t="shared" si="45"/>
        <v>50.757712073649664</v>
      </c>
      <c r="EM56" s="22">
        <f t="shared" si="19"/>
        <v>444.77936519493966</v>
      </c>
      <c r="EN56" s="62">
        <f t="shared" si="20"/>
        <v>701.85474340147289</v>
      </c>
      <c r="EO56" s="62">
        <f ca="1">AVERAGE(OFFSET($EN$3,0,0,'Données projet'!$E$15+1,1))-AVERAGE(OFFSET($H$3,0,0,'Données projet'!$E$15+1,1))</f>
        <v>530.77325763685963</v>
      </c>
      <c r="EP56" s="62">
        <f t="shared" si="46"/>
        <v>344.23100274990145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90.580021122303947</v>
      </c>
      <c r="T57" s="62">
        <f t="shared" si="34"/>
        <v>375.77399473907451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40.284618134761935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5.7173069827059909E-5</v>
      </c>
      <c r="AC57" s="24">
        <f t="shared" si="3"/>
        <v>40.284675307831762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87.3677313039193</v>
      </c>
      <c r="AO57" s="62">
        <f t="shared" si="36"/>
        <v>326.27342751542903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34.413914277882952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34.413914277882952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254.91239442958343</v>
      </c>
      <c r="BJ57" s="62">
        <f t="shared" si="38"/>
        <v>361.41009011468407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191.64600000000002</v>
      </c>
      <c r="CA57" s="14">
        <f t="shared" si="39"/>
        <v>47.903677189291635</v>
      </c>
      <c r="CB57" s="22">
        <f t="shared" si="10"/>
        <v>417.21568777134962</v>
      </c>
      <c r="CC57" s="62">
        <f t="shared" si="11"/>
        <v>674.92006043868901</v>
      </c>
      <c r="CD57" s="62">
        <f ca="1">AVERAGE(OFFSET($CC$3,0,0,'Données projet'!$E$12+1,1))-AVERAGE(OFFSET($H$3,0,0,'Données projet'!$E$12+1,1))</f>
        <v>516.30971934066179</v>
      </c>
      <c r="CE57" s="62">
        <f t="shared" si="40"/>
        <v>290.84286505723571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3.4</v>
      </c>
      <c r="CT57" s="13">
        <f>IF('Données projet'!$A$140&gt;35,CT56+CS57-DB56,IF(A57&lt;'Données projet'!$A$140,$CQ$205^A57,IF(A57='Données projet'!$A$140,'Données projet'!$B$140,CT56+CS57-DB56)))</f>
        <v>129.59999999999997</v>
      </c>
      <c r="CU57" s="18">
        <f>CT57*VLOOKUP('Données projet'!$B$13,Paramètres!$A$1:$I$89,3,0)*VLOOKUP('Données projet'!$B$13,Paramètres!$A$1:$I$89,5,0)</f>
        <v>113.21856</v>
      </c>
      <c r="CV57" s="14">
        <f t="shared" si="41"/>
        <v>30.088024911766389</v>
      </c>
      <c r="CW57" s="22">
        <f t="shared" si="13"/>
        <v>249.59230205465974</v>
      </c>
      <c r="CX57" s="62">
        <f t="shared" si="14"/>
        <v>507.29667472199907</v>
      </c>
      <c r="CY57" s="62">
        <f ca="1">AVERAGE(OFFSET($CX$3,0,0,'Données projet'!$E$13+1,1))-AVERAGE(OFFSET($H$3,0,0,'Données projet'!$E$13+1,1))</f>
        <v>226.76930997889059</v>
      </c>
      <c r="CZ57" s="62">
        <f t="shared" si="42"/>
        <v>236.36066378969329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4</v>
      </c>
      <c r="DO57" s="13">
        <f>IF('Données projet'!$A$166&gt;35,DO56+DN57-DW56,IF(A57&lt;'Données projet'!$A$166,$DL$205^A57,IF(A57='Données projet'!$A$166,'Données projet'!$B$166,DO56+DN57-DW56)))</f>
        <v>110.99999999999997</v>
      </c>
      <c r="DP57" s="18">
        <f>DO57*VLOOKUP('Données projet'!$B$14,Paramètres!$A$1:$I$89,3,0)*VLOOKUP('Données projet'!$B$14,Paramètres!$A$1:$I$89,5,0)</f>
        <v>119.48039999999996</v>
      </c>
      <c r="DQ57" s="14">
        <f t="shared" si="43"/>
        <v>31.553780537454912</v>
      </c>
      <c r="DR57" s="22">
        <f t="shared" si="16"/>
        <v>263.05119776940052</v>
      </c>
      <c r="DS57" s="62">
        <f t="shared" si="17"/>
        <v>520.75557043673984</v>
      </c>
      <c r="DT57" s="62">
        <f ca="1">AVERAGE(OFFSET($DS$3,0,0,'Données projet'!$E$14+1,1))-AVERAGE(OFFSET($H$3,0,0,'Données projet'!$E$14+1,1))</f>
        <v>315.12428188060306</v>
      </c>
      <c r="DU57" s="62">
        <f t="shared" si="44"/>
        <v>186.08400677811986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5.6410256410256405</v>
      </c>
      <c r="EJ57" s="13">
        <f>IF('Données projet'!$A$192&gt;35,EJ56+EI57-ER56,IF(A57&lt;'Données projet'!$A$192,$EG$205^A57,IF(A57='Données projet'!$A$192,'Données projet'!$B$192,EJ56+EI57-ER56)))</f>
        <v>201.41025641025632</v>
      </c>
      <c r="EK57" s="18">
        <f>EJ57*VLOOKUP('Données projet'!$B$15,Paramètres!$A$1:$I$89,3,0)*VLOOKUP('Données projet'!$B$15,Paramètres!$A$1:$I$89,5,0)</f>
        <v>210.51399999999992</v>
      </c>
      <c r="EL57" s="14">
        <f t="shared" si="45"/>
        <v>52.047891644487855</v>
      </c>
      <c r="EM57" s="22">
        <f t="shared" si="19"/>
        <v>457.2952946141495</v>
      </c>
      <c r="EN57" s="62">
        <f t="shared" si="20"/>
        <v>714.99966728148888</v>
      </c>
      <c r="EO57" s="62">
        <f ca="1">AVERAGE(OFFSET($EN$3,0,0,'Données projet'!$E$15+1,1))-AVERAGE(OFFSET($H$3,0,0,'Données projet'!$E$15+1,1))</f>
        <v>530.77325763685963</v>
      </c>
      <c r="EP57" s="62">
        <f t="shared" si="46"/>
        <v>344.23100274990145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90.580021122303947</v>
      </c>
      <c r="T58" s="62">
        <f t="shared" si="34"/>
        <v>375.77399473907451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39.494661344330112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4.0427465375966053E-5</v>
      </c>
      <c r="AC58" s="24">
        <f t="shared" si="3"/>
        <v>39.494701771795491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87.3677313039193</v>
      </c>
      <c r="AO58" s="62">
        <f t="shared" si="36"/>
        <v>326.27342751542903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33.739078409308746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33.739078409308746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254.91239442958343</v>
      </c>
      <c r="BJ58" s="62">
        <f t="shared" si="38"/>
        <v>361.41009011468407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199.75800000000004</v>
      </c>
      <c r="CA58" s="14">
        <f t="shared" si="39"/>
        <v>49.690979702964015</v>
      </c>
      <c r="CB58" s="22">
        <f t="shared" si="10"/>
        <v>434.45697298266236</v>
      </c>
      <c r="CC58" s="62">
        <f t="shared" si="11"/>
        <v>692.77942846313374</v>
      </c>
      <c r="CD58" s="62">
        <f ca="1">AVERAGE(OFFSET($CC$3,0,0,'Données projet'!$E$12+1,1))-AVERAGE(OFFSET($H$3,0,0,'Données projet'!$E$12+1,1))</f>
        <v>516.30971934066179</v>
      </c>
      <c r="CE58" s="62">
        <f t="shared" si="40"/>
        <v>290.84286505723571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133</v>
      </c>
      <c r="CR58" s="13">
        <f>VLOOKUP(A58,'Données projet'!$A$139:$I$159,9,0)</f>
        <v>3.4</v>
      </c>
      <c r="CS58" s="13">
        <f t="array" ref="CS58">INDEX(CR:CR,MIN(IF(ISNUMBER(CR58:CR254),ROW(CR58:CR254),"")))</f>
        <v>3.4</v>
      </c>
      <c r="CT58" s="13">
        <f>IF('Données projet'!$A$140&gt;35,CT57+CS58-DB57,IF(A58&lt;'Données projet'!$A$140,$CQ$205^A58,IF(A58='Données projet'!$A$140,'Données projet'!$B$140,CT57+CS58-DB57)))</f>
        <v>132.99999999999997</v>
      </c>
      <c r="CU58" s="18">
        <f>CT58*VLOOKUP('Données projet'!$B$13,Paramètres!$A$1:$I$89,3,0)*VLOOKUP('Données projet'!$B$13,Paramètres!$A$1:$I$89,5,0)</f>
        <v>116.18879999999999</v>
      </c>
      <c r="CV58" s="14">
        <f t="shared" si="41"/>
        <v>30.784436657961702</v>
      </c>
      <c r="CW58" s="22">
        <f t="shared" si="13"/>
        <v>255.97838717928323</v>
      </c>
      <c r="CX58" s="62">
        <f t="shared" si="14"/>
        <v>514.30084265975461</v>
      </c>
      <c r="CY58" s="62">
        <f ca="1">AVERAGE(OFFSET($CX$3,0,0,'Données projet'!$E$13+1,1))-AVERAGE(OFFSET($H$3,0,0,'Données projet'!$E$13+1,1))</f>
        <v>226.76930997889059</v>
      </c>
      <c r="CZ58" s="62">
        <f t="shared" si="42"/>
        <v>236.36066378969329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115</v>
      </c>
      <c r="DM58" s="13">
        <f>VLOOKUP(A58,'Données projet'!$A$165:$I$185,9,0)</f>
        <v>4</v>
      </c>
      <c r="DN58" s="13">
        <f t="array" ref="DN58">INDEX(DM:DM,MIN(IF(ISNUMBER(DM58:DM254),ROW(DM58:DM254),"")))</f>
        <v>4</v>
      </c>
      <c r="DO58" s="13">
        <f>IF('Données projet'!$A$166&gt;35,DO57+DN58-DW57,IF(A58&lt;'Données projet'!$A$166,$DL$205^A58,IF(A58='Données projet'!$A$166,'Données projet'!$B$166,DO57+DN58-DW57)))</f>
        <v>114.99999999999997</v>
      </c>
      <c r="DP58" s="18">
        <f>DO58*VLOOKUP('Données projet'!$B$14,Paramètres!$A$1:$I$89,3,0)*VLOOKUP('Données projet'!$B$14,Paramètres!$A$1:$I$89,5,0)</f>
        <v>123.78599999999997</v>
      </c>
      <c r="DQ58" s="14">
        <f t="shared" si="43"/>
        <v>32.556418931566412</v>
      </c>
      <c r="DR58" s="22">
        <f t="shared" si="16"/>
        <v>272.29637963914479</v>
      </c>
      <c r="DS58" s="62">
        <f t="shared" si="17"/>
        <v>530.61883511961616</v>
      </c>
      <c r="DT58" s="62">
        <f ca="1">AVERAGE(OFFSET($DS$3,0,0,'Données projet'!$E$14+1,1))-AVERAGE(OFFSET($H$3,0,0,'Données projet'!$E$14+1,1))</f>
        <v>315.12428188060306</v>
      </c>
      <c r="DU58" s="62">
        <f t="shared" si="44"/>
        <v>186.08400677811986</v>
      </c>
      <c r="DV58" s="16">
        <f>IF(ISNA(VLOOKUP(A58,'Données projet'!$A$165:$I$185,3,0)),0,VLOOKUP(A58,'Données projet'!$A$165:$I$185,3,0))</f>
        <v>3</v>
      </c>
      <c r="DW58" s="16">
        <f>IF(ISNA(VLOOKUP(A58,'Données projet'!$A$165:$I$185,4,0)),0,VLOOKUP(A58,'Données projet'!$A$165:$I$185,4,0))</f>
        <v>19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207.05128205128204</v>
      </c>
      <c r="EH58" s="13">
        <f>VLOOKUP(A58,'Données projet'!$A$191:$I$211,9,0)</f>
        <v>5.6410256410256405</v>
      </c>
      <c r="EI58" s="13">
        <f t="array" ref="EI58">INDEX(EH:EH,MIN(IF(ISNUMBER(EH58:EH254),ROW(EH58:EH254),"")))</f>
        <v>5.6410256410256405</v>
      </c>
      <c r="EJ58" s="13">
        <f>IF('Données projet'!$A$192&gt;35,EJ57+EI58-ER57,IF(A58&lt;'Données projet'!$A$192,$EG$205^A58,IF(A58='Données projet'!$A$192,'Données projet'!$B$192,EJ57+EI58-ER57)))</f>
        <v>207.05128205128196</v>
      </c>
      <c r="EK58" s="18">
        <f>EJ58*VLOOKUP('Données projet'!$B$15,Paramètres!$A$1:$I$89,3,0)*VLOOKUP('Données projet'!$B$15,Paramètres!$A$1:$I$89,5,0)</f>
        <v>216.40999999999991</v>
      </c>
      <c r="EL58" s="14">
        <f t="shared" si="45"/>
        <v>53.333871383439472</v>
      </c>
      <c r="EM58" s="22">
        <f t="shared" si="19"/>
        <v>469.80390932615688</v>
      </c>
      <c r="EN58" s="62">
        <f t="shared" si="20"/>
        <v>728.12636480662832</v>
      </c>
      <c r="EO58" s="62">
        <f ca="1">AVERAGE(OFFSET($EN$3,0,0,'Données projet'!$E$15+1,1))-AVERAGE(OFFSET($H$3,0,0,'Données projet'!$E$15+1,1))</f>
        <v>530.77325763685963</v>
      </c>
      <c r="EP58" s="62">
        <f t="shared" si="46"/>
        <v>344.23100274990145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90.580021122303947</v>
      </c>
      <c r="T59" s="62">
        <f t="shared" si="34"/>
        <v>375.77399473907451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38.720195124732591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2.8586534913529954E-5</v>
      </c>
      <c r="AC59" s="24">
        <f t="shared" si="3"/>
        <v>38.720223711267508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87.3677313039193</v>
      </c>
      <c r="AO59" s="62">
        <f t="shared" si="36"/>
        <v>326.27342751542903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33.077475660508043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33.077475660508043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254.91239442958343</v>
      </c>
      <c r="BJ59" s="62">
        <f t="shared" si="38"/>
        <v>361.41009011468407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207.46440000000001</v>
      </c>
      <c r="CA59" s="14">
        <f t="shared" si="39"/>
        <v>51.381102169014063</v>
      </c>
      <c r="CB59" s="22">
        <f t="shared" si="10"/>
        <v>450.82258294436616</v>
      </c>
      <c r="CC59" s="62">
        <f t="shared" si="11"/>
        <v>709.7523988829879</v>
      </c>
      <c r="CD59" s="62">
        <f ca="1">AVERAGE(OFFSET($CC$3,0,0,'Données projet'!$E$12+1,1))-AVERAGE(OFFSET($H$3,0,0,'Données projet'!$E$12+1,1))</f>
        <v>516.30971934066179</v>
      </c>
      <c r="CE59" s="62">
        <f t="shared" si="40"/>
        <v>290.84286505723571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3.2</v>
      </c>
      <c r="CT59" s="13">
        <f>IF('Données projet'!$A$140&gt;35,CT58+CS59-DB58,IF(A59&lt;'Données projet'!$A$140,$CQ$205^A59,IF(A59='Données projet'!$A$140,'Données projet'!$B$140,CT58+CS59-DB58)))</f>
        <v>136.19999999999996</v>
      </c>
      <c r="CU59" s="18">
        <f>CT59*VLOOKUP('Données projet'!$B$13,Paramètres!$A$1:$I$89,3,0)*VLOOKUP('Données projet'!$B$13,Paramètres!$A$1:$I$89,5,0)</f>
        <v>118.98432</v>
      </c>
      <c r="CV59" s="14">
        <f t="shared" si="41"/>
        <v>31.437991550787316</v>
      </c>
      <c r="CW59" s="22">
        <f t="shared" si="13"/>
        <v>261.98552595095452</v>
      </c>
      <c r="CX59" s="62">
        <f t="shared" si="14"/>
        <v>520.91534188957621</v>
      </c>
      <c r="CY59" s="62">
        <f ca="1">AVERAGE(OFFSET($CX$3,0,0,'Données projet'!$E$13+1,1))-AVERAGE(OFFSET($H$3,0,0,'Données projet'!$E$13+1,1))</f>
        <v>226.76930997889059</v>
      </c>
      <c r="CZ59" s="62">
        <f t="shared" si="42"/>
        <v>236.36066378969329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3.8</v>
      </c>
      <c r="DO59" s="13">
        <f>IF('Données projet'!$A$166&gt;35,DO58+DN59-DW58,IF(A59&lt;'Données projet'!$A$166,$DL$205^A59,IF(A59='Données projet'!$A$166,'Données projet'!$B$166,DO58+DN59-DW58)))</f>
        <v>99.799999999999969</v>
      </c>
      <c r="DP59" s="18">
        <f>DO59*VLOOKUP('Données projet'!$B$14,Paramètres!$A$1:$I$89,3,0)*VLOOKUP('Données projet'!$B$14,Paramètres!$A$1:$I$89,5,0)</f>
        <v>107.42471999999995</v>
      </c>
      <c r="DQ59" s="14">
        <f t="shared" si="43"/>
        <v>28.723394484955126</v>
      </c>
      <c r="DR59" s="22">
        <f t="shared" si="16"/>
        <v>237.12463272796342</v>
      </c>
      <c r="DS59" s="62">
        <f t="shared" si="17"/>
        <v>496.05444866658513</v>
      </c>
      <c r="DT59" s="62">
        <f ca="1">AVERAGE(OFFSET($DS$3,0,0,'Données projet'!$E$14+1,1))-AVERAGE(OFFSET($H$3,0,0,'Données projet'!$E$14+1,1))</f>
        <v>315.12428188060306</v>
      </c>
      <c r="DU59" s="62">
        <f t="shared" si="44"/>
        <v>186.08400677811986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5.2564102564102537</v>
      </c>
      <c r="EJ59" s="13">
        <f>IF('Données projet'!$A$192&gt;35,EJ58+EI59-ER58,IF(A59&lt;'Données projet'!$A$192,$EG$205^A59,IF(A59='Données projet'!$A$192,'Données projet'!$B$192,EJ58+EI59-ER58)))</f>
        <v>212.30769230769221</v>
      </c>
      <c r="EK59" s="18">
        <f>EJ59*VLOOKUP('Données projet'!$B$15,Paramètres!$A$1:$I$89,3,0)*VLOOKUP('Données projet'!$B$15,Paramètres!$A$1:$I$89,5,0)</f>
        <v>221.90399999999991</v>
      </c>
      <c r="EL59" s="14">
        <f t="shared" si="45"/>
        <v>54.528502940168273</v>
      </c>
      <c r="EM59" s="22">
        <f t="shared" si="19"/>
        <v>481.45327595412624</v>
      </c>
      <c r="EN59" s="62">
        <f t="shared" si="20"/>
        <v>740.38309189274798</v>
      </c>
      <c r="EO59" s="62">
        <f ca="1">AVERAGE(OFFSET($EN$3,0,0,'Données projet'!$E$15+1,1))-AVERAGE(OFFSET($H$3,0,0,'Données projet'!$E$15+1,1))</f>
        <v>530.77325763685963</v>
      </c>
      <c r="EP59" s="62">
        <f t="shared" si="46"/>
        <v>344.23100274990145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90.580021122303947</v>
      </c>
      <c r="T60" s="62">
        <f t="shared" si="34"/>
        <v>375.77399473907451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37.96091571532363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2.0213732687983026E-5</v>
      </c>
      <c r="AC60" s="24">
        <f t="shared" si="3"/>
        <v>37.960935929056319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87.3677313039193</v>
      </c>
      <c r="AO60" s="62">
        <f t="shared" si="36"/>
        <v>326.27342751542903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32.428846538073493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32.428846538073493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254.91239442958343</v>
      </c>
      <c r="BJ60" s="62">
        <f t="shared" si="38"/>
        <v>361.41009011468407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215.17080000000001</v>
      </c>
      <c r="CA60" s="14">
        <f t="shared" si="39"/>
        <v>53.063930965723607</v>
      </c>
      <c r="CB60" s="22">
        <f t="shared" si="10"/>
        <v>467.17548976530185</v>
      </c>
      <c r="CC60" s="62">
        <f t="shared" si="11"/>
        <v>726.70212981597956</v>
      </c>
      <c r="CD60" s="62">
        <f ca="1">AVERAGE(OFFSET($CC$3,0,0,'Données projet'!$E$12+1,1))-AVERAGE(OFFSET($H$3,0,0,'Données projet'!$E$12+1,1))</f>
        <v>516.30971934066179</v>
      </c>
      <c r="CE60" s="62">
        <f t="shared" si="40"/>
        <v>290.84286505723571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3.2</v>
      </c>
      <c r="CT60" s="13">
        <f>IF('Données projet'!$A$140&gt;35,CT59+CS60-DB59,IF(A60&lt;'Données projet'!$A$140,$CQ$205^A60,IF(A60='Données projet'!$A$140,'Données projet'!$B$140,CT59+CS60-DB59)))</f>
        <v>139.39999999999995</v>
      </c>
      <c r="CU60" s="18">
        <f>CT60*VLOOKUP('Données projet'!$B$13,Paramètres!$A$1:$I$89,3,0)*VLOOKUP('Données projet'!$B$13,Paramètres!$A$1:$I$89,5,0)</f>
        <v>121.77983999999996</v>
      </c>
      <c r="CV60" s="14">
        <f t="shared" si="41"/>
        <v>32.089761368755156</v>
      </c>
      <c r="CW60" s="22">
        <f t="shared" si="13"/>
        <v>267.98955571724849</v>
      </c>
      <c r="CX60" s="62">
        <f t="shared" si="14"/>
        <v>527.51619576792621</v>
      </c>
      <c r="CY60" s="62">
        <f ca="1">AVERAGE(OFFSET($CX$3,0,0,'Données projet'!$E$13+1,1))-AVERAGE(OFFSET($H$3,0,0,'Données projet'!$E$13+1,1))</f>
        <v>226.76930997889059</v>
      </c>
      <c r="CZ60" s="62">
        <f t="shared" si="42"/>
        <v>236.36066378969329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3.8</v>
      </c>
      <c r="DO60" s="13">
        <f>IF('Données projet'!$A$166&gt;35,DO59+DN60-DW59,IF(A60&lt;'Données projet'!$A$166,$DL$205^A60,IF(A60='Données projet'!$A$166,'Données projet'!$B$166,DO59+DN60-DW59)))</f>
        <v>103.59999999999997</v>
      </c>
      <c r="DP60" s="18">
        <f>DO60*VLOOKUP('Données projet'!$B$14,Paramètres!$A$1:$I$89,3,0)*VLOOKUP('Données projet'!$B$14,Paramètres!$A$1:$I$89,5,0)</f>
        <v>111.51503999999996</v>
      </c>
      <c r="DQ60" s="14">
        <f t="shared" si="43"/>
        <v>29.687655136252104</v>
      </c>
      <c r="DR60" s="22">
        <f t="shared" si="16"/>
        <v>245.92802736230567</v>
      </c>
      <c r="DS60" s="62">
        <f t="shared" si="17"/>
        <v>505.45466741298338</v>
      </c>
      <c r="DT60" s="62">
        <f ca="1">AVERAGE(OFFSET($DS$3,0,0,'Données projet'!$E$14+1,1))-AVERAGE(OFFSET($H$3,0,0,'Données projet'!$E$14+1,1))</f>
        <v>315.12428188060306</v>
      </c>
      <c r="DU60" s="62">
        <f t="shared" si="44"/>
        <v>186.08400677811986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5.2564102564102537</v>
      </c>
      <c r="EJ60" s="13">
        <f>IF('Données projet'!$A$192&gt;35,EJ59+EI60-ER59,IF(A60&lt;'Données projet'!$A$192,$EG$205^A60,IF(A60='Données projet'!$A$192,'Données projet'!$B$192,EJ59+EI60-ER59)))</f>
        <v>217.56410256410246</v>
      </c>
      <c r="EK60" s="18">
        <f>EJ60*VLOOKUP('Données projet'!$B$15,Paramètres!$A$1:$I$89,3,0)*VLOOKUP('Données projet'!$B$15,Paramètres!$A$1:$I$89,5,0)</f>
        <v>227.39799999999991</v>
      </c>
      <c r="EL60" s="14">
        <f t="shared" si="45"/>
        <v>55.719696292134515</v>
      </c>
      <c r="EM60" s="22">
        <f t="shared" si="19"/>
        <v>493.09665437546749</v>
      </c>
      <c r="EN60" s="62">
        <f t="shared" si="20"/>
        <v>752.62329442614521</v>
      </c>
      <c r="EO60" s="62">
        <f ca="1">AVERAGE(OFFSET($EN$3,0,0,'Données projet'!$E$15+1,1))-AVERAGE(OFFSET($H$3,0,0,'Données projet'!$E$15+1,1))</f>
        <v>530.77325763685963</v>
      </c>
      <c r="EP60" s="62">
        <f t="shared" si="46"/>
        <v>344.23100274990145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90.580021122303947</v>
      </c>
      <c r="T61" s="62">
        <f t="shared" si="34"/>
        <v>375.77399473907451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37.216525312018462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1.4293267456764977E-5</v>
      </c>
      <c r="AC61" s="24">
        <f t="shared" si="3"/>
        <v>37.216539605285917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87.3677313039193</v>
      </c>
      <c r="AO61" s="62">
        <f t="shared" si="36"/>
        <v>326.27342751542903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31.792936637105182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31.792936637105182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254.91239442958343</v>
      </c>
      <c r="BJ61" s="62">
        <f t="shared" si="38"/>
        <v>361.41009011468407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222.87720000000002</v>
      </c>
      <c r="CA61" s="14">
        <f t="shared" si="39"/>
        <v>54.739757243913829</v>
      </c>
      <c r="CB61" s="22">
        <f t="shared" si="10"/>
        <v>483.51620053314986</v>
      </c>
      <c r="CC61" s="62">
        <f t="shared" si="11"/>
        <v>743.62931113183822</v>
      </c>
      <c r="CD61" s="62">
        <f ca="1">AVERAGE(OFFSET($CC$3,0,0,'Données projet'!$E$12+1,1))-AVERAGE(OFFSET($H$3,0,0,'Données projet'!$E$12+1,1))</f>
        <v>516.30971934066179</v>
      </c>
      <c r="CE61" s="62">
        <f t="shared" si="40"/>
        <v>290.84286505723571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3.2</v>
      </c>
      <c r="CT61" s="13">
        <f>IF('Données projet'!$A$140&gt;35,CT60+CS61-DB60,IF(A61&lt;'Données projet'!$A$140,$CQ$205^A61,IF(A61='Données projet'!$A$140,'Données projet'!$B$140,CT60+CS61-DB60)))</f>
        <v>142.59999999999994</v>
      </c>
      <c r="CU61" s="18">
        <f>CT61*VLOOKUP('Données projet'!$B$13,Paramètres!$A$1:$I$89,3,0)*VLOOKUP('Données projet'!$B$13,Paramètres!$A$1:$I$89,5,0)</f>
        <v>124.57535999999995</v>
      </c>
      <c r="CV61" s="14">
        <f t="shared" si="41"/>
        <v>32.739791806000952</v>
      </c>
      <c r="CW61" s="22">
        <f t="shared" si="13"/>
        <v>273.99055606211817</v>
      </c>
      <c r="CX61" s="62">
        <f t="shared" si="14"/>
        <v>534.10366666080654</v>
      </c>
      <c r="CY61" s="62">
        <f ca="1">AVERAGE(OFFSET($CX$3,0,0,'Données projet'!$E$13+1,1))-AVERAGE(OFFSET($H$3,0,0,'Données projet'!$E$13+1,1))</f>
        <v>226.76930997889059</v>
      </c>
      <c r="CZ61" s="62">
        <f t="shared" si="42"/>
        <v>236.36066378969329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3.8</v>
      </c>
      <c r="DO61" s="13">
        <f>IF('Données projet'!$A$166&gt;35,DO60+DN61-DW60,IF(A61&lt;'Données projet'!$A$166,$DL$205^A61,IF(A61='Données projet'!$A$166,'Données projet'!$B$166,DO60+DN61-DW60)))</f>
        <v>107.39999999999996</v>
      </c>
      <c r="DP61" s="18">
        <f>DO61*VLOOKUP('Données projet'!$B$14,Paramètres!$A$1:$I$89,3,0)*VLOOKUP('Données projet'!$B$14,Paramètres!$A$1:$I$89,5,0)</f>
        <v>115.60535999999995</v>
      </c>
      <c r="DQ61" s="14">
        <f t="shared" si="43"/>
        <v>30.647806681379965</v>
      </c>
      <c r="DR61" s="22">
        <f t="shared" si="16"/>
        <v>254.72426530340337</v>
      </c>
      <c r="DS61" s="62">
        <f t="shared" si="17"/>
        <v>514.83737590209182</v>
      </c>
      <c r="DT61" s="62">
        <f ca="1">AVERAGE(OFFSET($DS$3,0,0,'Données projet'!$E$14+1,1))-AVERAGE(OFFSET($H$3,0,0,'Données projet'!$E$14+1,1))</f>
        <v>315.12428188060306</v>
      </c>
      <c r="DU61" s="62">
        <f t="shared" si="44"/>
        <v>186.08400677811986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5.2564102564102537</v>
      </c>
      <c r="EJ61" s="13">
        <f>IF('Données projet'!$A$192&gt;35,EJ60+EI61-ER60,IF(A61&lt;'Données projet'!$A$192,$EG$205^A61,IF(A61='Données projet'!$A$192,'Données projet'!$B$192,EJ60+EI61-ER60)))</f>
        <v>222.8205128205127</v>
      </c>
      <c r="EK61" s="18">
        <f>EJ61*VLOOKUP('Données projet'!$B$15,Paramètres!$A$1:$I$89,3,0)*VLOOKUP('Données projet'!$B$15,Paramètres!$A$1:$I$89,5,0)</f>
        <v>232.89199999999991</v>
      </c>
      <c r="EL61" s="14">
        <f t="shared" si="45"/>
        <v>56.907544064397435</v>
      </c>
      <c r="EM61" s="22">
        <f t="shared" si="19"/>
        <v>504.73420591215864</v>
      </c>
      <c r="EN61" s="62">
        <f t="shared" si="20"/>
        <v>764.84731651084712</v>
      </c>
      <c r="EO61" s="62">
        <f ca="1">AVERAGE(OFFSET($EN$3,0,0,'Données projet'!$E$15+1,1))-AVERAGE(OFFSET($H$3,0,0,'Données projet'!$E$15+1,1))</f>
        <v>530.77325763685963</v>
      </c>
      <c r="EP61" s="62">
        <f t="shared" si="46"/>
        <v>344.23100274990145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90.580021122303947</v>
      </c>
      <c r="T62" s="62">
        <f t="shared" si="34"/>
        <v>375.77399473907451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36.486731950488796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1.0106866343991513E-5</v>
      </c>
      <c r="AC62" s="24">
        <f t="shared" si="3"/>
        <v>36.486742057355137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87.3677313039193</v>
      </c>
      <c r="AO62" s="62">
        <f t="shared" si="36"/>
        <v>326.27342751542903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31.169496541428121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31.169496541428121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254.91239442958343</v>
      </c>
      <c r="BJ62" s="62">
        <f t="shared" si="38"/>
        <v>361.41009011468407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230.58360000000002</v>
      </c>
      <c r="CA62" s="14">
        <f t="shared" si="39"/>
        <v>56.408850878327968</v>
      </c>
      <c r="CB62" s="22">
        <f t="shared" si="10"/>
        <v>499.8451852797545</v>
      </c>
      <c r="CC62" s="62">
        <f t="shared" si="11"/>
        <v>760.53459247359729</v>
      </c>
      <c r="CD62" s="62">
        <f ca="1">AVERAGE(OFFSET($CC$3,0,0,'Données projet'!$E$12+1,1))-AVERAGE(OFFSET($H$3,0,0,'Données projet'!$E$12+1,1))</f>
        <v>516.30971934066179</v>
      </c>
      <c r="CE62" s="62">
        <f t="shared" si="40"/>
        <v>290.84286505723571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3.2</v>
      </c>
      <c r="CT62" s="13">
        <f>IF('Données projet'!$A$140&gt;35,CT61+CS62-DB61,IF(A62&lt;'Données projet'!$A$140,$CQ$205^A62,IF(A62='Données projet'!$A$140,'Données projet'!$B$140,CT61+CS62-DB61)))</f>
        <v>145.79999999999993</v>
      </c>
      <c r="CU62" s="18">
        <f>CT62*VLOOKUP('Données projet'!$B$13,Paramètres!$A$1:$I$89,3,0)*VLOOKUP('Données projet'!$B$13,Paramètres!$A$1:$I$89,5,0)</f>
        <v>127.37087999999996</v>
      </c>
      <c r="CV62" s="14">
        <f t="shared" si="41"/>
        <v>33.388126388800494</v>
      </c>
      <c r="CW62" s="22">
        <f t="shared" si="13"/>
        <v>279.98860279382745</v>
      </c>
      <c r="CX62" s="62">
        <f t="shared" si="14"/>
        <v>540.67800998767029</v>
      </c>
      <c r="CY62" s="62">
        <f ca="1">AVERAGE(OFFSET($CX$3,0,0,'Données projet'!$E$13+1,1))-AVERAGE(OFFSET($H$3,0,0,'Données projet'!$E$13+1,1))</f>
        <v>226.76930997889059</v>
      </c>
      <c r="CZ62" s="62">
        <f t="shared" si="42"/>
        <v>236.36066378969329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3.8</v>
      </c>
      <c r="DO62" s="13">
        <f>IF('Données projet'!$A$166&gt;35,DO61+DN62-DW61,IF(A62&lt;'Données projet'!$A$166,$DL$205^A62,IF(A62='Données projet'!$A$166,'Données projet'!$B$166,DO61+DN62-DW61)))</f>
        <v>111.19999999999996</v>
      </c>
      <c r="DP62" s="18">
        <f>DO62*VLOOKUP('Données projet'!$B$14,Paramètres!$A$1:$I$89,3,0)*VLOOKUP('Données projet'!$B$14,Paramètres!$A$1:$I$89,5,0)</f>
        <v>119.69567999999995</v>
      </c>
      <c r="DQ62" s="14">
        <f t="shared" si="43"/>
        <v>31.604011165765666</v>
      </c>
      <c r="DR62" s="22">
        <f t="shared" si="16"/>
        <v>263.51362878037509</v>
      </c>
      <c r="DS62" s="62">
        <f t="shared" si="17"/>
        <v>524.20303597421787</v>
      </c>
      <c r="DT62" s="62">
        <f ca="1">AVERAGE(OFFSET($DS$3,0,0,'Données projet'!$E$14+1,1))-AVERAGE(OFFSET($H$3,0,0,'Données projet'!$E$14+1,1))</f>
        <v>315.12428188060306</v>
      </c>
      <c r="DU62" s="62">
        <f t="shared" si="44"/>
        <v>186.08400677811986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5.2564102564102537</v>
      </c>
      <c r="EJ62" s="13">
        <f>IF('Données projet'!$A$192&gt;35,EJ61+EI62-ER61,IF(A62&lt;'Données projet'!$A$192,$EG$205^A62,IF(A62='Données projet'!$A$192,'Données projet'!$B$192,EJ61+EI62-ER61)))</f>
        <v>228.07692307692295</v>
      </c>
      <c r="EK62" s="18">
        <f>EJ62*VLOOKUP('Données projet'!$B$15,Paramètres!$A$1:$I$89,3,0)*VLOOKUP('Données projet'!$B$15,Paramètres!$A$1:$I$89,5,0)</f>
        <v>238.38599999999991</v>
      </c>
      <c r="EL62" s="14">
        <f t="shared" si="45"/>
        <v>58.092134262616966</v>
      </c>
      <c r="EM62" s="22">
        <f t="shared" si="19"/>
        <v>516.3660838407244</v>
      </c>
      <c r="EN62" s="62">
        <f t="shared" si="20"/>
        <v>777.05549103456724</v>
      </c>
      <c r="EO62" s="62">
        <f ca="1">AVERAGE(OFFSET($EN$3,0,0,'Données projet'!$E$15+1,1))-AVERAGE(OFFSET($H$3,0,0,'Données projet'!$E$15+1,1))</f>
        <v>530.77325763685963</v>
      </c>
      <c r="EP62" s="62">
        <f t="shared" si="46"/>
        <v>344.23100274990145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90.580021122303947</v>
      </c>
      <c r="T63" s="62">
        <f t="shared" si="34"/>
        <v>375.77399473907451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35.77124939164873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7.1466337283824886E-6</v>
      </c>
      <c r="AC63" s="24">
        <f t="shared" si="3"/>
        <v>35.771256538282458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87.3677313039193</v>
      </c>
      <c r="AO63" s="62">
        <f t="shared" si="36"/>
        <v>326.27342751542903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30.558281725766374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30.558281725766374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254.91239442958343</v>
      </c>
      <c r="BJ63" s="62">
        <f t="shared" si="38"/>
        <v>361.41009011468407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238.29000000000002</v>
      </c>
      <c r="CA63" s="14">
        <f t="shared" si="39"/>
        <v>58.071462681001513</v>
      </c>
      <c r="CB63" s="22">
        <f t="shared" si="10"/>
        <v>516.16288083607753</v>
      </c>
      <c r="CC63" s="62">
        <f t="shared" si="11"/>
        <v>777.41858716755496</v>
      </c>
      <c r="CD63" s="62">
        <f ca="1">AVERAGE(OFFSET($CC$3,0,0,'Données projet'!$E$12+1,1))-AVERAGE(OFFSET($H$3,0,0,'Données projet'!$E$12+1,1))</f>
        <v>516.30971934066179</v>
      </c>
      <c r="CE63" s="62">
        <f t="shared" si="40"/>
        <v>290.84286505723571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149</v>
      </c>
      <c r="CR63" s="13">
        <f>VLOOKUP(A63,'Données projet'!$A$139:$I$159,9,0)</f>
        <v>3.2</v>
      </c>
      <c r="CS63" s="13">
        <f t="array" ref="CS63">INDEX(CR:CR,MIN(IF(ISNUMBER(CR63:CR259),ROW(CR63:CR259),"")))</f>
        <v>3.2</v>
      </c>
      <c r="CT63" s="13">
        <f>IF('Données projet'!$A$140&gt;35,CT62+CS63-DB62,IF(A63&lt;'Données projet'!$A$140,$CQ$205^A63,IF(A63='Données projet'!$A$140,'Données projet'!$B$140,CT62+CS63-DB62)))</f>
        <v>148.99999999999991</v>
      </c>
      <c r="CU63" s="18">
        <f>CT63*VLOOKUP('Données projet'!$B$13,Paramètres!$A$1:$I$89,3,0)*VLOOKUP('Données projet'!$B$13,Paramètres!$A$1:$I$89,5,0)</f>
        <v>130.16639999999992</v>
      </c>
      <c r="CV63" s="14">
        <f t="shared" si="41"/>
        <v>34.034806623706274</v>
      </c>
      <c r="CW63" s="22">
        <f t="shared" si="13"/>
        <v>285.98376820295493</v>
      </c>
      <c r="CX63" s="62">
        <f t="shared" si="14"/>
        <v>547.23947453443247</v>
      </c>
      <c r="CY63" s="62">
        <f ca="1">AVERAGE(OFFSET($CX$3,0,0,'Données projet'!$E$13+1,1))-AVERAGE(OFFSET($H$3,0,0,'Données projet'!$E$13+1,1))</f>
        <v>226.76930997889059</v>
      </c>
      <c r="CZ63" s="62">
        <f t="shared" si="42"/>
        <v>236.36066378969329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16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115</v>
      </c>
      <c r="DM63" s="13">
        <f>VLOOKUP(A63,'Données projet'!$A$165:$I$185,9,0)</f>
        <v>3.8</v>
      </c>
      <c r="DN63" s="13">
        <f t="array" ref="DN63">INDEX(DM:DM,MIN(IF(ISNUMBER(DM63:DM259),ROW(DM63:DM259),"")))</f>
        <v>3.8</v>
      </c>
      <c r="DO63" s="13">
        <f>IF('Données projet'!$A$166&gt;35,DO62+DN63-DW62,IF(A63&lt;'Données projet'!$A$166,$DL$205^A63,IF(A63='Données projet'!$A$166,'Données projet'!$B$166,DO62+DN63-DW62)))</f>
        <v>114.99999999999996</v>
      </c>
      <c r="DP63" s="18">
        <f>DO63*VLOOKUP('Données projet'!$B$14,Paramètres!$A$1:$I$89,3,0)*VLOOKUP('Données projet'!$B$14,Paramètres!$A$1:$I$89,5,0)</f>
        <v>123.78599999999994</v>
      </c>
      <c r="DQ63" s="14">
        <f t="shared" si="43"/>
        <v>32.556418931566412</v>
      </c>
      <c r="DR63" s="22">
        <f t="shared" si="16"/>
        <v>272.29637963914473</v>
      </c>
      <c r="DS63" s="62">
        <f t="shared" si="17"/>
        <v>533.55208597062222</v>
      </c>
      <c r="DT63" s="62">
        <f ca="1">AVERAGE(OFFSET($DS$3,0,0,'Données projet'!$E$14+1,1))-AVERAGE(OFFSET($H$3,0,0,'Données projet'!$E$14+1,1))</f>
        <v>315.12428188060306</v>
      </c>
      <c r="DU63" s="62">
        <f t="shared" si="44"/>
        <v>186.08400677811986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233.33333333333331</v>
      </c>
      <c r="EH63" s="13">
        <f>VLOOKUP(A63,'Données projet'!$A$191:$I$211,9,0)</f>
        <v>5.2564102564102537</v>
      </c>
      <c r="EI63" s="13">
        <f t="array" ref="EI63">INDEX(EH:EH,MIN(IF(ISNUMBER(EH63:EH259),ROW(EH63:EH259),"")))</f>
        <v>5.2564102564102537</v>
      </c>
      <c r="EJ63" s="13">
        <f>IF('Données projet'!$A$192&gt;35,EJ62+EI63-ER62,IF(A63&lt;'Données projet'!$A$192,$EG$205^A63,IF(A63='Données projet'!$A$192,'Données projet'!$B$192,EJ62+EI63-ER62)))</f>
        <v>233.3333333333332</v>
      </c>
      <c r="EK63" s="18">
        <f>EJ63*VLOOKUP('Données projet'!$B$15,Paramètres!$A$1:$I$89,3,0)*VLOOKUP('Données projet'!$B$15,Paramètres!$A$1:$I$89,5,0)</f>
        <v>243.87999999999988</v>
      </c>
      <c r="EL63" s="14">
        <f t="shared" si="45"/>
        <v>59.2735506045045</v>
      </c>
      <c r="EM63" s="22">
        <f t="shared" si="19"/>
        <v>527.99243396951181</v>
      </c>
      <c r="EN63" s="62">
        <f t="shared" si="20"/>
        <v>789.24814030098923</v>
      </c>
      <c r="EO63" s="62">
        <f ca="1">AVERAGE(OFFSET($EN$3,0,0,'Données projet'!$E$15+1,1))-AVERAGE(OFFSET($H$3,0,0,'Données projet'!$E$15+1,1))</f>
        <v>530.77325763685963</v>
      </c>
      <c r="EP63" s="62">
        <f t="shared" si="46"/>
        <v>344.23100274990145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24.358974358974358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90.580021122303947</v>
      </c>
      <c r="T64" s="62">
        <f t="shared" si="34"/>
        <v>375.77399473907451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35.069797009386249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5.0534331719957566E-6</v>
      </c>
      <c r="AC64" s="24">
        <f t="shared" si="3"/>
        <v>35.06980206281942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87.3677313039193</v>
      </c>
      <c r="AO64" s="62">
        <f t="shared" si="36"/>
        <v>326.27342751542903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29.959052459835529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29.959052459835529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254.91239442958343</v>
      </c>
      <c r="BJ64" s="62">
        <f t="shared" si="38"/>
        <v>361.41009011468407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203.00279999999995</v>
      </c>
      <c r="CA64" s="14">
        <f t="shared" si="39"/>
        <v>50.403518824343074</v>
      </c>
      <c r="CB64" s="22">
        <f t="shared" si="10"/>
        <v>441.3493386190641</v>
      </c>
      <c r="CC64" s="62">
        <f t="shared" si="11"/>
        <v>703.16152006419338</v>
      </c>
      <c r="CD64" s="62">
        <f ca="1">AVERAGE(OFFSET($CC$3,0,0,'Données projet'!$E$12+1,1))-AVERAGE(OFFSET($H$3,0,0,'Données projet'!$E$12+1,1))</f>
        <v>516.30971934066179</v>
      </c>
      <c r="CE64" s="62">
        <f t="shared" si="40"/>
        <v>290.84286505723571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2.6</v>
      </c>
      <c r="CT64" s="13">
        <f>IF('Données projet'!$A$140&gt;35,CT63+CS64-DB63,IF(A64&lt;'Données projet'!$A$140,$CQ$205^A64,IF(A64='Données projet'!$A$140,'Données projet'!$B$140,CT63+CS64-DB63)))</f>
        <v>135.59999999999991</v>
      </c>
      <c r="CU64" s="18">
        <f>CT64*VLOOKUP('Données projet'!$B$13,Paramètres!$A$1:$I$89,3,0)*VLOOKUP('Données projet'!$B$13,Paramètres!$A$1:$I$89,5,0)</f>
        <v>118.46015999999993</v>
      </c>
      <c r="CV64" s="14">
        <f t="shared" si="41"/>
        <v>31.315587396029649</v>
      </c>
      <c r="CW64" s="22">
        <f t="shared" si="13"/>
        <v>260.85942671475146</v>
      </c>
      <c r="CX64" s="62">
        <f t="shared" si="14"/>
        <v>522.67160815988086</v>
      </c>
      <c r="CY64" s="62">
        <f ca="1">AVERAGE(OFFSET($CX$3,0,0,'Données projet'!$E$13+1,1))-AVERAGE(OFFSET($H$3,0,0,'Données projet'!$E$13+1,1))</f>
        <v>226.76930997889059</v>
      </c>
      <c r="CZ64" s="62">
        <f t="shared" si="42"/>
        <v>236.36066378969329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3.8</v>
      </c>
      <c r="DO64" s="13">
        <f>IF('Données projet'!$A$166&gt;35,DO63+DN64-DW63,IF(A64&lt;'Données projet'!$A$166,$DL$205^A64,IF(A64='Données projet'!$A$166,'Données projet'!$B$166,DO63+DN64-DW63)))</f>
        <v>118.79999999999995</v>
      </c>
      <c r="DP64" s="18">
        <f>DO64*VLOOKUP('Données projet'!$B$14,Paramètres!$A$1:$I$89,3,0)*VLOOKUP('Données projet'!$B$14,Paramètres!$A$1:$I$89,5,0)</f>
        <v>127.87631999999995</v>
      </c>
      <c r="DQ64" s="14">
        <f t="shared" si="43"/>
        <v>33.505169821414185</v>
      </c>
      <c r="DR64" s="22">
        <f t="shared" si="16"/>
        <v>281.07276143896291</v>
      </c>
      <c r="DS64" s="62">
        <f t="shared" si="17"/>
        <v>542.8849428840922</v>
      </c>
      <c r="DT64" s="62">
        <f ca="1">AVERAGE(OFFSET($DS$3,0,0,'Données projet'!$E$14+1,1))-AVERAGE(OFFSET($H$3,0,0,'Données projet'!$E$14+1,1))</f>
        <v>315.12428188060306</v>
      </c>
      <c r="DU64" s="62">
        <f t="shared" si="44"/>
        <v>186.08400677811986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5.0000000000000053</v>
      </c>
      <c r="EJ64" s="13">
        <f>IF('Données projet'!$A$192&gt;35,EJ63+EI64-ER63,IF(A64&lt;'Données projet'!$A$192,$EG$205^A64,IF(A64='Données projet'!$A$192,'Données projet'!$B$192,EJ63+EI64-ER63)))</f>
        <v>213.97435897435884</v>
      </c>
      <c r="EK64" s="18">
        <f>EJ64*VLOOKUP('Données projet'!$B$15,Paramètres!$A$1:$I$89,3,0)*VLOOKUP('Données projet'!$B$15,Paramètres!$A$1:$I$89,5,0)</f>
        <v>223.64599999999987</v>
      </c>
      <c r="EL64" s="14">
        <f t="shared" si="45"/>
        <v>54.906566144961104</v>
      </c>
      <c r="EM64" s="22">
        <f t="shared" si="19"/>
        <v>485.14571936914029</v>
      </c>
      <c r="EN64" s="62">
        <f t="shared" si="20"/>
        <v>746.95790081426958</v>
      </c>
      <c r="EO64" s="62">
        <f ca="1">AVERAGE(OFFSET($EN$3,0,0,'Données projet'!$E$15+1,1))-AVERAGE(OFFSET($H$3,0,0,'Données projet'!$E$15+1,1))</f>
        <v>530.77325763685963</v>
      </c>
      <c r="EP64" s="62">
        <f t="shared" si="46"/>
        <v>344.23100274990145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90.580021122303947</v>
      </c>
      <c r="T65" s="62">
        <f t="shared" si="34"/>
        <v>375.77399473907451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34.382099680496225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3.5733168641912443E-6</v>
      </c>
      <c r="AC65" s="24">
        <f t="shared" si="3"/>
        <v>34.382103253813092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87.3677313039193</v>
      </c>
      <c r="AO65" s="62">
        <f t="shared" si="36"/>
        <v>326.27342751542903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29.371573714315826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29.371573714315826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254.91239442958343</v>
      </c>
      <c r="BJ65" s="62">
        <f t="shared" si="38"/>
        <v>361.41009011468407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210.30359999999996</v>
      </c>
      <c r="CA65" s="14">
        <f t="shared" si="39"/>
        <v>52.001924357524459</v>
      </c>
      <c r="CB65" s="22">
        <f t="shared" si="10"/>
        <v>456.84878825602163</v>
      </c>
      <c r="CC65" s="62">
        <f t="shared" si="11"/>
        <v>719.20779121567296</v>
      </c>
      <c r="CD65" s="62">
        <f ca="1">AVERAGE(OFFSET($CC$3,0,0,'Données projet'!$E$12+1,1))-AVERAGE(OFFSET($H$3,0,0,'Données projet'!$E$12+1,1))</f>
        <v>516.30971934066179</v>
      </c>
      <c r="CE65" s="62">
        <f t="shared" si="40"/>
        <v>290.84286505723571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2.6</v>
      </c>
      <c r="CT65" s="13">
        <f>IF('Données projet'!$A$140&gt;35,CT64+CS65-DB64,IF(A65&lt;'Données projet'!$A$140,$CQ$205^A65,IF(A65='Données projet'!$A$140,'Données projet'!$B$140,CT64+CS65-DB64)))</f>
        <v>138.1999999999999</v>
      </c>
      <c r="CU65" s="18">
        <f>CT65*VLOOKUP('Données projet'!$B$13,Paramètres!$A$1:$I$89,3,0)*VLOOKUP('Données projet'!$B$13,Paramètres!$A$1:$I$89,5,0)</f>
        <v>120.73151999999993</v>
      </c>
      <c r="CV65" s="14">
        <f t="shared" si="41"/>
        <v>31.845553926050336</v>
      </c>
      <c r="CW65" s="22">
        <f t="shared" si="13"/>
        <v>265.73840375453756</v>
      </c>
      <c r="CX65" s="62">
        <f t="shared" si="14"/>
        <v>528.09740671418888</v>
      </c>
      <c r="CY65" s="62">
        <f ca="1">AVERAGE(OFFSET($CX$3,0,0,'Données projet'!$E$13+1,1))-AVERAGE(OFFSET($H$3,0,0,'Données projet'!$E$13+1,1))</f>
        <v>226.76930997889059</v>
      </c>
      <c r="CZ65" s="62">
        <f t="shared" si="42"/>
        <v>236.36066378969329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3.8</v>
      </c>
      <c r="DO65" s="13">
        <f>IF('Données projet'!$A$166&gt;35,DO64+DN65-DW64,IF(A65&lt;'Données projet'!$A$166,$DL$205^A65,IF(A65='Données projet'!$A$166,'Données projet'!$B$166,DO64+DN65-DW64)))</f>
        <v>122.59999999999995</v>
      </c>
      <c r="DP65" s="18">
        <f>DO65*VLOOKUP('Données projet'!$B$14,Paramètres!$A$1:$I$89,3,0)*VLOOKUP('Données projet'!$B$14,Paramètres!$A$1:$I$89,5,0)</f>
        <v>131.96663999999996</v>
      </c>
      <c r="DQ65" s="14">
        <f t="shared" si="43"/>
        <v>34.450394223819067</v>
      </c>
      <c r="DR65" s="22">
        <f t="shared" si="16"/>
        <v>289.84300127315146</v>
      </c>
      <c r="DS65" s="62">
        <f t="shared" si="17"/>
        <v>552.20200423280278</v>
      </c>
      <c r="DT65" s="62">
        <f ca="1">AVERAGE(OFFSET($DS$3,0,0,'Données projet'!$E$14+1,1))-AVERAGE(OFFSET($H$3,0,0,'Données projet'!$E$14+1,1))</f>
        <v>315.12428188060306</v>
      </c>
      <c r="DU65" s="62">
        <f t="shared" si="44"/>
        <v>186.08400677811986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5.0000000000000053</v>
      </c>
      <c r="EJ65" s="13">
        <f>IF('Données projet'!$A$192&gt;35,EJ64+EI65-ER64,IF(A65&lt;'Données projet'!$A$192,$EG$205^A65,IF(A65='Données projet'!$A$192,'Données projet'!$B$192,EJ64+EI65-ER64)))</f>
        <v>218.97435897435884</v>
      </c>
      <c r="EK65" s="18">
        <f>EJ65*VLOOKUP('Données projet'!$B$15,Paramètres!$A$1:$I$89,3,0)*VLOOKUP('Données projet'!$B$15,Paramètres!$A$1:$I$89,5,0)</f>
        <v>228.87199999999987</v>
      </c>
      <c r="EL65" s="14">
        <f t="shared" si="45"/>
        <v>56.038711813998113</v>
      </c>
      <c r="EM65" s="22">
        <f t="shared" si="19"/>
        <v>496.21948974271317</v>
      </c>
      <c r="EN65" s="62">
        <f t="shared" si="20"/>
        <v>758.57849270236443</v>
      </c>
      <c r="EO65" s="62">
        <f ca="1">AVERAGE(OFFSET($EN$3,0,0,'Données projet'!$E$15+1,1))-AVERAGE(OFFSET($H$3,0,0,'Données projet'!$E$15+1,1))</f>
        <v>530.77325763685963</v>
      </c>
      <c r="EP65" s="62">
        <f t="shared" si="46"/>
        <v>344.23100274990145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90.580021122303947</v>
      </c>
      <c r="T66" s="62">
        <f t="shared" si="34"/>
        <v>375.77399473907451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33.707887676771783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2.5267165859978783E-6</v>
      </c>
      <c r="AC66" s="24">
        <f t="shared" si="3"/>
        <v>33.707890203488368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87.3677313039193</v>
      </c>
      <c r="AO66" s="62">
        <f t="shared" si="36"/>
        <v>326.27342751542903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28.795615068669111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28.795615068669111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254.91239442958343</v>
      </c>
      <c r="BJ66" s="62">
        <f t="shared" si="38"/>
        <v>361.41009011468407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217.60439999999994</v>
      </c>
      <c r="CA66" s="14">
        <f t="shared" si="39"/>
        <v>53.593882578706356</v>
      </c>
      <c r="CB66" s="22">
        <f t="shared" si="10"/>
        <v>472.33700882458015</v>
      </c>
      <c r="CC66" s="62">
        <f t="shared" si="11"/>
        <v>735.23334716798627</v>
      </c>
      <c r="CD66" s="62">
        <f ca="1">AVERAGE(OFFSET($CC$3,0,0,'Données projet'!$E$12+1,1))-AVERAGE(OFFSET($H$3,0,0,'Données projet'!$E$12+1,1))</f>
        <v>516.30971934066179</v>
      </c>
      <c r="CE66" s="62">
        <f t="shared" si="40"/>
        <v>290.84286505723571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2.6</v>
      </c>
      <c r="CT66" s="13">
        <f>IF('Données projet'!$A$140&gt;35,CT65+CS66-DB65,IF(A66&lt;'Données projet'!$A$140,$CQ$205^A66,IF(A66='Données projet'!$A$140,'Données projet'!$B$140,CT65+CS66-DB65)))</f>
        <v>140.7999999999999</v>
      </c>
      <c r="CU66" s="18">
        <f>CT66*VLOOKUP('Données projet'!$B$13,Paramètres!$A$1:$I$89,3,0)*VLOOKUP('Données projet'!$B$13,Paramètres!$A$1:$I$89,5,0)</f>
        <v>123.00287999999993</v>
      </c>
      <c r="CV66" s="14">
        <f t="shared" si="41"/>
        <v>32.374361095906139</v>
      </c>
      <c r="CW66" s="22">
        <f t="shared" si="13"/>
        <v>270.61536157536972</v>
      </c>
      <c r="CX66" s="62">
        <f t="shared" si="14"/>
        <v>533.51169991877578</v>
      </c>
      <c r="CY66" s="62">
        <f ca="1">AVERAGE(OFFSET($CX$3,0,0,'Données projet'!$E$13+1,1))-AVERAGE(OFFSET($H$3,0,0,'Données projet'!$E$13+1,1))</f>
        <v>226.76930997889059</v>
      </c>
      <c r="CZ66" s="62">
        <f t="shared" si="42"/>
        <v>236.36066378969329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3.8</v>
      </c>
      <c r="DO66" s="13">
        <f>IF('Données projet'!$A$166&gt;35,DO65+DN66-DW65,IF(A66&lt;'Données projet'!$A$166,$DL$205^A66,IF(A66='Données projet'!$A$166,'Données projet'!$B$166,DO65+DN66-DW65)))</f>
        <v>126.39999999999995</v>
      </c>
      <c r="DP66" s="18">
        <f>DO66*VLOOKUP('Données projet'!$B$14,Paramètres!$A$1:$I$89,3,0)*VLOOKUP('Données projet'!$B$14,Paramètres!$A$1:$I$89,5,0)</f>
        <v>136.05695999999992</v>
      </c>
      <c r="DQ66" s="14">
        <f t="shared" si="43"/>
        <v>35.392213985322201</v>
      </c>
      <c r="DR66" s="22">
        <f t="shared" si="16"/>
        <v>298.60731135776933</v>
      </c>
      <c r="DS66" s="62">
        <f t="shared" si="17"/>
        <v>561.50364970117539</v>
      </c>
      <c r="DT66" s="62">
        <f ca="1">AVERAGE(OFFSET($DS$3,0,0,'Données projet'!$E$14+1,1))-AVERAGE(OFFSET($H$3,0,0,'Données projet'!$E$14+1,1))</f>
        <v>315.12428188060306</v>
      </c>
      <c r="DU66" s="62">
        <f t="shared" si="44"/>
        <v>186.08400677811986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5.0000000000000053</v>
      </c>
      <c r="EJ66" s="13">
        <f>IF('Données projet'!$A$192&gt;35,EJ65+EI66-ER65,IF(A66&lt;'Données projet'!$A$192,$EG$205^A66,IF(A66='Données projet'!$A$192,'Données projet'!$B$192,EJ65+EI66-ER65)))</f>
        <v>223.97435897435884</v>
      </c>
      <c r="EK66" s="18">
        <f>EJ66*VLOOKUP('Données projet'!$B$15,Paramètres!$A$1:$I$89,3,0)*VLOOKUP('Données projet'!$B$15,Paramètres!$A$1:$I$89,5,0)</f>
        <v>234.09799999999987</v>
      </c>
      <c r="EL66" s="14">
        <f t="shared" si="45"/>
        <v>57.167852134096286</v>
      </c>
      <c r="EM66" s="22">
        <f t="shared" si="19"/>
        <v>507.28802580021755</v>
      </c>
      <c r="EN66" s="62">
        <f t="shared" si="20"/>
        <v>770.18436414362372</v>
      </c>
      <c r="EO66" s="62">
        <f ca="1">AVERAGE(OFFSET($EN$3,0,0,'Données projet'!$E$15+1,1))-AVERAGE(OFFSET($H$3,0,0,'Données projet'!$E$15+1,1))</f>
        <v>530.77325763685963</v>
      </c>
      <c r="EP66" s="62">
        <f t="shared" si="46"/>
        <v>344.23100274990145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90.580021122303947</v>
      </c>
      <c r="T67" s="62">
        <f t="shared" si="34"/>
        <v>375.77399473907451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33.04689655921166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1.7866584320956221E-6</v>
      </c>
      <c r="AC67" s="24">
        <f t="shared" si="3"/>
        <v>33.04689834587009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87.3677313039193</v>
      </c>
      <c r="AO67" s="62">
        <f t="shared" si="36"/>
        <v>326.27342751542903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28.230950620763441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28.230950620763441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254.91239442958343</v>
      </c>
      <c r="BJ67" s="62">
        <f t="shared" si="38"/>
        <v>361.41009011468407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224.90519999999995</v>
      </c>
      <c r="CA67" s="14">
        <f t="shared" si="39"/>
        <v>55.17963460003309</v>
      </c>
      <c r="CB67" s="22">
        <f t="shared" si="10"/>
        <v>487.81442026172425</v>
      </c>
      <c r="CC67" s="62">
        <f t="shared" si="11"/>
        <v>751.23877242127901</v>
      </c>
      <c r="CD67" s="62">
        <f ca="1">AVERAGE(OFFSET($CC$3,0,0,'Données projet'!$E$12+1,1))-AVERAGE(OFFSET($H$3,0,0,'Données projet'!$E$12+1,1))</f>
        <v>516.30971934066179</v>
      </c>
      <c r="CE67" s="62">
        <f t="shared" si="40"/>
        <v>290.84286505723571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2.6</v>
      </c>
      <c r="CT67" s="13">
        <f>IF('Données projet'!$A$140&gt;35,CT66+CS67-DB66,IF(A67&lt;'Données projet'!$A$140,$CQ$205^A67,IF(A67='Données projet'!$A$140,'Données projet'!$B$140,CT66+CS67-DB66)))</f>
        <v>143.39999999999989</v>
      </c>
      <c r="CU67" s="18">
        <f>CT67*VLOOKUP('Données projet'!$B$13,Paramètres!$A$1:$I$89,3,0)*VLOOKUP('Données projet'!$B$13,Paramètres!$A$1:$I$89,5,0)</f>
        <v>125.27423999999992</v>
      </c>
      <c r="CV67" s="14">
        <f t="shared" si="41"/>
        <v>32.902032783270968</v>
      </c>
      <c r="CW67" s="22">
        <f t="shared" si="13"/>
        <v>275.49034176419678</v>
      </c>
      <c r="CX67" s="62">
        <f t="shared" si="14"/>
        <v>538.91469392375154</v>
      </c>
      <c r="CY67" s="62">
        <f ca="1">AVERAGE(OFFSET($CX$3,0,0,'Données projet'!$E$13+1,1))-AVERAGE(OFFSET($H$3,0,0,'Données projet'!$E$13+1,1))</f>
        <v>226.76930997889059</v>
      </c>
      <c r="CZ67" s="62">
        <f t="shared" si="42"/>
        <v>236.36066378969329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3.8</v>
      </c>
      <c r="DO67" s="13">
        <f>IF('Données projet'!$A$166&gt;35,DO66+DN67-DW66,IF(A67&lt;'Données projet'!$A$166,$DL$205^A67,IF(A67='Données projet'!$A$166,'Données projet'!$B$166,DO66+DN67-DW66)))</f>
        <v>130.19999999999996</v>
      </c>
      <c r="DP67" s="18">
        <f>DO67*VLOOKUP('Données projet'!$B$14,Paramètres!$A$1:$I$89,3,0)*VLOOKUP('Données projet'!$B$14,Paramètres!$A$1:$I$89,5,0)</f>
        <v>140.14727999999994</v>
      </c>
      <c r="DQ67" s="14">
        <f t="shared" si="43"/>
        <v>36.330743209877255</v>
      </c>
      <c r="DR67" s="22">
        <f t="shared" si="16"/>
        <v>307.36589042386942</v>
      </c>
      <c r="DS67" s="62">
        <f t="shared" si="17"/>
        <v>570.79024258342417</v>
      </c>
      <c r="DT67" s="62">
        <f ca="1">AVERAGE(OFFSET($DS$3,0,0,'Données projet'!$E$14+1,1))-AVERAGE(OFFSET($H$3,0,0,'Données projet'!$E$14+1,1))</f>
        <v>315.12428188060306</v>
      </c>
      <c r="DU67" s="62">
        <f t="shared" si="44"/>
        <v>186.08400677811986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5.0000000000000053</v>
      </c>
      <c r="EJ67" s="13">
        <f>IF('Données projet'!$A$192&gt;35,EJ66+EI67-ER66,IF(A67&lt;'Données projet'!$A$192,$EG$205^A67,IF(A67='Données projet'!$A$192,'Données projet'!$B$192,EJ66+EI67-ER66)))</f>
        <v>228.97435897435884</v>
      </c>
      <c r="EK67" s="18">
        <f>EJ67*VLOOKUP('Données projet'!$B$15,Paramètres!$A$1:$I$89,3,0)*VLOOKUP('Données projet'!$B$15,Paramètres!$A$1:$I$89,5,0)</f>
        <v>239.32399999999987</v>
      </c>
      <c r="EL67" s="14">
        <f t="shared" si="45"/>
        <v>58.294061921376255</v>
      </c>
      <c r="EM67" s="22">
        <f t="shared" si="19"/>
        <v>518.35145784639667</v>
      </c>
      <c r="EN67" s="62">
        <f t="shared" si="20"/>
        <v>781.77581000595137</v>
      </c>
      <c r="EO67" s="62">
        <f ca="1">AVERAGE(OFFSET($EN$3,0,0,'Données projet'!$E$15+1,1))-AVERAGE(OFFSET($H$3,0,0,'Données projet'!$E$15+1,1))</f>
        <v>530.77325763685963</v>
      </c>
      <c r="EP67" s="62">
        <f t="shared" si="46"/>
        <v>344.23100274990145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90.580021122303947</v>
      </c>
      <c r="T68" s="62">
        <f t="shared" si="34"/>
        <v>375.77399473907451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32.398867074302117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1.2633582929989392E-6</v>
      </c>
      <c r="AC68" s="24">
        <f t="shared" ref="AC68:AC131" si="57">SUM(Z68:AB68)</f>
        <v>32.39886833766041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87.3677313039193</v>
      </c>
      <c r="AO68" s="62">
        <f t="shared" si="36"/>
        <v>326.27342751542903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27.677358898269894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27.677358898269894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254.91239442958343</v>
      </c>
      <c r="BJ68" s="62">
        <f t="shared" si="38"/>
        <v>361.41009011468407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232.2059999999999</v>
      </c>
      <c r="CA68" s="14">
        <f t="shared" si="39"/>
        <v>56.759404991217522</v>
      </c>
      <c r="CB68" s="22">
        <f t="shared" ref="CB68:CB131" si="64">(BZ68+CA68)*0.475*44/12</f>
        <v>503.281413693037</v>
      </c>
      <c r="CC68" s="62">
        <f t="shared" ref="CC68:CC131" si="65">CB68+(BT68+BU68)*44/12</f>
        <v>767.2246198094922</v>
      </c>
      <c r="CD68" s="62">
        <f ca="1">AVERAGE(OFFSET($CC$3,0,0,'Données projet'!$E$12+1,1))-AVERAGE(OFFSET($H$3,0,0,'Données projet'!$E$12+1,1))</f>
        <v>516.30971934066179</v>
      </c>
      <c r="CE68" s="62">
        <f t="shared" si="40"/>
        <v>290.84286505723571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146</v>
      </c>
      <c r="CR68" s="13">
        <f>VLOOKUP(A68,'Données projet'!$A$139:$I$159,9,0)</f>
        <v>2.6</v>
      </c>
      <c r="CS68" s="13">
        <f t="array" ref="CS68">INDEX(CR:CR,MIN(IF(ISNUMBER(CR68:CR264),ROW(CR68:CR264),"")))</f>
        <v>2.6</v>
      </c>
      <c r="CT68" s="13">
        <f>IF('Données projet'!$A$140&gt;35,CT67+CS68-DB67,IF(A68&lt;'Données projet'!$A$140,$CQ$205^A68,IF(A68='Données projet'!$A$140,'Données projet'!$B$140,CT67+CS68-DB67)))</f>
        <v>145.99999999999989</v>
      </c>
      <c r="CU68" s="18">
        <f>CT68*VLOOKUP('Données projet'!$B$13,Paramètres!$A$1:$I$89,3,0)*VLOOKUP('Données projet'!$B$13,Paramètres!$A$1:$I$89,5,0)</f>
        <v>127.54559999999992</v>
      </c>
      <c r="CV68" s="14">
        <f t="shared" si="41"/>
        <v>33.428591950384806</v>
      </c>
      <c r="CW68" s="22">
        <f t="shared" ref="CW68:CW131" si="67">(CU68+CV68)*0.475*44/12</f>
        <v>280.36338431358672</v>
      </c>
      <c r="CX68" s="62">
        <f t="shared" ref="CX68:CX131" si="68">CW68+(CO68+CP68)*44/12</f>
        <v>544.30659043004198</v>
      </c>
      <c r="CY68" s="62">
        <f ca="1">AVERAGE(OFFSET($CX$3,0,0,'Données projet'!$E$13+1,1))-AVERAGE(OFFSET($H$3,0,0,'Données projet'!$E$13+1,1))</f>
        <v>226.76930997889059</v>
      </c>
      <c r="CZ68" s="62">
        <f t="shared" si="42"/>
        <v>236.36066378969329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134</v>
      </c>
      <c r="DM68" s="13">
        <f>VLOOKUP(A68,'Données projet'!$A$165:$I$185,9,0)</f>
        <v>3.8</v>
      </c>
      <c r="DN68" s="13">
        <f t="array" ref="DN68">INDEX(DM:DM,MIN(IF(ISNUMBER(DM68:DM264),ROW(DM68:DM264),"")))</f>
        <v>3.8</v>
      </c>
      <c r="DO68" s="13">
        <f>IF('Données projet'!$A$166&gt;35,DO67+DN68-DW67,IF(A68&lt;'Données projet'!$A$166,$DL$205^A68,IF(A68='Données projet'!$A$166,'Données projet'!$B$166,DO67+DN68-DW67)))</f>
        <v>133.99999999999997</v>
      </c>
      <c r="DP68" s="18">
        <f>DO68*VLOOKUP('Données projet'!$B$14,Paramètres!$A$1:$I$89,3,0)*VLOOKUP('Données projet'!$B$14,Paramètres!$A$1:$I$89,5,0)</f>
        <v>144.23759999999999</v>
      </c>
      <c r="DQ68" s="14">
        <f t="shared" si="43"/>
        <v>37.266088962286922</v>
      </c>
      <c r="DR68" s="22">
        <f t="shared" ref="DR68:DR131" si="70">(DP68+DQ68)*0.475*44/12</f>
        <v>316.1189249426497</v>
      </c>
      <c r="DS68" s="62">
        <f t="shared" ref="DS68:DS131" si="71">DR68+(DJ68+DK68)*44/12</f>
        <v>580.0621310591049</v>
      </c>
      <c r="DT68" s="62">
        <f ca="1">AVERAGE(OFFSET($DS$3,0,0,'Données projet'!$E$14+1,1))-AVERAGE(OFFSET($H$3,0,0,'Données projet'!$E$14+1,1))</f>
        <v>315.12428188060306</v>
      </c>
      <c r="DU68" s="62">
        <f t="shared" si="44"/>
        <v>186.08400677811986</v>
      </c>
      <c r="DV68" s="16">
        <f>IF(ISNA(VLOOKUP(A68,'Données projet'!$A$165:$I$185,3,0)),0,VLOOKUP(A68,'Données projet'!$A$165:$I$185,3,0))</f>
        <v>4</v>
      </c>
      <c r="DW68" s="16">
        <f>IF(ISNA(VLOOKUP(A68,'Données projet'!$A$165:$I$185,4,0)),0,VLOOKUP(A68,'Données projet'!$A$165:$I$185,4,0))</f>
        <v>20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233.97435897435898</v>
      </c>
      <c r="EH68" s="13">
        <f>VLOOKUP(A68,'Données projet'!$A$191:$I$211,9,0)</f>
        <v>5.0000000000000053</v>
      </c>
      <c r="EI68" s="13">
        <f t="array" ref="EI68">INDEX(EH:EH,MIN(IF(ISNUMBER(EH68:EH264),ROW(EH68:EH264),"")))</f>
        <v>5.0000000000000053</v>
      </c>
      <c r="EJ68" s="13">
        <f>IF('Données projet'!$A$192&gt;35,EJ67+EI68-ER67,IF(A68&lt;'Données projet'!$A$192,$EG$205^A68,IF(A68='Données projet'!$A$192,'Données projet'!$B$192,EJ67+EI68-ER67)))</f>
        <v>233.97435897435884</v>
      </c>
      <c r="EK68" s="18">
        <f>EJ68*VLOOKUP('Données projet'!$B$15,Paramètres!$A$1:$I$89,3,0)*VLOOKUP('Données projet'!$B$15,Paramètres!$A$1:$I$89,5,0)</f>
        <v>244.5499999999999</v>
      </c>
      <c r="EL68" s="14">
        <f t="shared" si="45"/>
        <v>59.417412537913442</v>
      </c>
      <c r="EM68" s="22">
        <f t="shared" ref="EM68:EM131" si="73">(EK68+EL68)*0.475*44/12</f>
        <v>529.40991017019905</v>
      </c>
      <c r="EN68" s="62">
        <f t="shared" ref="EN68:EN131" si="74">EM68+(EE68+EF68)*44/12</f>
        <v>793.35311628665431</v>
      </c>
      <c r="EO68" s="62">
        <f ca="1">AVERAGE(OFFSET($EN$3,0,0,'Données projet'!$E$15+1,1))-AVERAGE(OFFSET($H$3,0,0,'Données projet'!$E$15+1,1))</f>
        <v>530.77325763685963</v>
      </c>
      <c r="EP68" s="62">
        <f t="shared" si="46"/>
        <v>344.23100274990145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90.580021122303947</v>
      </c>
      <c r="T69" s="62">
        <f t="shared" ref="T69:T132" si="88">$T$3</f>
        <v>375.77399473907451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31.763545052332695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8.9332921604781107E-7</v>
      </c>
      <c r="AC69" s="24">
        <f t="shared" si="57"/>
        <v>31.76354594566191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87.3677313039193</v>
      </c>
      <c r="AO69" s="62">
        <f t="shared" ref="AO69:AO132" si="90">$AO$3</f>
        <v>326.27342751542903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27.134622771796838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27.134622771796838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254.91239442958343</v>
      </c>
      <c r="BJ69" s="62">
        <f t="shared" ref="BJ69:BJ132" si="92">$BJ$3</f>
        <v>361.41009011468407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239.10119999999995</v>
      </c>
      <c r="CA69" s="14">
        <f t="shared" ref="CA69:CA132" si="93">EXP(-1.0587+0.8836*LN(BZ69)+0.284)</f>
        <v>58.246107075777331</v>
      </c>
      <c r="CB69" s="22">
        <f t="shared" si="64"/>
        <v>517.87989315697871</v>
      </c>
      <c r="CC69" s="62">
        <f t="shared" si="65"/>
        <v>782.33295227416579</v>
      </c>
      <c r="CD69" s="62">
        <f ca="1">AVERAGE(OFFSET($CC$3,0,0,'Données projet'!$E$12+1,1))-AVERAGE(OFFSET($H$3,0,0,'Données projet'!$E$12+1,1))</f>
        <v>516.30971934066179</v>
      </c>
      <c r="CE69" s="62">
        <f t="shared" ref="CE69:CE132" si="94">$CE$3</f>
        <v>290.84286505723571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2.2000000000000002</v>
      </c>
      <c r="CT69" s="13">
        <f>IF('Données projet'!$A$140&gt;35,CT68+CS69-DB68,IF(A69&lt;'Données projet'!$A$140,$CQ$205^A69,IF(A69='Données projet'!$A$140,'Données projet'!$B$140,CT68+CS69-DB68)))</f>
        <v>148.19999999999987</v>
      </c>
      <c r="CU69" s="18">
        <f>CT69*VLOOKUP('Données projet'!$B$13,Paramètres!$A$1:$I$89,3,0)*VLOOKUP('Données projet'!$B$13,Paramètres!$A$1:$I$89,5,0)</f>
        <v>129.46751999999989</v>
      </c>
      <c r="CV69" s="14">
        <f t="shared" ref="CV69:CV132" si="95">EXP(-1.0587+0.8836*LN(CU69)+0.284)</f>
        <v>33.873289462262882</v>
      </c>
      <c r="CW69" s="22">
        <f t="shared" si="67"/>
        <v>284.48524314677434</v>
      </c>
      <c r="CX69" s="62">
        <f t="shared" si="68"/>
        <v>548.93830226396142</v>
      </c>
      <c r="CY69" s="62">
        <f ca="1">AVERAGE(OFFSET($CX$3,0,0,'Données projet'!$E$13+1,1))-AVERAGE(OFFSET($H$3,0,0,'Données projet'!$E$13+1,1))</f>
        <v>226.76930997889059</v>
      </c>
      <c r="CZ69" s="62">
        <f t="shared" ref="CZ69:CZ132" si="96">$CZ$3</f>
        <v>236.36066378969329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3.6</v>
      </c>
      <c r="DO69" s="13">
        <f>IF('Données projet'!$A$166&gt;35,DO68+DN69-DW68,IF(A69&lt;'Données projet'!$A$166,$DL$205^A69,IF(A69='Données projet'!$A$166,'Données projet'!$B$166,DO68+DN69-DW68)))</f>
        <v>117.59999999999997</v>
      </c>
      <c r="DP69" s="18">
        <f>DO69*VLOOKUP('Données projet'!$B$14,Paramètres!$A$1:$I$89,3,0)*VLOOKUP('Données projet'!$B$14,Paramètres!$A$1:$I$89,5,0)</f>
        <v>126.58463999999996</v>
      </c>
      <c r="DQ69" s="14">
        <f t="shared" ref="DQ69:DQ132" si="97">EXP(-1.0587+0.8836*LN(DP69)+0.284)</f>
        <v>33.205951254973805</v>
      </c>
      <c r="DR69" s="22">
        <f t="shared" si="70"/>
        <v>278.301946435746</v>
      </c>
      <c r="DS69" s="62">
        <f t="shared" si="71"/>
        <v>542.75500555293308</v>
      </c>
      <c r="DT69" s="62">
        <f ca="1">AVERAGE(OFFSET($DS$3,0,0,'Données projet'!$E$14+1,1))-AVERAGE(OFFSET($H$3,0,0,'Données projet'!$E$14+1,1))</f>
        <v>315.12428188060306</v>
      </c>
      <c r="DU69" s="62">
        <f t="shared" ref="DU69:DU132" si="98">$DU$3</f>
        <v>186.08400677811986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4.8717948717948669</v>
      </c>
      <c r="EJ69" s="13">
        <f>IF('Données projet'!$A$192&gt;35,EJ68+EI69-ER68,IF(A69&lt;'Données projet'!$A$192,$EG$205^A69,IF(A69='Données projet'!$A$192,'Données projet'!$B$192,EJ68+EI69-ER68)))</f>
        <v>238.8461538461537</v>
      </c>
      <c r="EK69" s="18">
        <f>EJ69*VLOOKUP('Données projet'!$B$15,Paramètres!$A$1:$I$89,3,0)*VLOOKUP('Données projet'!$B$15,Paramètres!$A$1:$I$89,5,0)</f>
        <v>249.64199999999988</v>
      </c>
      <c r="EL69" s="14">
        <f t="shared" ref="EL69:EL132" si="99">EXP(-1.0587+0.8836*LN(EK69)+0.284)</f>
        <v>60.509274148016289</v>
      </c>
      <c r="EM69" s="22">
        <f t="shared" si="73"/>
        <v>540.18013580779473</v>
      </c>
      <c r="EN69" s="62">
        <f t="shared" si="74"/>
        <v>804.63319492498181</v>
      </c>
      <c r="EO69" s="62">
        <f ca="1">AVERAGE(OFFSET($EN$3,0,0,'Données projet'!$E$15+1,1))-AVERAGE(OFFSET($H$3,0,0,'Données projet'!$E$15+1,1))</f>
        <v>530.77325763685963</v>
      </c>
      <c r="EP69" s="62">
        <f t="shared" ref="EP69:EP132" si="100">$EP$3</f>
        <v>344.23100274990145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90.580021122303947</v>
      </c>
      <c r="T70" s="62">
        <f t="shared" si="88"/>
        <v>375.77399473907451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31.140681307705925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6.3167914649946958E-7</v>
      </c>
      <c r="AC70" s="24">
        <f t="shared" si="57"/>
        <v>31.140681939385072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87.3677313039193</v>
      </c>
      <c r="AO70" s="62">
        <f t="shared" si="90"/>
        <v>326.27342751542903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26.60252936972757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26.60252936972757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254.91239442958343</v>
      </c>
      <c r="BJ70" s="62">
        <f t="shared" si="92"/>
        <v>361.41009011468407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245.99639999999997</v>
      </c>
      <c r="CA70" s="14">
        <f t="shared" si="93"/>
        <v>59.72782632026442</v>
      </c>
      <c r="CB70" s="22">
        <f t="shared" si="64"/>
        <v>532.46969417446041</v>
      </c>
      <c r="CC70" s="62">
        <f t="shared" si="65"/>
        <v>797.42376148267726</v>
      </c>
      <c r="CD70" s="62">
        <f ca="1">AVERAGE(OFFSET($CC$3,0,0,'Données projet'!$E$12+1,1))-AVERAGE(OFFSET($H$3,0,0,'Données projet'!$E$12+1,1))</f>
        <v>516.30971934066179</v>
      </c>
      <c r="CE70" s="62">
        <f t="shared" si="94"/>
        <v>290.84286505723571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2.2000000000000002</v>
      </c>
      <c r="CT70" s="13">
        <f>IF('Données projet'!$A$140&gt;35,CT69+CS70-DB69,IF(A70&lt;'Données projet'!$A$140,$CQ$205^A70,IF(A70='Données projet'!$A$140,'Données projet'!$B$140,CT69+CS70-DB69)))</f>
        <v>150.39999999999986</v>
      </c>
      <c r="CU70" s="18">
        <f>CT70*VLOOKUP('Données projet'!$B$13,Paramètres!$A$1:$I$89,3,0)*VLOOKUP('Données projet'!$B$13,Paramètres!$A$1:$I$89,5,0)</f>
        <v>131.38943999999989</v>
      </c>
      <c r="CV70" s="14">
        <f t="shared" si="95"/>
        <v>34.317219199328726</v>
      </c>
      <c r="CW70" s="22">
        <f t="shared" si="67"/>
        <v>288.60576477216398</v>
      </c>
      <c r="CX70" s="62">
        <f t="shared" si="68"/>
        <v>553.55983208038083</v>
      </c>
      <c r="CY70" s="62">
        <f ca="1">AVERAGE(OFFSET($CX$3,0,0,'Données projet'!$E$13+1,1))-AVERAGE(OFFSET($H$3,0,0,'Données projet'!$E$13+1,1))</f>
        <v>226.76930997889059</v>
      </c>
      <c r="CZ70" s="62">
        <f t="shared" si="96"/>
        <v>236.36066378969329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3.6</v>
      </c>
      <c r="DO70" s="13">
        <f>IF('Données projet'!$A$166&gt;35,DO69+DN70-DW69,IF(A70&lt;'Données projet'!$A$166,$DL$205^A70,IF(A70='Données projet'!$A$166,'Données projet'!$B$166,DO69+DN70-DW69)))</f>
        <v>121.19999999999996</v>
      </c>
      <c r="DP70" s="18">
        <f>DO70*VLOOKUP('Données projet'!$B$14,Paramètres!$A$1:$I$89,3,0)*VLOOKUP('Données projet'!$B$14,Paramètres!$A$1:$I$89,5,0)</f>
        <v>130.45967999999996</v>
      </c>
      <c r="DQ70" s="14">
        <f t="shared" si="97"/>
        <v>34.102556053254894</v>
      </c>
      <c r="DR70" s="22">
        <f t="shared" si="70"/>
        <v>286.61256112608555</v>
      </c>
      <c r="DS70" s="62">
        <f t="shared" si="71"/>
        <v>551.5666284343024</v>
      </c>
      <c r="DT70" s="62">
        <f ca="1">AVERAGE(OFFSET($DS$3,0,0,'Données projet'!$E$14+1,1))-AVERAGE(OFFSET($H$3,0,0,'Données projet'!$E$14+1,1))</f>
        <v>315.12428188060306</v>
      </c>
      <c r="DU70" s="62">
        <f t="shared" si="98"/>
        <v>186.08400677811986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4.8717948717948669</v>
      </c>
      <c r="EJ70" s="13">
        <f>IF('Données projet'!$A$192&gt;35,EJ69+EI70-ER69,IF(A70&lt;'Données projet'!$A$192,$EG$205^A70,IF(A70='Données projet'!$A$192,'Données projet'!$B$192,EJ69+EI70-ER69)))</f>
        <v>243.71794871794856</v>
      </c>
      <c r="EK70" s="18">
        <f>EJ70*VLOOKUP('Données projet'!$B$15,Paramètres!$A$1:$I$89,3,0)*VLOOKUP('Données projet'!$B$15,Paramètres!$A$1:$I$89,5,0)</f>
        <v>254.73399999999987</v>
      </c>
      <c r="EL70" s="14">
        <f t="shared" si="99"/>
        <v>61.598546307129801</v>
      </c>
      <c r="EM70" s="22">
        <f t="shared" si="73"/>
        <v>550.94585148491763</v>
      </c>
      <c r="EN70" s="62">
        <f t="shared" si="74"/>
        <v>815.89991879313447</v>
      </c>
      <c r="EO70" s="62">
        <f ca="1">AVERAGE(OFFSET($EN$3,0,0,'Données projet'!$E$15+1,1))-AVERAGE(OFFSET($H$3,0,0,'Données projet'!$E$15+1,1))</f>
        <v>530.77325763685963</v>
      </c>
      <c r="EP70" s="62">
        <f t="shared" si="100"/>
        <v>344.23100274990145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90.580021122303947</v>
      </c>
      <c r="T71" s="62">
        <f t="shared" si="88"/>
        <v>375.77399473907451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30.530031541201915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4.4666460802390554E-7</v>
      </c>
      <c r="AC71" s="24">
        <f t="shared" si="57"/>
        <v>30.530031987866522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87.3677313039193</v>
      </c>
      <c r="AO71" s="62">
        <f t="shared" si="90"/>
        <v>326.27342751542903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26.080869994727948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26.080869994727948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254.91239442958343</v>
      </c>
      <c r="BJ71" s="62">
        <f t="shared" si="92"/>
        <v>361.41009011468407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252.89159999999998</v>
      </c>
      <c r="CA71" s="14">
        <f t="shared" si="93"/>
        <v>61.204718436590312</v>
      </c>
      <c r="CB71" s="22">
        <f t="shared" si="64"/>
        <v>547.05108794372802</v>
      </c>
      <c r="CC71" s="62">
        <f t="shared" si="65"/>
        <v>812.49747207094686</v>
      </c>
      <c r="CD71" s="62">
        <f ca="1">AVERAGE(OFFSET($CC$3,0,0,'Données projet'!$E$12+1,1))-AVERAGE(OFFSET($H$3,0,0,'Données projet'!$E$12+1,1))</f>
        <v>516.30971934066179</v>
      </c>
      <c r="CE71" s="62">
        <f t="shared" si="94"/>
        <v>290.84286505723571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2.2000000000000002</v>
      </c>
      <c r="CT71" s="13">
        <f>IF('Données projet'!$A$140&gt;35,CT70+CS71-DB70,IF(A71&lt;'Données projet'!$A$140,$CQ$205^A71,IF(A71='Données projet'!$A$140,'Données projet'!$B$140,CT70+CS71-DB70)))</f>
        <v>152.59999999999985</v>
      </c>
      <c r="CU71" s="18">
        <f>CT71*VLOOKUP('Données projet'!$B$13,Paramètres!$A$1:$I$89,3,0)*VLOOKUP('Données projet'!$B$13,Paramètres!$A$1:$I$89,5,0)</f>
        <v>133.31135999999989</v>
      </c>
      <c r="CV71" s="14">
        <f t="shared" si="95"/>
        <v>34.760393689821598</v>
      </c>
      <c r="CW71" s="22">
        <f t="shared" si="67"/>
        <v>292.72497100977245</v>
      </c>
      <c r="CX71" s="62">
        <f t="shared" si="68"/>
        <v>558.17135513699122</v>
      </c>
      <c r="CY71" s="62">
        <f ca="1">AVERAGE(OFFSET($CX$3,0,0,'Données projet'!$E$13+1,1))-AVERAGE(OFFSET($H$3,0,0,'Données projet'!$E$13+1,1))</f>
        <v>226.76930997889059</v>
      </c>
      <c r="CZ71" s="62">
        <f t="shared" si="96"/>
        <v>236.36066378969329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3.6</v>
      </c>
      <c r="DO71" s="13">
        <f>IF('Données projet'!$A$166&gt;35,DO70+DN71-DW70,IF(A71&lt;'Données projet'!$A$166,$DL$205^A71,IF(A71='Données projet'!$A$166,'Données projet'!$B$166,DO70+DN71-DW70)))</f>
        <v>124.79999999999995</v>
      </c>
      <c r="DP71" s="18">
        <f>DO71*VLOOKUP('Données projet'!$B$14,Paramètres!$A$1:$I$89,3,0)*VLOOKUP('Données projet'!$B$14,Paramètres!$A$1:$I$89,5,0)</f>
        <v>134.33471999999995</v>
      </c>
      <c r="DQ71" s="14">
        <f t="shared" si="97"/>
        <v>34.996065778897268</v>
      </c>
      <c r="DR71" s="22">
        <f t="shared" si="70"/>
        <v>294.91778523157933</v>
      </c>
      <c r="DS71" s="62">
        <f t="shared" si="71"/>
        <v>560.36416935879811</v>
      </c>
      <c r="DT71" s="62">
        <f ca="1">AVERAGE(OFFSET($DS$3,0,0,'Données projet'!$E$14+1,1))-AVERAGE(OFFSET($H$3,0,0,'Données projet'!$E$14+1,1))</f>
        <v>315.12428188060306</v>
      </c>
      <c r="DU71" s="62">
        <f t="shared" si="98"/>
        <v>186.08400677811986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4.8717948717948669</v>
      </c>
      <c r="EJ71" s="13">
        <f>IF('Données projet'!$A$192&gt;35,EJ70+EI71-ER70,IF(A71&lt;'Données projet'!$A$192,$EG$205^A71,IF(A71='Données projet'!$A$192,'Données projet'!$B$192,EJ70+EI71-ER70)))</f>
        <v>248.58974358974342</v>
      </c>
      <c r="EK71" s="18">
        <f>EJ71*VLOOKUP('Données projet'!$B$15,Paramètres!$A$1:$I$89,3,0)*VLOOKUP('Données projet'!$B$15,Paramètres!$A$1:$I$89,5,0)</f>
        <v>259.82599999999985</v>
      </c>
      <c r="EL71" s="14">
        <f t="shared" si="99"/>
        <v>62.685286742684056</v>
      </c>
      <c r="EM71" s="22">
        <f t="shared" si="73"/>
        <v>561.70715774350776</v>
      </c>
      <c r="EN71" s="62">
        <f t="shared" si="74"/>
        <v>827.1535418707266</v>
      </c>
      <c r="EO71" s="62">
        <f ca="1">AVERAGE(OFFSET($EN$3,0,0,'Données projet'!$E$15+1,1))-AVERAGE(OFFSET($H$3,0,0,'Données projet'!$E$15+1,1))</f>
        <v>530.77325763685963</v>
      </c>
      <c r="EP71" s="62">
        <f t="shared" si="100"/>
        <v>344.23100274990145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90.580021122303947</v>
      </c>
      <c r="T72" s="62">
        <f t="shared" si="88"/>
        <v>375.77399473907451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29.931356244159467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3.1583957324973479E-7</v>
      </c>
      <c r="AC72" s="24">
        <f t="shared" si="57"/>
        <v>29.931356559999042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87.3677313039193</v>
      </c>
      <c r="AO72" s="62">
        <f t="shared" si="90"/>
        <v>326.27342751542903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25.569440041891269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25.569440041891269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254.91239442958343</v>
      </c>
      <c r="BJ72" s="62">
        <f t="shared" si="92"/>
        <v>361.41009011468407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259.78679999999997</v>
      </c>
      <c r="CA72" s="14">
        <f t="shared" si="93"/>
        <v>62.676930162260739</v>
      </c>
      <c r="CB72" s="22">
        <f t="shared" si="64"/>
        <v>561.62433003260401</v>
      </c>
      <c r="CC72" s="62">
        <f t="shared" si="65"/>
        <v>827.55449038267056</v>
      </c>
      <c r="CD72" s="62">
        <f ca="1">AVERAGE(OFFSET($CC$3,0,0,'Données projet'!$E$12+1,1))-AVERAGE(OFFSET($H$3,0,0,'Données projet'!$E$12+1,1))</f>
        <v>516.30971934066179</v>
      </c>
      <c r="CE72" s="62">
        <f t="shared" si="94"/>
        <v>290.84286505723571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2.2000000000000002</v>
      </c>
      <c r="CT72" s="13">
        <f>IF('Données projet'!$A$140&gt;35,CT71+CS72-DB71,IF(A72&lt;'Données projet'!$A$140,$CQ$205^A72,IF(A72='Données projet'!$A$140,'Données projet'!$B$140,CT71+CS72-DB71)))</f>
        <v>154.79999999999984</v>
      </c>
      <c r="CU72" s="18">
        <f>CT72*VLOOKUP('Données projet'!$B$13,Paramètres!$A$1:$I$89,3,0)*VLOOKUP('Données projet'!$B$13,Paramètres!$A$1:$I$89,5,0)</f>
        <v>135.23327999999987</v>
      </c>
      <c r="CV72" s="14">
        <f t="shared" si="95"/>
        <v>35.202825080004409</v>
      </c>
      <c r="CW72" s="22">
        <f t="shared" si="67"/>
        <v>296.84288301434077</v>
      </c>
      <c r="CX72" s="62">
        <f t="shared" si="68"/>
        <v>562.77304336440739</v>
      </c>
      <c r="CY72" s="62">
        <f ca="1">AVERAGE(OFFSET($CX$3,0,0,'Données projet'!$E$13+1,1))-AVERAGE(OFFSET($H$3,0,0,'Données projet'!$E$13+1,1))</f>
        <v>226.76930997889059</v>
      </c>
      <c r="CZ72" s="62">
        <f t="shared" si="96"/>
        <v>236.36066378969329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3.6</v>
      </c>
      <c r="DO72" s="13">
        <f>IF('Données projet'!$A$166&gt;35,DO71+DN72-DW71,IF(A72&lt;'Données projet'!$A$166,$DL$205^A72,IF(A72='Données projet'!$A$166,'Données projet'!$B$166,DO71+DN72-DW71)))</f>
        <v>128.39999999999995</v>
      </c>
      <c r="DP72" s="18">
        <f>DO72*VLOOKUP('Données projet'!$B$14,Paramètres!$A$1:$I$89,3,0)*VLOOKUP('Données projet'!$B$14,Paramètres!$A$1:$I$89,5,0)</f>
        <v>138.20975999999993</v>
      </c>
      <c r="DQ72" s="14">
        <f t="shared" si="97"/>
        <v>35.886579965971777</v>
      </c>
      <c r="DR72" s="22">
        <f t="shared" si="70"/>
        <v>303.21779210740073</v>
      </c>
      <c r="DS72" s="62">
        <f t="shared" si="71"/>
        <v>569.14795245746723</v>
      </c>
      <c r="DT72" s="62">
        <f ca="1">AVERAGE(OFFSET($DS$3,0,0,'Données projet'!$E$14+1,1))-AVERAGE(OFFSET($H$3,0,0,'Données projet'!$E$14+1,1))</f>
        <v>315.12428188060306</v>
      </c>
      <c r="DU72" s="62">
        <f t="shared" si="98"/>
        <v>186.08400677811986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4.8717948717948669</v>
      </c>
      <c r="EJ72" s="13">
        <f>IF('Données projet'!$A$192&gt;35,EJ71+EI72-ER71,IF(A72&lt;'Données projet'!$A$192,$EG$205^A72,IF(A72='Données projet'!$A$192,'Données projet'!$B$192,EJ71+EI72-ER71)))</f>
        <v>253.46153846153828</v>
      </c>
      <c r="EK72" s="18">
        <f>EJ72*VLOOKUP('Données projet'!$B$15,Paramètres!$A$1:$I$89,3,0)*VLOOKUP('Données projet'!$B$15,Paramètres!$A$1:$I$89,5,0)</f>
        <v>264.91799999999984</v>
      </c>
      <c r="EL72" s="14">
        <f t="shared" si="99"/>
        <v>63.769550790039318</v>
      </c>
      <c r="EM72" s="22">
        <f t="shared" si="73"/>
        <v>572.4641509593182</v>
      </c>
      <c r="EN72" s="62">
        <f t="shared" si="74"/>
        <v>838.39431130938476</v>
      </c>
      <c r="EO72" s="62">
        <f ca="1">AVERAGE(OFFSET($EN$3,0,0,'Données projet'!$E$15+1,1))-AVERAGE(OFFSET($H$3,0,0,'Données projet'!$E$15+1,1))</f>
        <v>530.77325763685963</v>
      </c>
      <c r="EP72" s="62">
        <f t="shared" si="100"/>
        <v>344.23100274990145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90.580021122303947</v>
      </c>
      <c r="T73" s="62">
        <f t="shared" si="88"/>
        <v>375.77399473907451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29.344420604536147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2.2333230401195277E-7</v>
      </c>
      <c r="AC73" s="24">
        <f t="shared" si="57"/>
        <v>29.344420827868451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87.3677313039193</v>
      </c>
      <c r="AO73" s="62">
        <f t="shared" si="90"/>
        <v>326.27342751542903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25.068038918488249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25.068038918488249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254.91239442958343</v>
      </c>
      <c r="BJ73" s="62">
        <f t="shared" si="92"/>
        <v>361.41009011468407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266.68199999999996</v>
      </c>
      <c r="CA73" s="14">
        <f t="shared" si="93"/>
        <v>64.144600001897771</v>
      </c>
      <c r="CB73" s="22">
        <f t="shared" si="64"/>
        <v>576.189661669972</v>
      </c>
      <c r="CC73" s="62">
        <f t="shared" si="65"/>
        <v>842.59520580698154</v>
      </c>
      <c r="CD73" s="62">
        <f ca="1">AVERAGE(OFFSET($CC$3,0,0,'Données projet'!$E$12+1,1))-AVERAGE(OFFSET($H$3,0,0,'Données projet'!$E$12+1,1))</f>
        <v>516.30971934066179</v>
      </c>
      <c r="CE73" s="62">
        <f t="shared" si="94"/>
        <v>290.84286505723571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157</v>
      </c>
      <c r="CR73" s="13">
        <f>VLOOKUP(A73,'Données projet'!$A$139:$I$159,9,0)</f>
        <v>2.2000000000000002</v>
      </c>
      <c r="CS73" s="13">
        <f t="array" ref="CS73">INDEX(CR:CR,MIN(IF(ISNUMBER(CR73:CR269),ROW(CR73:CR269),"")))</f>
        <v>2.2000000000000002</v>
      </c>
      <c r="CT73" s="13">
        <f>IF('Données projet'!$A$140&gt;35,CT72+CS73-DB72,IF(A73&lt;'Données projet'!$A$140,$CQ$205^A73,IF(A73='Données projet'!$A$140,'Données projet'!$B$140,CT72+CS73-DB72)))</f>
        <v>156.99999999999983</v>
      </c>
      <c r="CU73" s="18">
        <f>CT73*VLOOKUP('Données projet'!$B$13,Paramètres!$A$1:$I$89,3,0)*VLOOKUP('Données projet'!$B$13,Paramètres!$A$1:$I$89,5,0)</f>
        <v>137.15519999999987</v>
      </c>
      <c r="CV73" s="14">
        <f t="shared" si="95"/>
        <v>35.644525151069693</v>
      </c>
      <c r="CW73" s="22">
        <f t="shared" si="67"/>
        <v>300.95952130477946</v>
      </c>
      <c r="CX73" s="62">
        <f t="shared" si="68"/>
        <v>567.36506544178894</v>
      </c>
      <c r="CY73" s="62">
        <f ca="1">AVERAGE(OFFSET($CX$3,0,0,'Données projet'!$E$13+1,1))-AVERAGE(OFFSET($H$3,0,0,'Données projet'!$E$13+1,1))</f>
        <v>226.76930997889059</v>
      </c>
      <c r="CZ73" s="62">
        <f t="shared" si="96"/>
        <v>236.36066378969329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13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132</v>
      </c>
      <c r="DM73" s="13">
        <f>VLOOKUP(A73,'Données projet'!$A$165:$I$185,9,0)</f>
        <v>3.6</v>
      </c>
      <c r="DN73" s="13">
        <f t="array" ref="DN73">INDEX(DM:DM,MIN(IF(ISNUMBER(DM73:DM269),ROW(DM73:DM269),"")))</f>
        <v>3.6</v>
      </c>
      <c r="DO73" s="13">
        <f>IF('Données projet'!$A$166&gt;35,DO72+DN73-DW72,IF(A73&lt;'Données projet'!$A$166,$DL$205^A73,IF(A73='Données projet'!$A$166,'Données projet'!$B$166,DO72+DN73-DW72)))</f>
        <v>131.99999999999994</v>
      </c>
      <c r="DP73" s="18">
        <f>DO73*VLOOKUP('Données projet'!$B$14,Paramètres!$A$1:$I$89,3,0)*VLOOKUP('Données projet'!$B$14,Paramètres!$A$1:$I$89,5,0)</f>
        <v>142.08479999999994</v>
      </c>
      <c r="DQ73" s="14">
        <f t="shared" si="97"/>
        <v>36.77419224965486</v>
      </c>
      <c r="DR73" s="22">
        <f t="shared" si="70"/>
        <v>311.51274483481546</v>
      </c>
      <c r="DS73" s="62">
        <f t="shared" si="71"/>
        <v>577.91828897182495</v>
      </c>
      <c r="DT73" s="62">
        <f ca="1">AVERAGE(OFFSET($DS$3,0,0,'Données projet'!$E$14+1,1))-AVERAGE(OFFSET($H$3,0,0,'Données projet'!$E$14+1,1))</f>
        <v>315.12428188060306</v>
      </c>
      <c r="DU73" s="62">
        <f t="shared" si="98"/>
        <v>186.08400677811986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258.33333333333331</v>
      </c>
      <c r="EH73" s="13">
        <f>VLOOKUP(A73,'Données projet'!$A$191:$I$211,9,0)</f>
        <v>4.8717948717948669</v>
      </c>
      <c r="EI73" s="13">
        <f t="array" ref="EI73">INDEX(EH:EH,MIN(IF(ISNUMBER(EH73:EH269),ROW(EH73:EH269),"")))</f>
        <v>4.8717948717948669</v>
      </c>
      <c r="EJ73" s="13">
        <f>IF('Données projet'!$A$192&gt;35,EJ72+EI73-ER72,IF(A73&lt;'Données projet'!$A$192,$EG$205^A73,IF(A73='Données projet'!$A$192,'Données projet'!$B$192,EJ72+EI73-ER72)))</f>
        <v>258.33333333333314</v>
      </c>
      <c r="EK73" s="18">
        <f>EJ73*VLOOKUP('Données projet'!$B$15,Paramètres!$A$1:$I$89,3,0)*VLOOKUP('Données projet'!$B$15,Paramètres!$A$1:$I$89,5,0)</f>
        <v>270.00999999999982</v>
      </c>
      <c r="EL73" s="14">
        <f t="shared" si="99"/>
        <v>64.851391535647195</v>
      </c>
      <c r="EM73" s="22">
        <f t="shared" si="73"/>
        <v>583.21692359125188</v>
      </c>
      <c r="EN73" s="62">
        <f t="shared" si="74"/>
        <v>849.62246772826143</v>
      </c>
      <c r="EO73" s="62">
        <f ca="1">AVERAGE(OFFSET($EN$3,0,0,'Données projet'!$E$15+1,1))-AVERAGE(OFFSET($H$3,0,0,'Données projet'!$E$15+1,1))</f>
        <v>530.77325763685963</v>
      </c>
      <c r="EP73" s="62">
        <f t="shared" si="100"/>
        <v>344.23100274990145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23.076923076923077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90.580021122303947</v>
      </c>
      <c r="T74" s="62">
        <f t="shared" si="88"/>
        <v>375.77399473907451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28.76899441481045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1.5791978662486739E-7</v>
      </c>
      <c r="AC74" s="24">
        <f t="shared" si="57"/>
        <v>28.768994572730236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87.3677313039193</v>
      </c>
      <c r="AO74" s="62">
        <f t="shared" si="90"/>
        <v>326.27342751542903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24.576469965290674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24.576469965290674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254.91239442958343</v>
      </c>
      <c r="BJ74" s="62">
        <f t="shared" si="92"/>
        <v>361.41009011468407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230.38079999999994</v>
      </c>
      <c r="CA74" s="14">
        <f t="shared" si="93"/>
        <v>56.365011465139979</v>
      </c>
      <c r="CB74" s="22">
        <f t="shared" si="64"/>
        <v>499.41562163511867</v>
      </c>
      <c r="CC74" s="62">
        <f t="shared" si="65"/>
        <v>766.28830271316656</v>
      </c>
      <c r="CD74" s="62">
        <f ca="1">AVERAGE(OFFSET($CC$3,0,0,'Données projet'!$E$12+1,1))-AVERAGE(OFFSET($H$3,0,0,'Données projet'!$E$12+1,1))</f>
        <v>516.30971934066179</v>
      </c>
      <c r="CE74" s="62">
        <f t="shared" si="94"/>
        <v>290.84286505723571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2.2000000000000002</v>
      </c>
      <c r="CT74" s="13">
        <f>IF('Données projet'!$A$140&gt;35,CT73+CS74-DB73,IF(A74&lt;'Données projet'!$A$140,$CQ$205^A74,IF(A74='Données projet'!$A$140,'Données projet'!$B$140,CT73+CS74-DB73)))</f>
        <v>146.19999999999982</v>
      </c>
      <c r="CU74" s="18">
        <f>CT74*VLOOKUP('Données projet'!$B$13,Paramètres!$A$1:$I$89,3,0)*VLOOKUP('Données projet'!$B$13,Paramètres!$A$1:$I$89,5,0)</f>
        <v>127.72031999999984</v>
      </c>
      <c r="CV74" s="14">
        <f t="shared" si="95"/>
        <v>33.469051060164404</v>
      </c>
      <c r="CW74" s="22">
        <f t="shared" si="67"/>
        <v>280.73815459645272</v>
      </c>
      <c r="CX74" s="62">
        <f t="shared" si="68"/>
        <v>547.61083567450066</v>
      </c>
      <c r="CY74" s="62">
        <f ca="1">AVERAGE(OFFSET($CX$3,0,0,'Données projet'!$E$13+1,1))-AVERAGE(OFFSET($H$3,0,0,'Données projet'!$E$13+1,1))</f>
        <v>226.76930997889059</v>
      </c>
      <c r="CZ74" s="62">
        <f t="shared" si="96"/>
        <v>236.36066378969329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3.4</v>
      </c>
      <c r="DO74" s="13">
        <f>IF('Données projet'!$A$166&gt;35,DO73+DN74-DW73,IF(A74&lt;'Données projet'!$A$166,$DL$205^A74,IF(A74='Données projet'!$A$166,'Données projet'!$B$166,DO73+DN74-DW73)))</f>
        <v>135.39999999999995</v>
      </c>
      <c r="DP74" s="18">
        <f>DO74*VLOOKUP('Données projet'!$B$14,Paramètres!$A$1:$I$89,3,0)*VLOOKUP('Données projet'!$B$14,Paramètres!$A$1:$I$89,5,0)</f>
        <v>145.74455999999995</v>
      </c>
      <c r="DQ74" s="14">
        <f t="shared" si="97"/>
        <v>37.609907766324859</v>
      </c>
      <c r="DR74" s="22">
        <f t="shared" si="70"/>
        <v>319.34236469301567</v>
      </c>
      <c r="DS74" s="62">
        <f t="shared" si="71"/>
        <v>586.21504577106361</v>
      </c>
      <c r="DT74" s="62">
        <f ca="1">AVERAGE(OFFSET($DS$3,0,0,'Données projet'!$E$14+1,1))-AVERAGE(OFFSET($H$3,0,0,'Données projet'!$E$14+1,1))</f>
        <v>315.12428188060306</v>
      </c>
      <c r="DU74" s="62">
        <f t="shared" si="98"/>
        <v>186.08400677811986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4.4871794871794863</v>
      </c>
      <c r="EJ74" s="13">
        <f>IF('Données projet'!$A$192&gt;35,EJ73+EI74-ER73,IF(A74&lt;'Données projet'!$A$192,$EG$205^A74,IF(A74='Données projet'!$A$192,'Données projet'!$B$192,EJ73+EI74-ER73)))</f>
        <v>239.74358974358958</v>
      </c>
      <c r="EK74" s="18">
        <f>EJ74*VLOOKUP('Données projet'!$B$15,Paramètres!$A$1:$I$89,3,0)*VLOOKUP('Données projet'!$B$15,Paramètres!$A$1:$I$89,5,0)</f>
        <v>250.57999999999984</v>
      </c>
      <c r="EL74" s="14">
        <f t="shared" si="99"/>
        <v>60.710122367679979</v>
      </c>
      <c r="EM74" s="22">
        <f t="shared" si="73"/>
        <v>542.16362979037569</v>
      </c>
      <c r="EN74" s="62">
        <f t="shared" si="74"/>
        <v>809.0363108684237</v>
      </c>
      <c r="EO74" s="62">
        <f ca="1">AVERAGE(OFFSET($EN$3,0,0,'Données projet'!$E$15+1,1))-AVERAGE(OFFSET($H$3,0,0,'Données projet'!$E$15+1,1))</f>
        <v>530.77325763685963</v>
      </c>
      <c r="EP74" s="62">
        <f t="shared" si="100"/>
        <v>344.23100274990145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90.580021122303947</v>
      </c>
      <c r="T75" s="62">
        <f t="shared" si="88"/>
        <v>375.77399473907451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28.204851981689952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1.1166615200597638E-7</v>
      </c>
      <c r="AC75" s="24">
        <f t="shared" si="57"/>
        <v>28.204852093356106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87.3677313039193</v>
      </c>
      <c r="AO75" s="62">
        <f t="shared" si="90"/>
        <v>326.27342751542903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24.094540379437845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24.094540379437845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254.91239442958343</v>
      </c>
      <c r="BJ75" s="62">
        <f t="shared" si="92"/>
        <v>361.41009011468407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236.66759999999994</v>
      </c>
      <c r="CA75" s="14">
        <f t="shared" si="93"/>
        <v>57.721965974560838</v>
      </c>
      <c r="CB75" s="22">
        <f t="shared" si="64"/>
        <v>512.72849407235992</v>
      </c>
      <c r="CC75" s="62">
        <f t="shared" si="65"/>
        <v>780.06020830988109</v>
      </c>
      <c r="CD75" s="62">
        <f ca="1">AVERAGE(OFFSET($CC$3,0,0,'Données projet'!$E$12+1,1))-AVERAGE(OFFSET($H$3,0,0,'Données projet'!$E$12+1,1))</f>
        <v>516.30971934066179</v>
      </c>
      <c r="CE75" s="62">
        <f t="shared" si="94"/>
        <v>290.84286505723571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2.2000000000000002</v>
      </c>
      <c r="CT75" s="13">
        <f>IF('Données projet'!$A$140&gt;35,CT74+CS75-DB74,IF(A75&lt;'Données projet'!$A$140,$CQ$205^A75,IF(A75='Données projet'!$A$140,'Données projet'!$B$140,CT74+CS75-DB74)))</f>
        <v>148.39999999999981</v>
      </c>
      <c r="CU75" s="18">
        <f>CT75*VLOOKUP('Données projet'!$B$13,Paramètres!$A$1:$I$89,3,0)*VLOOKUP('Données projet'!$B$13,Paramètres!$A$1:$I$89,5,0)</f>
        <v>129.64223999999984</v>
      </c>
      <c r="CV75" s="14">
        <f t="shared" si="95"/>
        <v>33.913678246253156</v>
      </c>
      <c r="CW75" s="22">
        <f t="shared" si="67"/>
        <v>284.85989094555725</v>
      </c>
      <c r="CX75" s="62">
        <f t="shared" si="68"/>
        <v>552.19160518307831</v>
      </c>
      <c r="CY75" s="62">
        <f ca="1">AVERAGE(OFFSET($CX$3,0,0,'Données projet'!$E$13+1,1))-AVERAGE(OFFSET($H$3,0,0,'Données projet'!$E$13+1,1))</f>
        <v>226.76930997889059</v>
      </c>
      <c r="CZ75" s="62">
        <f t="shared" si="96"/>
        <v>236.36066378969329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3.4</v>
      </c>
      <c r="DO75" s="13">
        <f>IF('Données projet'!$A$166&gt;35,DO74+DN75-DW74,IF(A75&lt;'Données projet'!$A$166,$DL$205^A75,IF(A75='Données projet'!$A$166,'Données projet'!$B$166,DO74+DN75-DW74)))</f>
        <v>138.79999999999995</v>
      </c>
      <c r="DP75" s="18">
        <f>DO75*VLOOKUP('Données projet'!$B$14,Paramètres!$A$1:$I$89,3,0)*VLOOKUP('Données projet'!$B$14,Paramètres!$A$1:$I$89,5,0)</f>
        <v>149.40431999999996</v>
      </c>
      <c r="DQ75" s="14">
        <f t="shared" si="97"/>
        <v>38.443183869672019</v>
      </c>
      <c r="DR75" s="22">
        <f t="shared" si="70"/>
        <v>327.16773590634534</v>
      </c>
      <c r="DS75" s="62">
        <f t="shared" si="71"/>
        <v>594.4994501438664</v>
      </c>
      <c r="DT75" s="62">
        <f ca="1">AVERAGE(OFFSET($DS$3,0,0,'Données projet'!$E$14+1,1))-AVERAGE(OFFSET($H$3,0,0,'Données projet'!$E$14+1,1))</f>
        <v>315.12428188060306</v>
      </c>
      <c r="DU75" s="62">
        <f t="shared" si="98"/>
        <v>186.08400677811986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4.4871794871794863</v>
      </c>
      <c r="EJ75" s="13">
        <f>IF('Données projet'!$A$192&gt;35,EJ74+EI75-ER74,IF(A75&lt;'Données projet'!$A$192,$EG$205^A75,IF(A75='Données projet'!$A$192,'Données projet'!$B$192,EJ74+EI75-ER74)))</f>
        <v>244.23076923076906</v>
      </c>
      <c r="EK75" s="18">
        <f>EJ75*VLOOKUP('Données projet'!$B$15,Paramètres!$A$1:$I$89,3,0)*VLOOKUP('Données projet'!$B$15,Paramètres!$A$1:$I$89,5,0)</f>
        <v>255.26999999999984</v>
      </c>
      <c r="EL75" s="14">
        <f t="shared" si="99"/>
        <v>61.713058280444663</v>
      </c>
      <c r="EM75" s="22">
        <f t="shared" si="73"/>
        <v>552.07882650510749</v>
      </c>
      <c r="EN75" s="62">
        <f t="shared" si="74"/>
        <v>819.41054074262865</v>
      </c>
      <c r="EO75" s="62">
        <f ca="1">AVERAGE(OFFSET($EN$3,0,0,'Données projet'!$E$15+1,1))-AVERAGE(OFFSET($H$3,0,0,'Données projet'!$E$15+1,1))</f>
        <v>530.77325763685963</v>
      </c>
      <c r="EP75" s="62">
        <f t="shared" si="100"/>
        <v>344.23100274990145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90.580021122303947</v>
      </c>
      <c r="T76" s="62">
        <f t="shared" si="88"/>
        <v>375.77399473907451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27.651772037590039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7.8959893312433697E-8</v>
      </c>
      <c r="AC76" s="24">
        <f t="shared" si="57"/>
        <v>27.651772116549932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87.3677313039193</v>
      </c>
      <c r="AO76" s="62">
        <f t="shared" si="90"/>
        <v>326.27342751542903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23.622061138815571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23.622061138815571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254.91239442958343</v>
      </c>
      <c r="BJ76" s="62">
        <f t="shared" si="92"/>
        <v>361.41009011468407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242.95439999999994</v>
      </c>
      <c r="CA76" s="14">
        <f t="shared" si="93"/>
        <v>59.074730698078945</v>
      </c>
      <c r="CB76" s="22">
        <f t="shared" si="64"/>
        <v>526.034069299154</v>
      </c>
      <c r="CC76" s="62">
        <f t="shared" si="65"/>
        <v>793.81685349707573</v>
      </c>
      <c r="CD76" s="62">
        <f ca="1">AVERAGE(OFFSET($CC$3,0,0,'Données projet'!$E$12+1,1))-AVERAGE(OFFSET($H$3,0,0,'Données projet'!$E$12+1,1))</f>
        <v>516.30971934066179</v>
      </c>
      <c r="CE76" s="62">
        <f t="shared" si="94"/>
        <v>290.84286505723571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2.2000000000000002</v>
      </c>
      <c r="CT76" s="13">
        <f>IF('Données projet'!$A$140&gt;35,CT75+CS76-DB75,IF(A76&lt;'Données projet'!$A$140,$CQ$205^A76,IF(A76='Données projet'!$A$140,'Données projet'!$B$140,CT75+CS76-DB75)))</f>
        <v>150.5999999999998</v>
      </c>
      <c r="CU76" s="18">
        <f>CT76*VLOOKUP('Données projet'!$B$13,Paramètres!$A$1:$I$89,3,0)*VLOOKUP('Données projet'!$B$13,Paramètres!$A$1:$I$89,5,0)</f>
        <v>131.56415999999984</v>
      </c>
      <c r="CV76" s="14">
        <f t="shared" si="95"/>
        <v>34.357538812709031</v>
      </c>
      <c r="CW76" s="22">
        <f t="shared" si="67"/>
        <v>288.98029209880133</v>
      </c>
      <c r="CX76" s="62">
        <f t="shared" si="68"/>
        <v>556.76307629672306</v>
      </c>
      <c r="CY76" s="62">
        <f ca="1">AVERAGE(OFFSET($CX$3,0,0,'Données projet'!$E$13+1,1))-AVERAGE(OFFSET($H$3,0,0,'Données projet'!$E$13+1,1))</f>
        <v>226.76930997889059</v>
      </c>
      <c r="CZ76" s="62">
        <f t="shared" si="96"/>
        <v>236.36066378969329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3.4</v>
      </c>
      <c r="DO76" s="13">
        <f>IF('Données projet'!$A$166&gt;35,DO75+DN76-DW75,IF(A76&lt;'Données projet'!$A$166,$DL$205^A76,IF(A76='Données projet'!$A$166,'Données projet'!$B$166,DO75+DN76-DW75)))</f>
        <v>142.19999999999996</v>
      </c>
      <c r="DP76" s="18">
        <f>DO76*VLOOKUP('Données projet'!$B$14,Paramètres!$A$1:$I$89,3,0)*VLOOKUP('Données projet'!$B$14,Paramètres!$A$1:$I$89,5,0)</f>
        <v>153.06407999999996</v>
      </c>
      <c r="DQ76" s="14">
        <f t="shared" si="97"/>
        <v>39.27408718873059</v>
      </c>
      <c r="DR76" s="22">
        <f t="shared" si="70"/>
        <v>334.98897452037232</v>
      </c>
      <c r="DS76" s="62">
        <f t="shared" si="71"/>
        <v>602.77175871829411</v>
      </c>
      <c r="DT76" s="62">
        <f ca="1">AVERAGE(OFFSET($DS$3,0,0,'Données projet'!$E$14+1,1))-AVERAGE(OFFSET($H$3,0,0,'Données projet'!$E$14+1,1))</f>
        <v>315.12428188060306</v>
      </c>
      <c r="DU76" s="62">
        <f t="shared" si="98"/>
        <v>186.08400677811986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4.4871794871794863</v>
      </c>
      <c r="EJ76" s="13">
        <f>IF('Données projet'!$A$192&gt;35,EJ75+EI76-ER75,IF(A76&lt;'Données projet'!$A$192,$EG$205^A76,IF(A76='Données projet'!$A$192,'Données projet'!$B$192,EJ75+EI76-ER75)))</f>
        <v>248.71794871794853</v>
      </c>
      <c r="EK76" s="18">
        <f>EJ76*VLOOKUP('Données projet'!$B$15,Paramètres!$A$1:$I$89,3,0)*VLOOKUP('Données projet'!$B$15,Paramètres!$A$1:$I$89,5,0)</f>
        <v>259.95999999999981</v>
      </c>
      <c r="EL76" s="14">
        <f t="shared" si="99"/>
        <v>62.713851496250946</v>
      </c>
      <c r="EM76" s="22">
        <f t="shared" si="73"/>
        <v>561.99029135597004</v>
      </c>
      <c r="EN76" s="62">
        <f t="shared" si="74"/>
        <v>829.77307555389189</v>
      </c>
      <c r="EO76" s="62">
        <f ca="1">AVERAGE(OFFSET($EN$3,0,0,'Données projet'!$E$15+1,1))-AVERAGE(OFFSET($H$3,0,0,'Données projet'!$E$15+1,1))</f>
        <v>530.77325763685963</v>
      </c>
      <c r="EP76" s="62">
        <f t="shared" si="100"/>
        <v>344.23100274990145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90.580021122303947</v>
      </c>
      <c r="T77" s="62">
        <f t="shared" si="88"/>
        <v>375.77399473907451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27.10953765384847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5.5833076002988192E-8</v>
      </c>
      <c r="AC77" s="24">
        <f t="shared" si="57"/>
        <v>27.109537709681547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87.3677313039193</v>
      </c>
      <c r="AO77" s="62">
        <f t="shared" si="90"/>
        <v>326.27342751542903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23.158846927918017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23.158846927918017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254.91239442958343</v>
      </c>
      <c r="BJ77" s="62">
        <f t="shared" si="92"/>
        <v>361.41009011468407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249.24119999999988</v>
      </c>
      <c r="CA77" s="14">
        <f t="shared" si="93"/>
        <v>60.42342651744687</v>
      </c>
      <c r="CB77" s="22">
        <f t="shared" si="64"/>
        <v>539.3325578512198</v>
      </c>
      <c r="CC77" s="62">
        <f t="shared" si="65"/>
        <v>807.55858695417066</v>
      </c>
      <c r="CD77" s="62">
        <f ca="1">AVERAGE(OFFSET($CC$3,0,0,'Données projet'!$E$12+1,1))-AVERAGE(OFFSET($H$3,0,0,'Données projet'!$E$12+1,1))</f>
        <v>516.30971934066179</v>
      </c>
      <c r="CE77" s="62">
        <f t="shared" si="94"/>
        <v>290.84286505723571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2.2000000000000002</v>
      </c>
      <c r="CT77" s="13">
        <f>IF('Données projet'!$A$140&gt;35,CT76+CS77-DB76,IF(A77&lt;'Données projet'!$A$140,$CQ$205^A77,IF(A77='Données projet'!$A$140,'Données projet'!$B$140,CT76+CS77-DB76)))</f>
        <v>152.79999999999978</v>
      </c>
      <c r="CU77" s="18">
        <f>CT77*VLOOKUP('Données projet'!$B$13,Paramètres!$A$1:$I$89,3,0)*VLOOKUP('Données projet'!$B$13,Paramètres!$A$1:$I$89,5,0)</f>
        <v>133.48607999999982</v>
      </c>
      <c r="CV77" s="14">
        <f t="shared" si="95"/>
        <v>34.800645252320457</v>
      </c>
      <c r="CW77" s="22">
        <f t="shared" si="67"/>
        <v>293.09937981445779</v>
      </c>
      <c r="CX77" s="62">
        <f t="shared" si="68"/>
        <v>561.32540891740859</v>
      </c>
      <c r="CY77" s="62">
        <f ca="1">AVERAGE(OFFSET($CX$3,0,0,'Données projet'!$E$13+1,1))-AVERAGE(OFFSET($H$3,0,0,'Données projet'!$E$13+1,1))</f>
        <v>226.76930997889059</v>
      </c>
      <c r="CZ77" s="62">
        <f t="shared" si="96"/>
        <v>236.36066378969329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3.4</v>
      </c>
      <c r="DO77" s="13">
        <f>IF('Données projet'!$A$166&gt;35,DO76+DN77-DW76,IF(A77&lt;'Données projet'!$A$166,$DL$205^A77,IF(A77='Données projet'!$A$166,'Données projet'!$B$166,DO76+DN77-DW76)))</f>
        <v>145.59999999999997</v>
      </c>
      <c r="DP77" s="18">
        <f>DO77*VLOOKUP('Données projet'!$B$14,Paramètres!$A$1:$I$89,3,0)*VLOOKUP('Données projet'!$B$14,Paramètres!$A$1:$I$89,5,0)</f>
        <v>156.72383999999997</v>
      </c>
      <c r="DQ77" s="14">
        <f t="shared" si="97"/>
        <v>40.102680984620484</v>
      </c>
      <c r="DR77" s="22">
        <f t="shared" si="70"/>
        <v>342.80619071488059</v>
      </c>
      <c r="DS77" s="62">
        <f t="shared" si="71"/>
        <v>611.03221981783145</v>
      </c>
      <c r="DT77" s="62">
        <f ca="1">AVERAGE(OFFSET($DS$3,0,0,'Données projet'!$E$14+1,1))-AVERAGE(OFFSET($H$3,0,0,'Données projet'!$E$14+1,1))</f>
        <v>315.12428188060306</v>
      </c>
      <c r="DU77" s="62">
        <f t="shared" si="98"/>
        <v>186.08400677811986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4.4871794871794863</v>
      </c>
      <c r="EJ77" s="13">
        <f>IF('Données projet'!$A$192&gt;35,EJ76+EI77-ER76,IF(A77&lt;'Données projet'!$A$192,$EG$205^A77,IF(A77='Données projet'!$A$192,'Données projet'!$B$192,EJ76+EI77-ER76)))</f>
        <v>253.20512820512801</v>
      </c>
      <c r="EK77" s="18">
        <f>EJ77*VLOOKUP('Données projet'!$B$15,Paramètres!$A$1:$I$89,3,0)*VLOOKUP('Données projet'!$B$15,Paramètres!$A$1:$I$89,5,0)</f>
        <v>264.64999999999981</v>
      </c>
      <c r="EL77" s="14">
        <f t="shared" si="99"/>
        <v>63.712545131099922</v>
      </c>
      <c r="EM77" s="22">
        <f t="shared" si="73"/>
        <v>571.89809943666535</v>
      </c>
      <c r="EN77" s="62">
        <f t="shared" si="74"/>
        <v>840.12412853961621</v>
      </c>
      <c r="EO77" s="62">
        <f ca="1">AVERAGE(OFFSET($EN$3,0,0,'Données projet'!$E$15+1,1))-AVERAGE(OFFSET($H$3,0,0,'Données projet'!$E$15+1,1))</f>
        <v>530.77325763685963</v>
      </c>
      <c r="EP77" s="62">
        <f t="shared" si="100"/>
        <v>344.23100274990145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90.580021122303947</v>
      </c>
      <c r="T78" s="62">
        <f t="shared" si="88"/>
        <v>375.77399473907451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26.577936155641755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3.9479946656216848E-8</v>
      </c>
      <c r="AC78" s="24">
        <f t="shared" si="57"/>
        <v>26.577936195121701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87.3677313039193</v>
      </c>
      <c r="AO78" s="62">
        <f t="shared" si="90"/>
        <v>326.27342751542903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22.704716065163392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22.704716065163392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254.91239442958343</v>
      </c>
      <c r="BJ78" s="62">
        <f t="shared" si="92"/>
        <v>361.41009011468407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255.52799999999991</v>
      </c>
      <c r="CA78" s="14">
        <f t="shared" si="93"/>
        <v>61.768167868721477</v>
      </c>
      <c r="CB78" s="22">
        <f t="shared" si="64"/>
        <v>552.62415903802309</v>
      </c>
      <c r="CC78" s="62">
        <f t="shared" si="65"/>
        <v>821.28574373784795</v>
      </c>
      <c r="CD78" s="62">
        <f ca="1">AVERAGE(OFFSET($CC$3,0,0,'Données projet'!$E$12+1,1))-AVERAGE(OFFSET($H$3,0,0,'Données projet'!$E$12+1,1))</f>
        <v>516.30971934066179</v>
      </c>
      <c r="CE78" s="62">
        <f t="shared" si="94"/>
        <v>290.84286505723571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155</v>
      </c>
      <c r="CR78" s="13">
        <f>VLOOKUP(A78,'Données projet'!$A$139:$I$159,9,0)</f>
        <v>2.2000000000000002</v>
      </c>
      <c r="CS78" s="13">
        <f t="array" ref="CS78">INDEX(CR:CR,MIN(IF(ISNUMBER(CR78:CR274),ROW(CR78:CR274),"")))</f>
        <v>2.2000000000000002</v>
      </c>
      <c r="CT78" s="13">
        <f>IF('Données projet'!$A$140&gt;35,CT77+CS78-DB77,IF(A78&lt;'Données projet'!$A$140,$CQ$205^A78,IF(A78='Données projet'!$A$140,'Données projet'!$B$140,CT77+CS78-DB77)))</f>
        <v>154.99999999999977</v>
      </c>
      <c r="CU78" s="18">
        <f>CT78*VLOOKUP('Données projet'!$B$13,Paramètres!$A$1:$I$89,3,0)*VLOOKUP('Données projet'!$B$13,Paramètres!$A$1:$I$89,5,0)</f>
        <v>135.40799999999982</v>
      </c>
      <c r="CV78" s="14">
        <f t="shared" si="95"/>
        <v>35.243009677478696</v>
      </c>
      <c r="CW78" s="22">
        <f t="shared" si="67"/>
        <v>297.21717518827501</v>
      </c>
      <c r="CX78" s="62">
        <f t="shared" si="68"/>
        <v>565.87875988809981</v>
      </c>
      <c r="CY78" s="62">
        <f ca="1">AVERAGE(OFFSET($CX$3,0,0,'Données projet'!$E$13+1,1))-AVERAGE(OFFSET($H$3,0,0,'Données projet'!$E$13+1,1))</f>
        <v>226.76930997889059</v>
      </c>
      <c r="CZ78" s="62">
        <f t="shared" si="96"/>
        <v>236.36066378969329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149</v>
      </c>
      <c r="DM78" s="13">
        <f>VLOOKUP(A78,'Données projet'!$A$165:$I$185,9,0)</f>
        <v>3.4</v>
      </c>
      <c r="DN78" s="13">
        <f t="array" ref="DN78">INDEX(DM:DM,MIN(IF(ISNUMBER(DM78:DM274),ROW(DM78:DM274),"")))</f>
        <v>3.4</v>
      </c>
      <c r="DO78" s="13">
        <f>IF('Données projet'!$A$166&gt;35,DO77+DN78-DW77,IF(A78&lt;'Données projet'!$A$166,$DL$205^A78,IF(A78='Données projet'!$A$166,'Données projet'!$B$166,DO77+DN78-DW77)))</f>
        <v>148.99999999999997</v>
      </c>
      <c r="DP78" s="18">
        <f>DO78*VLOOKUP('Données projet'!$B$14,Paramètres!$A$1:$I$89,3,0)*VLOOKUP('Données projet'!$B$14,Paramètres!$A$1:$I$89,5,0)</f>
        <v>160.38359999999997</v>
      </c>
      <c r="DQ78" s="14">
        <f t="shared" si="97"/>
        <v>40.929025395397851</v>
      </c>
      <c r="DR78" s="22">
        <f t="shared" si="70"/>
        <v>350.61948923031787</v>
      </c>
      <c r="DS78" s="62">
        <f t="shared" si="71"/>
        <v>619.28107393014261</v>
      </c>
      <c r="DT78" s="62">
        <f ca="1">AVERAGE(OFFSET($DS$3,0,0,'Données projet'!$E$14+1,1))-AVERAGE(OFFSET($H$3,0,0,'Données projet'!$E$14+1,1))</f>
        <v>315.12428188060306</v>
      </c>
      <c r="DU78" s="62">
        <f t="shared" si="98"/>
        <v>186.08400677811986</v>
      </c>
      <c r="DV78" s="16">
        <f>IF(ISNA(VLOOKUP(A78,'Données projet'!$A$165:$I$185,3,0)),0,VLOOKUP(A78,'Données projet'!$A$165:$I$185,3,0))</f>
        <v>5</v>
      </c>
      <c r="DW78" s="16">
        <f>IF(ISNA(VLOOKUP(A78,'Données projet'!$A$165:$I$185,4,0)),0,VLOOKUP(A78,'Données projet'!$A$165:$I$185,4,0))</f>
        <v>20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257.69230769230768</v>
      </c>
      <c r="EH78" s="13">
        <f>VLOOKUP(A78,'Données projet'!$A$191:$I$211,9,0)</f>
        <v>4.4871794871794863</v>
      </c>
      <c r="EI78" s="13">
        <f t="array" ref="EI78">INDEX(EH:EH,MIN(IF(ISNUMBER(EH78:EH274),ROW(EH78:EH274),"")))</f>
        <v>4.4871794871794863</v>
      </c>
      <c r="EJ78" s="13">
        <f>IF('Données projet'!$A$192&gt;35,EJ77+EI78-ER77,IF(A78&lt;'Données projet'!$A$192,$EG$205^A78,IF(A78='Données projet'!$A$192,'Données projet'!$B$192,EJ77+EI78-ER77)))</f>
        <v>257.69230769230751</v>
      </c>
      <c r="EK78" s="18">
        <f>EJ78*VLOOKUP('Données projet'!$B$15,Paramètres!$A$1:$I$89,3,0)*VLOOKUP('Données projet'!$B$15,Paramètres!$A$1:$I$89,5,0)</f>
        <v>269.33999999999986</v>
      </c>
      <c r="EL78" s="14">
        <f t="shared" si="99"/>
        <v>64.709180685305114</v>
      </c>
      <c r="EM78" s="22">
        <f t="shared" si="73"/>
        <v>581.80232302690615</v>
      </c>
      <c r="EN78" s="62">
        <f t="shared" si="74"/>
        <v>850.46390772673089</v>
      </c>
      <c r="EO78" s="62">
        <f ca="1">AVERAGE(OFFSET($EN$3,0,0,'Données projet'!$E$15+1,1))-AVERAGE(OFFSET($H$3,0,0,'Données projet'!$E$15+1,1))</f>
        <v>530.77325763685963</v>
      </c>
      <c r="EP78" s="62">
        <f t="shared" si="100"/>
        <v>344.23100274990145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90.580021122303947</v>
      </c>
      <c r="T79" s="62">
        <f t="shared" si="88"/>
        <v>375.77399473907451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26.056759038569979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2.7916538001494096E-8</v>
      </c>
      <c r="AC79" s="24">
        <f t="shared" si="57"/>
        <v>26.056759066486517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87.3677313039193</v>
      </c>
      <c r="AO79" s="62">
        <f t="shared" si="90"/>
        <v>326.27342751542903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22.259490431634912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22.259490431634912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254.91239442958343</v>
      </c>
      <c r="BJ79" s="62">
        <f t="shared" si="92"/>
        <v>361.41009011468407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261.61199999999991</v>
      </c>
      <c r="CA79" s="14">
        <f t="shared" si="93"/>
        <v>63.065867509496442</v>
      </c>
      <c r="CB79" s="22">
        <f t="shared" si="64"/>
        <v>565.48061924570618</v>
      </c>
      <c r="CC79" s="62">
        <f t="shared" si="65"/>
        <v>834.57020362655567</v>
      </c>
      <c r="CD79" s="62">
        <f ca="1">AVERAGE(OFFSET($CC$3,0,0,'Données projet'!$E$12+1,1))-AVERAGE(OFFSET($H$3,0,0,'Données projet'!$E$12+1,1))</f>
        <v>516.30971934066179</v>
      </c>
      <c r="CE79" s="62">
        <f t="shared" si="94"/>
        <v>290.84286505723571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1.8</v>
      </c>
      <c r="CT79" s="13">
        <f>IF('Données projet'!$A$140&gt;35,CT78+CS79-DB78,IF(A79&lt;'Données projet'!$A$140,$CQ$205^A79,IF(A79='Données projet'!$A$140,'Données projet'!$B$140,CT78+CS79-DB78)))</f>
        <v>156.79999999999978</v>
      </c>
      <c r="CU79" s="18">
        <f>CT79*VLOOKUP('Données projet'!$B$13,Paramètres!$A$1:$I$89,3,0)*VLOOKUP('Données projet'!$B$13,Paramètres!$A$1:$I$89,5,0)</f>
        <v>136.98047999999983</v>
      </c>
      <c r="CV79" s="14">
        <f t="shared" si="95"/>
        <v>35.604400515895449</v>
      </c>
      <c r="CW79" s="22">
        <f t="shared" si="67"/>
        <v>300.58533356518427</v>
      </c>
      <c r="CX79" s="62">
        <f t="shared" si="68"/>
        <v>569.6749179460337</v>
      </c>
      <c r="CY79" s="62">
        <f ca="1">AVERAGE(OFFSET($CX$3,0,0,'Données projet'!$E$13+1,1))-AVERAGE(OFFSET($H$3,0,0,'Données projet'!$E$13+1,1))</f>
        <v>226.76930997889059</v>
      </c>
      <c r="CZ79" s="62">
        <f t="shared" si="96"/>
        <v>236.36066378969329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3.4</v>
      </c>
      <c r="DO79" s="13">
        <f>IF('Données projet'!$A$166&gt;35,DO78+DN79-DW78,IF(A79&lt;'Données projet'!$A$166,$DL$205^A79,IF(A79='Données projet'!$A$166,'Données projet'!$B$166,DO78+DN79-DW78)))</f>
        <v>132.39999999999998</v>
      </c>
      <c r="DP79" s="18">
        <f>DO79*VLOOKUP('Données projet'!$B$14,Paramètres!$A$1:$I$89,3,0)*VLOOKUP('Données projet'!$B$14,Paramètres!$A$1:$I$89,5,0)</f>
        <v>142.51535999999999</v>
      </c>
      <c r="DQ79" s="14">
        <f t="shared" si="97"/>
        <v>36.87264058911223</v>
      </c>
      <c r="DR79" s="22">
        <f t="shared" si="70"/>
        <v>312.43410102603713</v>
      </c>
      <c r="DS79" s="62">
        <f t="shared" si="71"/>
        <v>581.52368540688656</v>
      </c>
      <c r="DT79" s="62">
        <f ca="1">AVERAGE(OFFSET($DS$3,0,0,'Données projet'!$E$14+1,1))-AVERAGE(OFFSET($H$3,0,0,'Données projet'!$E$14+1,1))</f>
        <v>315.12428188060306</v>
      </c>
      <c r="DU79" s="62">
        <f t="shared" si="98"/>
        <v>186.08400677811986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4.3589743589743648</v>
      </c>
      <c r="EJ79" s="13">
        <f>IF('Données projet'!$A$192&gt;35,EJ78+EI79-ER78,IF(A79&lt;'Données projet'!$A$192,$EG$205^A79,IF(A79='Données projet'!$A$192,'Données projet'!$B$192,EJ78+EI79-ER78)))</f>
        <v>262.05128205128187</v>
      </c>
      <c r="EK79" s="18">
        <f>EJ79*VLOOKUP('Données projet'!$B$15,Paramètres!$A$1:$I$89,3,0)*VLOOKUP('Données projet'!$B$15,Paramètres!$A$1:$I$89,5,0)</f>
        <v>273.89599999999984</v>
      </c>
      <c r="EL79" s="14">
        <f t="shared" si="99"/>
        <v>65.675408141572404</v>
      </c>
      <c r="EM79" s="22">
        <f t="shared" si="73"/>
        <v>591.42020251323834</v>
      </c>
      <c r="EN79" s="62">
        <f t="shared" si="74"/>
        <v>860.50978689408771</v>
      </c>
      <c r="EO79" s="62">
        <f ca="1">AVERAGE(OFFSET($EN$3,0,0,'Données projet'!$E$15+1,1))-AVERAGE(OFFSET($H$3,0,0,'Données projet'!$E$15+1,1))</f>
        <v>530.77325763685963</v>
      </c>
      <c r="EP79" s="62">
        <f t="shared" si="100"/>
        <v>344.23100274990145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90.580021122303947</v>
      </c>
      <c r="T80" s="62">
        <f t="shared" si="88"/>
        <v>375.77399473907451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25.545801886877328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1.9739973328108424E-8</v>
      </c>
      <c r="AC80" s="24">
        <f t="shared" si="57"/>
        <v>25.545801906617303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87.3677313039193</v>
      </c>
      <c r="AO80" s="62">
        <f t="shared" si="90"/>
        <v>326.27342751542903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21.822995401219103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21.822995401219103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254.91239442958343</v>
      </c>
      <c r="BJ80" s="62">
        <f t="shared" si="92"/>
        <v>361.41009011468407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267.69599999999991</v>
      </c>
      <c r="CA80" s="14">
        <f t="shared" si="93"/>
        <v>64.360058723585439</v>
      </c>
      <c r="CB80" s="22">
        <f t="shared" si="64"/>
        <v>578.33096894357777</v>
      </c>
      <c r="CC80" s="62">
        <f t="shared" si="65"/>
        <v>847.84112816785</v>
      </c>
      <c r="CD80" s="62">
        <f ca="1">AVERAGE(OFFSET($CC$3,0,0,'Données projet'!$E$12+1,1))-AVERAGE(OFFSET($H$3,0,0,'Données projet'!$E$12+1,1))</f>
        <v>516.30971934066179</v>
      </c>
      <c r="CE80" s="62">
        <f t="shared" si="94"/>
        <v>290.84286505723571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1.8</v>
      </c>
      <c r="CT80" s="13">
        <f>IF('Données projet'!$A$140&gt;35,CT79+CS80-DB79,IF(A80&lt;'Données projet'!$A$140,$CQ$205^A80,IF(A80='Données projet'!$A$140,'Données projet'!$B$140,CT79+CS80-DB79)))</f>
        <v>158.5999999999998</v>
      </c>
      <c r="CU80" s="18">
        <f>CT80*VLOOKUP('Données projet'!$B$13,Paramètres!$A$1:$I$89,3,0)*VLOOKUP('Données projet'!$B$13,Paramètres!$A$1:$I$89,5,0)</f>
        <v>138.55295999999984</v>
      </c>
      <c r="CV80" s="14">
        <f t="shared" si="95"/>
        <v>35.965308766301767</v>
      </c>
      <c r="CW80" s="22">
        <f t="shared" si="67"/>
        <v>303.95265143464201</v>
      </c>
      <c r="CX80" s="62">
        <f t="shared" si="68"/>
        <v>573.46281065891435</v>
      </c>
      <c r="CY80" s="62">
        <f ca="1">AVERAGE(OFFSET($CX$3,0,0,'Données projet'!$E$13+1,1))-AVERAGE(OFFSET($H$3,0,0,'Données projet'!$E$13+1,1))</f>
        <v>226.76930997889059</v>
      </c>
      <c r="CZ80" s="62">
        <f t="shared" si="96"/>
        <v>236.36066378969329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3.4</v>
      </c>
      <c r="DO80" s="13">
        <f>IF('Données projet'!$A$166&gt;35,DO79+DN80-DW79,IF(A80&lt;'Données projet'!$A$166,$DL$205^A80,IF(A80='Données projet'!$A$166,'Données projet'!$B$166,DO79+DN80-DW79)))</f>
        <v>135.79999999999998</v>
      </c>
      <c r="DP80" s="18">
        <f>DO80*VLOOKUP('Données projet'!$B$14,Paramètres!$A$1:$I$89,3,0)*VLOOKUP('Données projet'!$B$14,Paramètres!$A$1:$I$89,5,0)</f>
        <v>146.17511999999999</v>
      </c>
      <c r="DQ80" s="14">
        <f t="shared" si="97"/>
        <v>37.708065541834948</v>
      </c>
      <c r="DR80" s="22">
        <f t="shared" si="70"/>
        <v>320.26321481869581</v>
      </c>
      <c r="DS80" s="62">
        <f t="shared" si="71"/>
        <v>589.77337404296804</v>
      </c>
      <c r="DT80" s="62">
        <f ca="1">AVERAGE(OFFSET($DS$3,0,0,'Données projet'!$E$14+1,1))-AVERAGE(OFFSET($H$3,0,0,'Données projet'!$E$14+1,1))</f>
        <v>315.12428188060306</v>
      </c>
      <c r="DU80" s="62">
        <f t="shared" si="98"/>
        <v>186.08400677811986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4.3589743589743648</v>
      </c>
      <c r="EJ80" s="13">
        <f>IF('Données projet'!$A$192&gt;35,EJ79+EI80-ER79,IF(A80&lt;'Données projet'!$A$192,$EG$205^A80,IF(A80='Données projet'!$A$192,'Données projet'!$B$192,EJ79+EI80-ER79)))</f>
        <v>266.41025641025624</v>
      </c>
      <c r="EK80" s="18">
        <f>EJ80*VLOOKUP('Données projet'!$B$15,Paramètres!$A$1:$I$89,3,0)*VLOOKUP('Données projet'!$B$15,Paramètres!$A$1:$I$89,5,0)</f>
        <v>278.45199999999988</v>
      </c>
      <c r="EL80" s="14">
        <f t="shared" si="99"/>
        <v>66.639766503676199</v>
      </c>
      <c r="EM80" s="22">
        <f t="shared" si="73"/>
        <v>601.03482666056914</v>
      </c>
      <c r="EN80" s="62">
        <f t="shared" si="74"/>
        <v>870.54498588484148</v>
      </c>
      <c r="EO80" s="62">
        <f ca="1">AVERAGE(OFFSET($EN$3,0,0,'Données projet'!$E$15+1,1))-AVERAGE(OFFSET($H$3,0,0,'Données projet'!$E$15+1,1))</f>
        <v>530.77325763685963</v>
      </c>
      <c r="EP80" s="62">
        <f t="shared" si="100"/>
        <v>344.23100274990145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90.580021122303947</v>
      </c>
      <c r="T81" s="62">
        <f t="shared" si="88"/>
        <v>375.77399473907451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25.04486429327628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1.3958269000747048E-8</v>
      </c>
      <c r="AC81" s="24">
        <f t="shared" si="57"/>
        <v>25.044864307234548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87.3677313039193</v>
      </c>
      <c r="AO81" s="62">
        <f t="shared" si="90"/>
        <v>326.27342751542903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21.395059772114067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21.395059772114067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254.91239442958343</v>
      </c>
      <c r="BJ81" s="62">
        <f t="shared" si="92"/>
        <v>361.41009011468407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273.77999999999992</v>
      </c>
      <c r="CA81" s="14">
        <f t="shared" si="93"/>
        <v>65.650830427167435</v>
      </c>
      <c r="CB81" s="22">
        <f t="shared" si="64"/>
        <v>591.17536299398307</v>
      </c>
      <c r="CC81" s="62">
        <f t="shared" si="65"/>
        <v>861.0988010284093</v>
      </c>
      <c r="CD81" s="62">
        <f ca="1">AVERAGE(OFFSET($CC$3,0,0,'Données projet'!$E$12+1,1))-AVERAGE(OFFSET($H$3,0,0,'Données projet'!$E$12+1,1))</f>
        <v>516.30971934066179</v>
      </c>
      <c r="CE81" s="62">
        <f t="shared" si="94"/>
        <v>290.84286505723571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1.8</v>
      </c>
      <c r="CT81" s="13">
        <f>IF('Données projet'!$A$140&gt;35,CT80+CS81-DB80,IF(A81&lt;'Données projet'!$A$140,$CQ$205^A81,IF(A81='Données projet'!$A$140,'Données projet'!$B$140,CT80+CS81-DB80)))</f>
        <v>160.39999999999981</v>
      </c>
      <c r="CU81" s="18">
        <f>CT81*VLOOKUP('Données projet'!$B$13,Paramètres!$A$1:$I$89,3,0)*VLOOKUP('Données projet'!$B$13,Paramètres!$A$1:$I$89,5,0)</f>
        <v>140.12543999999986</v>
      </c>
      <c r="CV81" s="14">
        <f t="shared" si="95"/>
        <v>36.325740539490781</v>
      </c>
      <c r="CW81" s="22">
        <f t="shared" si="67"/>
        <v>307.3191394396128</v>
      </c>
      <c r="CX81" s="62">
        <f t="shared" si="68"/>
        <v>577.24257747403908</v>
      </c>
      <c r="CY81" s="62">
        <f ca="1">AVERAGE(OFFSET($CX$3,0,0,'Données projet'!$E$13+1,1))-AVERAGE(OFFSET($H$3,0,0,'Données projet'!$E$13+1,1))</f>
        <v>226.76930997889059</v>
      </c>
      <c r="CZ81" s="62">
        <f t="shared" si="96"/>
        <v>236.36066378969329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3.4</v>
      </c>
      <c r="DO81" s="13">
        <f>IF('Données projet'!$A$166&gt;35,DO80+DN81-DW80,IF(A81&lt;'Données projet'!$A$166,$DL$205^A81,IF(A81='Données projet'!$A$166,'Données projet'!$B$166,DO80+DN81-DW80)))</f>
        <v>139.19999999999999</v>
      </c>
      <c r="DP81" s="18">
        <f>DO81*VLOOKUP('Données projet'!$B$14,Paramètres!$A$1:$I$89,3,0)*VLOOKUP('Données projet'!$B$14,Paramètres!$A$1:$I$89,5,0)</f>
        <v>149.83488</v>
      </c>
      <c r="DQ81" s="14">
        <f t="shared" si="97"/>
        <v>38.541059103316854</v>
      </c>
      <c r="DR81" s="22">
        <f t="shared" si="70"/>
        <v>328.08809393827681</v>
      </c>
      <c r="DS81" s="62">
        <f t="shared" si="71"/>
        <v>598.0115319727031</v>
      </c>
      <c r="DT81" s="62">
        <f ca="1">AVERAGE(OFFSET($DS$3,0,0,'Données projet'!$E$14+1,1))-AVERAGE(OFFSET($H$3,0,0,'Données projet'!$E$14+1,1))</f>
        <v>315.12428188060306</v>
      </c>
      <c r="DU81" s="62">
        <f t="shared" si="98"/>
        <v>186.08400677811986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4.3589743589743648</v>
      </c>
      <c r="EJ81" s="13">
        <f>IF('Données projet'!$A$192&gt;35,EJ80+EI81-ER80,IF(A81&lt;'Données projet'!$A$192,$EG$205^A81,IF(A81='Données projet'!$A$192,'Données projet'!$B$192,EJ80+EI81-ER80)))</f>
        <v>270.7692307692306</v>
      </c>
      <c r="EK81" s="18">
        <f>EJ81*VLOOKUP('Données projet'!$B$15,Paramètres!$A$1:$I$89,3,0)*VLOOKUP('Données projet'!$B$15,Paramètres!$A$1:$I$89,5,0)</f>
        <v>283.00799999999987</v>
      </c>
      <c r="EL81" s="14">
        <f t="shared" si="99"/>
        <v>67.602289883832427</v>
      </c>
      <c r="EM81" s="22">
        <f t="shared" si="73"/>
        <v>610.64625488100796</v>
      </c>
      <c r="EN81" s="62">
        <f t="shared" si="74"/>
        <v>880.56969291543419</v>
      </c>
      <c r="EO81" s="62">
        <f ca="1">AVERAGE(OFFSET($EN$3,0,0,'Données projet'!$E$15+1,1))-AVERAGE(OFFSET($H$3,0,0,'Données projet'!$E$15+1,1))</f>
        <v>530.77325763685963</v>
      </c>
      <c r="EP81" s="62">
        <f t="shared" si="100"/>
        <v>344.23100274990145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90.580021122303947</v>
      </c>
      <c r="T82" s="62">
        <f t="shared" si="88"/>
        <v>375.77399473907451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24.553749780343985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9.8699866640542121E-9</v>
      </c>
      <c r="AC82" s="24">
        <f t="shared" si="57"/>
        <v>24.553749790213971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87.3677313039193</v>
      </c>
      <c r="AO82" s="62">
        <f t="shared" si="90"/>
        <v>326.27342751542903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20.97551569968082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20.97551569968082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254.91239442958343</v>
      </c>
      <c r="BJ82" s="62">
        <f t="shared" si="92"/>
        <v>361.41009011468407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279.86399999999986</v>
      </c>
      <c r="CA82" s="14">
        <f t="shared" si="93"/>
        <v>66.938267358965007</v>
      </c>
      <c r="CB82" s="22">
        <f t="shared" si="64"/>
        <v>604.01394898353044</v>
      </c>
      <c r="CC82" s="62">
        <f t="shared" si="65"/>
        <v>874.34349636470733</v>
      </c>
      <c r="CD82" s="62">
        <f ca="1">AVERAGE(OFFSET($CC$3,0,0,'Données projet'!$E$12+1,1))-AVERAGE(OFFSET($H$3,0,0,'Données projet'!$E$12+1,1))</f>
        <v>516.30971934066179</v>
      </c>
      <c r="CE82" s="62">
        <f t="shared" si="94"/>
        <v>290.84286505723571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1.8</v>
      </c>
      <c r="CT82" s="13">
        <f>IF('Données projet'!$A$140&gt;35,CT81+CS82-DB81,IF(A82&lt;'Données projet'!$A$140,$CQ$205^A82,IF(A82='Données projet'!$A$140,'Données projet'!$B$140,CT81+CS82-DB81)))</f>
        <v>162.19999999999982</v>
      </c>
      <c r="CU82" s="18">
        <f>CT82*VLOOKUP('Données projet'!$B$13,Paramètres!$A$1:$I$89,3,0)*VLOOKUP('Données projet'!$B$13,Paramètres!$A$1:$I$89,5,0)</f>
        <v>141.69791999999987</v>
      </c>
      <c r="CV82" s="14">
        <f t="shared" si="95"/>
        <v>36.685701801209326</v>
      </c>
      <c r="CW82" s="22">
        <f t="shared" si="67"/>
        <v>310.68480797043929</v>
      </c>
      <c r="CX82" s="62">
        <f t="shared" si="68"/>
        <v>581.01435535161625</v>
      </c>
      <c r="CY82" s="62">
        <f ca="1">AVERAGE(OFFSET($CX$3,0,0,'Données projet'!$E$13+1,1))-AVERAGE(OFFSET($H$3,0,0,'Données projet'!$E$13+1,1))</f>
        <v>226.76930997889059</v>
      </c>
      <c r="CZ82" s="62">
        <f t="shared" si="96"/>
        <v>236.36066378969329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3.4</v>
      </c>
      <c r="DO82" s="13">
        <f>IF('Données projet'!$A$166&gt;35,DO81+DN82-DW81,IF(A82&lt;'Données projet'!$A$166,$DL$205^A82,IF(A82='Données projet'!$A$166,'Données projet'!$B$166,DO81+DN82-DW81)))</f>
        <v>142.6</v>
      </c>
      <c r="DP82" s="18">
        <f>DO82*VLOOKUP('Données projet'!$B$14,Paramètres!$A$1:$I$89,3,0)*VLOOKUP('Données projet'!$B$14,Paramètres!$A$1:$I$89,5,0)</f>
        <v>153.49464</v>
      </c>
      <c r="DQ82" s="14">
        <f t="shared" si="97"/>
        <v>39.371687492841382</v>
      </c>
      <c r="DR82" s="22">
        <f t="shared" si="70"/>
        <v>335.90885371669873</v>
      </c>
      <c r="DS82" s="62">
        <f t="shared" si="71"/>
        <v>606.23840109787568</v>
      </c>
      <c r="DT82" s="62">
        <f ca="1">AVERAGE(OFFSET($DS$3,0,0,'Données projet'!$E$14+1,1))-AVERAGE(OFFSET($H$3,0,0,'Données projet'!$E$14+1,1))</f>
        <v>315.12428188060306</v>
      </c>
      <c r="DU82" s="62">
        <f t="shared" si="98"/>
        <v>186.08400677811986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4.3589743589743648</v>
      </c>
      <c r="EJ82" s="13">
        <f>IF('Données projet'!$A$192&gt;35,EJ81+EI82-ER81,IF(A82&lt;'Données projet'!$A$192,$EG$205^A82,IF(A82='Données projet'!$A$192,'Données projet'!$B$192,EJ81+EI82-ER81)))</f>
        <v>275.12820512820497</v>
      </c>
      <c r="EK82" s="18">
        <f>EJ82*VLOOKUP('Données projet'!$B$15,Paramètres!$A$1:$I$89,3,0)*VLOOKUP('Données projet'!$B$15,Paramètres!$A$1:$I$89,5,0)</f>
        <v>287.56399999999985</v>
      </c>
      <c r="EL82" s="14">
        <f t="shared" si="99"/>
        <v>68.563011232963589</v>
      </c>
      <c r="EM82" s="22">
        <f t="shared" si="73"/>
        <v>620.25454456407806</v>
      </c>
      <c r="EN82" s="62">
        <f t="shared" si="74"/>
        <v>890.58409194525507</v>
      </c>
      <c r="EO82" s="62">
        <f ca="1">AVERAGE(OFFSET($EN$3,0,0,'Données projet'!$E$15+1,1))-AVERAGE(OFFSET($H$3,0,0,'Données projet'!$E$15+1,1))</f>
        <v>530.77325763685963</v>
      </c>
      <c r="EP82" s="62">
        <f t="shared" si="100"/>
        <v>344.23100274990145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90.580021122303947</v>
      </c>
      <c r="T83" s="62">
        <f t="shared" si="88"/>
        <v>375.77399473907451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24.072265723460017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6.979134500373524E-9</v>
      </c>
      <c r="AC83" s="24">
        <f t="shared" si="57"/>
        <v>24.072265730439153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87.3677313039193</v>
      </c>
      <c r="AO83" s="62">
        <f t="shared" si="90"/>
        <v>326.27342751542903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20.564198630611372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20.564198630611372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254.91239442958343</v>
      </c>
      <c r="BJ83" s="62">
        <f t="shared" si="92"/>
        <v>361.41009011468407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285.94799999999992</v>
      </c>
      <c r="CA83" s="14">
        <f t="shared" si="93"/>
        <v>68.222450362989363</v>
      </c>
      <c r="CB83" s="22">
        <f t="shared" si="64"/>
        <v>616.84686771553959</v>
      </c>
      <c r="CC83" s="62">
        <f t="shared" si="65"/>
        <v>887.57547935422576</v>
      </c>
      <c r="CD83" s="62">
        <f ca="1">AVERAGE(OFFSET($CC$3,0,0,'Données projet'!$E$12+1,1))-AVERAGE(OFFSET($H$3,0,0,'Données projet'!$E$12+1,1))</f>
        <v>516.30971934066179</v>
      </c>
      <c r="CE83" s="62">
        <f t="shared" si="94"/>
        <v>290.84286505723571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164</v>
      </c>
      <c r="CR83" s="13">
        <f>VLOOKUP(A83,'Données projet'!$A$139:$I$159,9,0)</f>
        <v>1.8</v>
      </c>
      <c r="CS83" s="13">
        <f t="array" ref="CS83">INDEX(CR:CR,MIN(IF(ISNUMBER(CR83:CR279),ROW(CR83:CR279),"")))</f>
        <v>1.8</v>
      </c>
      <c r="CT83" s="13">
        <f>IF('Données projet'!$A$140&gt;35,CT82+CS83-DB82,IF(A83&lt;'Données projet'!$A$140,$CQ$205^A83,IF(A83='Données projet'!$A$140,'Données projet'!$B$140,CT82+CS83-DB82)))</f>
        <v>163.99999999999983</v>
      </c>
      <c r="CU83" s="18">
        <f>CT83*VLOOKUP('Données projet'!$B$13,Paramètres!$A$1:$I$89,3,0)*VLOOKUP('Données projet'!$B$13,Paramètres!$A$1:$I$89,5,0)</f>
        <v>143.27039999999988</v>
      </c>
      <c r="CV83" s="14">
        <f t="shared" si="95"/>
        <v>37.045198377171275</v>
      </c>
      <c r="CW83" s="22">
        <f t="shared" si="67"/>
        <v>314.04966717357314</v>
      </c>
      <c r="CX83" s="62">
        <f t="shared" si="68"/>
        <v>584.77827881225926</v>
      </c>
      <c r="CY83" s="62">
        <f ca="1">AVERAGE(OFFSET($CX$3,0,0,'Données projet'!$E$13+1,1))-AVERAGE(OFFSET($H$3,0,0,'Données projet'!$E$13+1,1))</f>
        <v>226.76930997889059</v>
      </c>
      <c r="CZ83" s="62">
        <f t="shared" si="96"/>
        <v>236.36066378969329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164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146</v>
      </c>
      <c r="DM83" s="13">
        <f>VLOOKUP(A83,'Données projet'!$A$165:$I$185,9,0)</f>
        <v>3.4</v>
      </c>
      <c r="DN83" s="13">
        <f t="array" ref="DN83">INDEX(DM:DM,MIN(IF(ISNUMBER(DM83:DM279),ROW(DM83:DM279),"")))</f>
        <v>3.4</v>
      </c>
      <c r="DO83" s="13">
        <f>IF('Données projet'!$A$166&gt;35,DO82+DN83-DW82,IF(A83&lt;'Données projet'!$A$166,$DL$205^A83,IF(A83='Données projet'!$A$166,'Données projet'!$B$166,DO82+DN83-DW82)))</f>
        <v>146</v>
      </c>
      <c r="DP83" s="18">
        <f>DO83*VLOOKUP('Données projet'!$B$14,Paramètres!$A$1:$I$89,3,0)*VLOOKUP('Données projet'!$B$14,Paramètres!$A$1:$I$89,5,0)</f>
        <v>157.15440000000001</v>
      </c>
      <c r="DQ83" s="14">
        <f t="shared" si="97"/>
        <v>40.200013591870956</v>
      </c>
      <c r="DR83" s="22">
        <f t="shared" si="70"/>
        <v>343.72560367250861</v>
      </c>
      <c r="DS83" s="62">
        <f t="shared" si="71"/>
        <v>614.45421531119473</v>
      </c>
      <c r="DT83" s="62">
        <f ca="1">AVERAGE(OFFSET($DS$3,0,0,'Données projet'!$E$14+1,1))-AVERAGE(OFFSET($H$3,0,0,'Données projet'!$E$14+1,1))</f>
        <v>315.12428188060306</v>
      </c>
      <c r="DU83" s="62">
        <f t="shared" si="98"/>
        <v>186.08400677811986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279.4871794871795</v>
      </c>
      <c r="EH83" s="13">
        <f>VLOOKUP(A83,'Données projet'!$A$191:$I$211,9,0)</f>
        <v>4.3589743589743648</v>
      </c>
      <c r="EI83" s="13">
        <f t="array" ref="EI83">INDEX(EH:EH,MIN(IF(ISNUMBER(EH83:EH279),ROW(EH83:EH279),"")))</f>
        <v>4.3589743589743648</v>
      </c>
      <c r="EJ83" s="13">
        <f>IF('Données projet'!$A$192&gt;35,EJ82+EI83-ER82,IF(A83&lt;'Données projet'!$A$192,$EG$205^A83,IF(A83='Données projet'!$A$192,'Données projet'!$B$192,EJ82+EI83-ER82)))</f>
        <v>279.48717948717933</v>
      </c>
      <c r="EK83" s="18">
        <f>EJ83*VLOOKUP('Données projet'!$B$15,Paramètres!$A$1:$I$89,3,0)*VLOOKUP('Données projet'!$B$15,Paramètres!$A$1:$I$89,5,0)</f>
        <v>292.11999999999989</v>
      </c>
      <c r="EL83" s="14">
        <f t="shared" si="99"/>
        <v>69.521962397994116</v>
      </c>
      <c r="EM83" s="22">
        <f t="shared" si="73"/>
        <v>629.85975117650617</v>
      </c>
      <c r="EN83" s="62">
        <f t="shared" si="74"/>
        <v>900.58836281519234</v>
      </c>
      <c r="EO83" s="62">
        <f ca="1">AVERAGE(OFFSET($EN$3,0,0,'Données projet'!$E$15+1,1))-AVERAGE(OFFSET($H$3,0,0,'Données projet'!$E$15+1,1))</f>
        <v>530.77325763685963</v>
      </c>
      <c r="EP83" s="62">
        <f t="shared" si="100"/>
        <v>344.23100274990145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22.435897435897434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90.580021122303947</v>
      </c>
      <c r="T84" s="62">
        <f t="shared" si="88"/>
        <v>375.77399473907451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23.600223275255267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4.9349933320271061E-9</v>
      </c>
      <c r="AC84" s="24">
        <f t="shared" si="57"/>
        <v>23.60022328019026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87.3677313039193</v>
      </c>
      <c r="AO84" s="62">
        <f t="shared" si="90"/>
        <v>326.27342751542903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20.160947238387738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20.160947238387738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254.91239442958343</v>
      </c>
      <c r="BJ84" s="62">
        <f t="shared" si="92"/>
        <v>361.41009011468407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249.03839999999994</v>
      </c>
      <c r="CA84" s="14">
        <f t="shared" si="93"/>
        <v>60.379982523339947</v>
      </c>
      <c r="CB84" s="22">
        <f t="shared" si="64"/>
        <v>538.90368289481694</v>
      </c>
      <c r="CC84" s="62">
        <f t="shared" si="65"/>
        <v>810.02443591831843</v>
      </c>
      <c r="CD84" s="62">
        <f ca="1">AVERAGE(OFFSET($CC$3,0,0,'Données projet'!$E$12+1,1))-AVERAGE(OFFSET($H$3,0,0,'Données projet'!$E$12+1,1))</f>
        <v>516.30971934066179</v>
      </c>
      <c r="CE84" s="62">
        <f t="shared" si="94"/>
        <v>290.84286505723571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-1.7053025658242404E-13</v>
      </c>
      <c r="CU84" s="18">
        <f>CT84*VLOOKUP('Données projet'!$B$13,Paramètres!$A$1:$I$89,3,0)*VLOOKUP('Données projet'!$B$13,Paramètres!$A$1:$I$89,5,0)</f>
        <v>-1.4897523215040567E-13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226.76930997889059</v>
      </c>
      <c r="CZ84" s="62">
        <f t="shared" si="96"/>
        <v>236.36066378969329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</v>
      </c>
      <c r="DO84" s="13">
        <f>IF('Données projet'!$A$166&gt;35,DO83+DN84-DW83,IF(A84&lt;'Données projet'!$A$166,$DL$205^A84,IF(A84='Données projet'!$A$166,'Données projet'!$B$166,DO83+DN84-DW83)))</f>
        <v>149</v>
      </c>
      <c r="DP84" s="18">
        <f>DO84*VLOOKUP('Données projet'!$B$14,Paramètres!$A$1:$I$89,3,0)*VLOOKUP('Données projet'!$B$14,Paramètres!$A$1:$I$89,5,0)</f>
        <v>160.38359999999997</v>
      </c>
      <c r="DQ84" s="14">
        <f t="shared" si="97"/>
        <v>40.929025395397851</v>
      </c>
      <c r="DR84" s="22">
        <f t="shared" si="70"/>
        <v>350.61948923031787</v>
      </c>
      <c r="DS84" s="62">
        <f t="shared" si="71"/>
        <v>621.74024225381936</v>
      </c>
      <c r="DT84" s="62">
        <f ca="1">AVERAGE(OFFSET($DS$3,0,0,'Données projet'!$E$14+1,1))-AVERAGE(OFFSET($H$3,0,0,'Données projet'!$E$14+1,1))</f>
        <v>315.12428188060306</v>
      </c>
      <c r="DU84" s="62">
        <f t="shared" si="98"/>
        <v>186.08400677811986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3.9743589743589722</v>
      </c>
      <c r="EJ84" s="13">
        <f>IF('Données projet'!$A$192&gt;35,EJ83+EI84-ER83,IF(A84&lt;'Données projet'!$A$192,$EG$205^A84,IF(A84='Données projet'!$A$192,'Données projet'!$B$192,EJ83+EI84-ER83)))</f>
        <v>261.02564102564082</v>
      </c>
      <c r="EK84" s="18">
        <f>EJ84*VLOOKUP('Données projet'!$B$15,Paramètres!$A$1:$I$89,3,0)*VLOOKUP('Données projet'!$B$15,Paramètres!$A$1:$I$89,5,0)</f>
        <v>272.82399999999984</v>
      </c>
      <c r="EL84" s="14">
        <f t="shared" si="99"/>
        <v>65.448229947121135</v>
      </c>
      <c r="EM84" s="22">
        <f t="shared" si="73"/>
        <v>589.15746715790237</v>
      </c>
      <c r="EN84" s="62">
        <f t="shared" si="74"/>
        <v>860.27822018140387</v>
      </c>
      <c r="EO84" s="62">
        <f ca="1">AVERAGE(OFFSET($EN$3,0,0,'Données projet'!$E$15+1,1))-AVERAGE(OFFSET($H$3,0,0,'Données projet'!$E$15+1,1))</f>
        <v>530.77325763685963</v>
      </c>
      <c r="EP84" s="62">
        <f t="shared" si="100"/>
        <v>344.23100274990145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90.580021122303947</v>
      </c>
      <c r="T85" s="62">
        <f t="shared" si="88"/>
        <v>375.77399473907451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23.137437291542348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3.489567250186762E-9</v>
      </c>
      <c r="AC85" s="24">
        <f t="shared" si="57"/>
        <v>23.137437295031916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87.3677313039193</v>
      </c>
      <c r="AO85" s="62">
        <f t="shared" si="90"/>
        <v>326.27342751542903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19.765603360006544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19.765603360006544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254.91239442958343</v>
      </c>
      <c r="BJ85" s="62">
        <f t="shared" si="92"/>
        <v>361.41009011468407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254.71679999999992</v>
      </c>
      <c r="CA85" s="14">
        <f t="shared" si="93"/>
        <v>61.594871205031538</v>
      </c>
      <c r="CB85" s="22">
        <f t="shared" si="64"/>
        <v>550.9094940154298</v>
      </c>
      <c r="CC85" s="62">
        <f t="shared" si="65"/>
        <v>822.41558564741683</v>
      </c>
      <c r="CD85" s="62">
        <f ca="1">AVERAGE(OFFSET($CC$3,0,0,'Données projet'!$E$12+1,1))-AVERAGE(OFFSET($H$3,0,0,'Données projet'!$E$12+1,1))</f>
        <v>516.30971934066179</v>
      </c>
      <c r="CE85" s="62">
        <f t="shared" si="94"/>
        <v>290.84286505723571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-1.7053025658242404E-13</v>
      </c>
      <c r="CU85" s="18">
        <f>CT85*VLOOKUP('Données projet'!$B$13,Paramètres!$A$1:$I$89,3,0)*VLOOKUP('Données projet'!$B$13,Paramètres!$A$1:$I$89,5,0)</f>
        <v>-1.4897523215040567E-13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226.76930997889059</v>
      </c>
      <c r="CZ85" s="62">
        <f t="shared" si="96"/>
        <v>236.36066378969329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</v>
      </c>
      <c r="DO85" s="13">
        <f>IF('Données projet'!$A$166&gt;35,DO84+DN85-DW84,IF(A85&lt;'Données projet'!$A$166,$DL$205^A85,IF(A85='Données projet'!$A$166,'Données projet'!$B$166,DO84+DN85-DW84)))</f>
        <v>152</v>
      </c>
      <c r="DP85" s="18">
        <f>DO85*VLOOKUP('Données projet'!$B$14,Paramètres!$A$1:$I$89,3,0)*VLOOKUP('Données projet'!$B$14,Paramètres!$A$1:$I$89,5,0)</f>
        <v>163.61279999999999</v>
      </c>
      <c r="DQ85" s="14">
        <f t="shared" si="97"/>
        <v>41.656330547871804</v>
      </c>
      <c r="DR85" s="22">
        <f t="shared" si="70"/>
        <v>357.51040237087665</v>
      </c>
      <c r="DS85" s="62">
        <f t="shared" si="71"/>
        <v>629.01649400286374</v>
      </c>
      <c r="DT85" s="62">
        <f ca="1">AVERAGE(OFFSET($DS$3,0,0,'Données projet'!$E$14+1,1))-AVERAGE(OFFSET($H$3,0,0,'Données projet'!$E$14+1,1))</f>
        <v>315.12428188060306</v>
      </c>
      <c r="DU85" s="62">
        <f t="shared" si="98"/>
        <v>186.08400677811986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3.9743589743589722</v>
      </c>
      <c r="EJ85" s="13">
        <f>IF('Données projet'!$A$192&gt;35,EJ84+EI85-ER84,IF(A85&lt;'Données projet'!$A$192,$EG$205^A85,IF(A85='Données projet'!$A$192,'Données projet'!$B$192,EJ84+EI85-ER84)))</f>
        <v>264.99999999999977</v>
      </c>
      <c r="EK85" s="18">
        <f>EJ85*VLOOKUP('Données projet'!$B$15,Paramètres!$A$1:$I$89,3,0)*VLOOKUP('Données projet'!$B$15,Paramètres!$A$1:$I$89,5,0)</f>
        <v>276.97799999999978</v>
      </c>
      <c r="EL85" s="14">
        <f t="shared" si="99"/>
        <v>66.327970633211649</v>
      </c>
      <c r="EM85" s="22">
        <f t="shared" si="73"/>
        <v>597.92456551950988</v>
      </c>
      <c r="EN85" s="62">
        <f t="shared" si="74"/>
        <v>869.43065715149692</v>
      </c>
      <c r="EO85" s="62">
        <f ca="1">AVERAGE(OFFSET($EN$3,0,0,'Données projet'!$E$15+1,1))-AVERAGE(OFFSET($H$3,0,0,'Données projet'!$E$15+1,1))</f>
        <v>530.77325763685963</v>
      </c>
      <c r="EP85" s="62">
        <f t="shared" si="100"/>
        <v>344.23100274990145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90.580021122303947</v>
      </c>
      <c r="T86" s="62">
        <f t="shared" si="88"/>
        <v>375.77399473907451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22.683726258698464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2.467496666013553E-9</v>
      </c>
      <c r="AC86" s="24">
        <f t="shared" si="57"/>
        <v>22.683726261165962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87.3677313039193</v>
      </c>
      <c r="AO86" s="62">
        <f t="shared" si="90"/>
        <v>326.27342751542903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19.37801193394445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19.37801193394445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254.91239442958343</v>
      </c>
      <c r="BJ86" s="62">
        <f t="shared" si="92"/>
        <v>361.41009011468407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260.39519999999987</v>
      </c>
      <c r="CA86" s="14">
        <f t="shared" si="93"/>
        <v>62.806611177714331</v>
      </c>
      <c r="CB86" s="22">
        <f t="shared" si="64"/>
        <v>562.90982113451889</v>
      </c>
      <c r="CC86" s="62">
        <f t="shared" si="65"/>
        <v>834.79456661162237</v>
      </c>
      <c r="CD86" s="62">
        <f ca="1">AVERAGE(OFFSET($CC$3,0,0,'Données projet'!$E$12+1,1))-AVERAGE(OFFSET($H$3,0,0,'Données projet'!$E$12+1,1))</f>
        <v>516.30971934066179</v>
      </c>
      <c r="CE86" s="62">
        <f t="shared" si="94"/>
        <v>290.84286505723571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-1.7053025658242404E-13</v>
      </c>
      <c r="CU86" s="18">
        <f>CT86*VLOOKUP('Données projet'!$B$13,Paramètres!$A$1:$I$89,3,0)*VLOOKUP('Données projet'!$B$13,Paramètres!$A$1:$I$89,5,0)</f>
        <v>-1.4897523215040567E-13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226.76930997889059</v>
      </c>
      <c r="CZ86" s="62">
        <f t="shared" si="96"/>
        <v>236.36066378969329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</v>
      </c>
      <c r="DO86" s="13">
        <f>IF('Données projet'!$A$166&gt;35,DO85+DN86-DW85,IF(A86&lt;'Données projet'!$A$166,$DL$205^A86,IF(A86='Données projet'!$A$166,'Données projet'!$B$166,DO85+DN86-DW85)))</f>
        <v>155</v>
      </c>
      <c r="DP86" s="18">
        <f>DO86*VLOOKUP('Données projet'!$B$14,Paramètres!$A$1:$I$89,3,0)*VLOOKUP('Données projet'!$B$14,Paramètres!$A$1:$I$89,5,0)</f>
        <v>166.84199999999998</v>
      </c>
      <c r="DQ86" s="14">
        <f t="shared" si="97"/>
        <v>42.381966615760334</v>
      </c>
      <c r="DR86" s="22">
        <f t="shared" si="70"/>
        <v>364.39840852244924</v>
      </c>
      <c r="DS86" s="62">
        <f t="shared" si="71"/>
        <v>636.28315399955272</v>
      </c>
      <c r="DT86" s="62">
        <f ca="1">AVERAGE(OFFSET($DS$3,0,0,'Données projet'!$E$14+1,1))-AVERAGE(OFFSET($H$3,0,0,'Données projet'!$E$14+1,1))</f>
        <v>315.12428188060306</v>
      </c>
      <c r="DU86" s="62">
        <f t="shared" si="98"/>
        <v>186.08400677811986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3.9743589743589722</v>
      </c>
      <c r="EJ86" s="13">
        <f>IF('Données projet'!$A$192&gt;35,EJ85+EI86-ER85,IF(A86&lt;'Données projet'!$A$192,$EG$205^A86,IF(A86='Données projet'!$A$192,'Données projet'!$B$192,EJ85+EI86-ER85)))</f>
        <v>268.97435897435872</v>
      </c>
      <c r="EK86" s="18">
        <f>EJ86*VLOOKUP('Données projet'!$B$15,Paramètres!$A$1:$I$89,3,0)*VLOOKUP('Données projet'!$B$15,Paramètres!$A$1:$I$89,5,0)</f>
        <v>281.13199999999972</v>
      </c>
      <c r="EL86" s="14">
        <f t="shared" si="99"/>
        <v>67.206176818686799</v>
      </c>
      <c r="EM86" s="22">
        <f t="shared" si="73"/>
        <v>606.68899129254567</v>
      </c>
      <c r="EN86" s="62">
        <f t="shared" si="74"/>
        <v>878.57373676964914</v>
      </c>
      <c r="EO86" s="62">
        <f ca="1">AVERAGE(OFFSET($EN$3,0,0,'Données projet'!$E$15+1,1))-AVERAGE(OFFSET($H$3,0,0,'Données projet'!$E$15+1,1))</f>
        <v>530.77325763685963</v>
      </c>
      <c r="EP86" s="62">
        <f t="shared" si="100"/>
        <v>344.23100274990145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90.580021122303947</v>
      </c>
      <c r="T87" s="62">
        <f t="shared" si="88"/>
        <v>375.77399473907451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22.238912222472241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1.744783625093381E-9</v>
      </c>
      <c r="AC87" s="24">
        <f t="shared" si="57"/>
        <v>22.238912224217025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87.3677313039193</v>
      </c>
      <c r="AO87" s="62">
        <f t="shared" si="90"/>
        <v>326.27342751542903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18.998020939340009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18.998020939340009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254.91239442958343</v>
      </c>
      <c r="BJ87" s="62">
        <f t="shared" si="92"/>
        <v>361.41009011468407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266.07359999999994</v>
      </c>
      <c r="CA87" s="14">
        <f t="shared" si="93"/>
        <v>64.015279012301136</v>
      </c>
      <c r="CB87" s="22">
        <f t="shared" si="64"/>
        <v>574.90479761309098</v>
      </c>
      <c r="CC87" s="62">
        <f t="shared" si="65"/>
        <v>847.16162813764129</v>
      </c>
      <c r="CD87" s="62">
        <f ca="1">AVERAGE(OFFSET($CC$3,0,0,'Données projet'!$E$12+1,1))-AVERAGE(OFFSET($H$3,0,0,'Données projet'!$E$12+1,1))</f>
        <v>516.30971934066179</v>
      </c>
      <c r="CE87" s="62">
        <f t="shared" si="94"/>
        <v>290.84286505723571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-1.7053025658242404E-13</v>
      </c>
      <c r="CU87" s="18">
        <f>CT87*VLOOKUP('Données projet'!$B$13,Paramètres!$A$1:$I$89,3,0)*VLOOKUP('Données projet'!$B$13,Paramètres!$A$1:$I$89,5,0)</f>
        <v>-1.4897523215040567E-13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226.76930997889059</v>
      </c>
      <c r="CZ87" s="62">
        <f t="shared" si="96"/>
        <v>236.36066378969329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</v>
      </c>
      <c r="DO87" s="13">
        <f>IF('Données projet'!$A$166&gt;35,DO86+DN87-DW86,IF(A87&lt;'Données projet'!$A$166,$DL$205^A87,IF(A87='Données projet'!$A$166,'Données projet'!$B$166,DO86+DN87-DW86)))</f>
        <v>158</v>
      </c>
      <c r="DP87" s="18">
        <f>DO87*VLOOKUP('Données projet'!$B$14,Paramètres!$A$1:$I$89,3,0)*VLOOKUP('Données projet'!$B$14,Paramètres!$A$1:$I$89,5,0)</f>
        <v>170.0712</v>
      </c>
      <c r="DQ87" s="14">
        <f t="shared" si="97"/>
        <v>43.10596962815594</v>
      </c>
      <c r="DR87" s="22">
        <f t="shared" si="70"/>
        <v>371.28357043570492</v>
      </c>
      <c r="DS87" s="62">
        <f t="shared" si="71"/>
        <v>643.54040096025528</v>
      </c>
      <c r="DT87" s="62">
        <f ca="1">AVERAGE(OFFSET($DS$3,0,0,'Données projet'!$E$14+1,1))-AVERAGE(OFFSET($H$3,0,0,'Données projet'!$E$14+1,1))</f>
        <v>315.12428188060306</v>
      </c>
      <c r="DU87" s="62">
        <f t="shared" si="98"/>
        <v>186.08400677811986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3.9743589743589722</v>
      </c>
      <c r="EJ87" s="13">
        <f>IF('Données projet'!$A$192&gt;35,EJ86+EI87-ER86,IF(A87&lt;'Données projet'!$A$192,$EG$205^A87,IF(A87='Données projet'!$A$192,'Données projet'!$B$192,EJ86+EI87-ER86)))</f>
        <v>272.94871794871767</v>
      </c>
      <c r="EK87" s="18">
        <f>EJ87*VLOOKUP('Données projet'!$B$15,Paramètres!$A$1:$I$89,3,0)*VLOOKUP('Données projet'!$B$15,Paramètres!$A$1:$I$89,5,0)</f>
        <v>285.28599999999972</v>
      </c>
      <c r="EL87" s="14">
        <f t="shared" si="99"/>
        <v>68.082873796613967</v>
      </c>
      <c r="EM87" s="22">
        <f t="shared" si="73"/>
        <v>615.45078852910217</v>
      </c>
      <c r="EN87" s="62">
        <f t="shared" si="74"/>
        <v>887.70761905365248</v>
      </c>
      <c r="EO87" s="62">
        <f ca="1">AVERAGE(OFFSET($EN$3,0,0,'Données projet'!$E$15+1,1))-AVERAGE(OFFSET($H$3,0,0,'Données projet'!$E$15+1,1))</f>
        <v>530.77325763685963</v>
      </c>
      <c r="EP87" s="62">
        <f t="shared" si="100"/>
        <v>344.23100274990145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90.580021122303947</v>
      </c>
      <c r="T88" s="62">
        <f t="shared" si="88"/>
        <v>375.77399473907451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21.802820718186641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1.2337483330067765E-9</v>
      </c>
      <c r="AC88" s="24">
        <f t="shared" si="57"/>
        <v>21.802820719420389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87.3677313039193</v>
      </c>
      <c r="AO88" s="62">
        <f t="shared" si="90"/>
        <v>326.27342751542903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18.625481336368139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18.625481336368139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254.91239442958343</v>
      </c>
      <c r="BJ88" s="62">
        <f t="shared" si="92"/>
        <v>361.41009011468407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271.75199999999995</v>
      </c>
      <c r="CA88" s="14">
        <f t="shared" si="93"/>
        <v>65.220947824724931</v>
      </c>
      <c r="CB88" s="22">
        <f t="shared" si="64"/>
        <v>586.89455079472907</v>
      </c>
      <c r="CC88" s="62">
        <f t="shared" si="65"/>
        <v>859.51701152301052</v>
      </c>
      <c r="CD88" s="62">
        <f ca="1">AVERAGE(OFFSET($CC$3,0,0,'Données projet'!$E$12+1,1))-AVERAGE(OFFSET($H$3,0,0,'Données projet'!$E$12+1,1))</f>
        <v>516.30971934066179</v>
      </c>
      <c r="CE88" s="62">
        <f t="shared" si="94"/>
        <v>290.84286505723571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-1.7053025658242404E-13</v>
      </c>
      <c r="CU88" s="18">
        <f>CT88*VLOOKUP('Données projet'!$B$13,Paramètres!$A$1:$I$89,3,0)*VLOOKUP('Données projet'!$B$13,Paramètres!$A$1:$I$89,5,0)</f>
        <v>-1.4897523215040567E-13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226.76930997889059</v>
      </c>
      <c r="CZ88" s="62">
        <f t="shared" si="96"/>
        <v>236.36066378969329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161</v>
      </c>
      <c r="DM88" s="13">
        <f>VLOOKUP(A88,'Données projet'!$A$165:$I$185,9,0)</f>
        <v>3</v>
      </c>
      <c r="DN88" s="13">
        <f t="array" ref="DN88">INDEX(DM:DM,MIN(IF(ISNUMBER(DM88:DM284),ROW(DM88:DM284),"")))</f>
        <v>3</v>
      </c>
      <c r="DO88" s="13">
        <f>IF('Données projet'!$A$166&gt;35,DO87+DN88-DW87,IF(A88&lt;'Données projet'!$A$166,$DL$205^A88,IF(A88='Données projet'!$A$166,'Données projet'!$B$166,DO87+DN88-DW87)))</f>
        <v>161</v>
      </c>
      <c r="DP88" s="18">
        <f>DO88*VLOOKUP('Données projet'!$B$14,Paramètres!$A$1:$I$89,3,0)*VLOOKUP('Données projet'!$B$14,Paramètres!$A$1:$I$89,5,0)</f>
        <v>173.3004</v>
      </c>
      <c r="DQ88" s="14">
        <f t="shared" si="97"/>
        <v>43.82837416766705</v>
      </c>
      <c r="DR88" s="22">
        <f t="shared" si="70"/>
        <v>378.1659483420201</v>
      </c>
      <c r="DS88" s="62">
        <f t="shared" si="71"/>
        <v>650.78840907030167</v>
      </c>
      <c r="DT88" s="62">
        <f ca="1">AVERAGE(OFFSET($DS$3,0,0,'Données projet'!$E$14+1,1))-AVERAGE(OFFSET($H$3,0,0,'Données projet'!$E$14+1,1))</f>
        <v>315.12428188060306</v>
      </c>
      <c r="DU88" s="62">
        <f t="shared" si="98"/>
        <v>186.08400677811986</v>
      </c>
      <c r="DV88" s="16">
        <f>IF(ISNA(VLOOKUP(A88,'Données projet'!$A$165:$I$185,3,0)),0,VLOOKUP(A88,'Données projet'!$A$165:$I$185,3,0))</f>
        <v>6</v>
      </c>
      <c r="DW88" s="16">
        <f>IF(ISNA(VLOOKUP(A88,'Données projet'!$A$165:$I$185,4,0)),0,VLOOKUP(A88,'Données projet'!$A$165:$I$185,4,0))</f>
        <v>18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276.92307692307691</v>
      </c>
      <c r="EH88" s="13">
        <f>VLOOKUP(A88,'Données projet'!$A$191:$I$211,9,0)</f>
        <v>3.9743589743589722</v>
      </c>
      <c r="EI88" s="13">
        <f t="array" ref="EI88">INDEX(EH:EH,MIN(IF(ISNUMBER(EH88:EH284),ROW(EH88:EH284),"")))</f>
        <v>3.9743589743589722</v>
      </c>
      <c r="EJ88" s="13">
        <f>IF('Données projet'!$A$192&gt;35,EJ87+EI88-ER87,IF(A88&lt;'Données projet'!$A$192,$EG$205^A88,IF(A88='Données projet'!$A$192,'Données projet'!$B$192,EJ87+EI88-ER87)))</f>
        <v>276.92307692307662</v>
      </c>
      <c r="EK88" s="18">
        <f>EJ88*VLOOKUP('Données projet'!$B$15,Paramètres!$A$1:$I$89,3,0)*VLOOKUP('Données projet'!$B$15,Paramètres!$A$1:$I$89,5,0)</f>
        <v>289.43999999999971</v>
      </c>
      <c r="EL88" s="14">
        <f t="shared" si="99"/>
        <v>68.958086081193898</v>
      </c>
      <c r="EM88" s="22">
        <f t="shared" si="73"/>
        <v>624.20999992474549</v>
      </c>
      <c r="EN88" s="62">
        <f t="shared" si="74"/>
        <v>896.83246065302706</v>
      </c>
      <c r="EO88" s="62">
        <f ca="1">AVERAGE(OFFSET($EN$3,0,0,'Données projet'!$E$15+1,1))-AVERAGE(OFFSET($H$3,0,0,'Données projet'!$E$15+1,1))</f>
        <v>530.77325763685963</v>
      </c>
      <c r="EP88" s="62">
        <f t="shared" si="100"/>
        <v>344.23100274990145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90.580021122303947</v>
      </c>
      <c r="T89" s="62">
        <f t="shared" si="88"/>
        <v>375.77399473907451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21.37528070231053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8.723918125466905E-10</v>
      </c>
      <c r="AC89" s="24">
        <f t="shared" si="57"/>
        <v>21.37528070318292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87.3677313039193</v>
      </c>
      <c r="AO89" s="62">
        <f t="shared" si="90"/>
        <v>326.27342751542903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18.260247007783828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18.260247007783828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254.91239442958343</v>
      </c>
      <c r="BJ89" s="62">
        <f t="shared" si="92"/>
        <v>361.41009011468407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277.43039999999996</v>
      </c>
      <c r="CA89" s="14">
        <f t="shared" si="93"/>
        <v>66.423687500715673</v>
      </c>
      <c r="CB89" s="22">
        <f t="shared" si="64"/>
        <v>598.87920239707967</v>
      </c>
      <c r="CC89" s="62">
        <f t="shared" si="65"/>
        <v>871.86095046248442</v>
      </c>
      <c r="CD89" s="62">
        <f ca="1">AVERAGE(OFFSET($CC$3,0,0,'Données projet'!$E$12+1,1))-AVERAGE(OFFSET($H$3,0,0,'Données projet'!$E$12+1,1))</f>
        <v>516.30971934066179</v>
      </c>
      <c r="CE89" s="62">
        <f t="shared" si="94"/>
        <v>290.84286505723571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-1.7053025658242404E-13</v>
      </c>
      <c r="CU89" s="18">
        <f>CT89*VLOOKUP('Données projet'!$B$13,Paramètres!$A$1:$I$89,3,0)*VLOOKUP('Données projet'!$B$13,Paramètres!$A$1:$I$89,5,0)</f>
        <v>-1.4897523215040567E-13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226.76930997889059</v>
      </c>
      <c r="CZ89" s="62">
        <f t="shared" si="96"/>
        <v>236.36066378969329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3.2</v>
      </c>
      <c r="DO89" s="13">
        <f>IF('Données projet'!$A$166&gt;35,DO88+DN89-DW88,IF(A89&lt;'Données projet'!$A$166,$DL$205^A89,IF(A89='Données projet'!$A$166,'Données projet'!$B$166,DO88+DN89-DW88)))</f>
        <v>146.19999999999999</v>
      </c>
      <c r="DP89" s="18">
        <f>DO89*VLOOKUP('Données projet'!$B$14,Paramètres!$A$1:$I$89,3,0)*VLOOKUP('Données projet'!$B$14,Paramètres!$A$1:$I$89,5,0)</f>
        <v>157.36967999999999</v>
      </c>
      <c r="DQ89" s="14">
        <f t="shared" si="97"/>
        <v>40.248668251494934</v>
      </c>
      <c r="DR89" s="22">
        <f t="shared" si="70"/>
        <v>344.18528987135369</v>
      </c>
      <c r="DS89" s="62">
        <f t="shared" si="71"/>
        <v>617.16703793675833</v>
      </c>
      <c r="DT89" s="62">
        <f ca="1">AVERAGE(OFFSET($DS$3,0,0,'Données projet'!$E$14+1,1))-AVERAGE(OFFSET($H$3,0,0,'Données projet'!$E$14+1,1))</f>
        <v>315.12428188060306</v>
      </c>
      <c r="DU89" s="62">
        <f t="shared" si="98"/>
        <v>186.08400677811986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3.8461538461538454</v>
      </c>
      <c r="EJ89" s="13">
        <f>IF('Données projet'!$A$192&gt;35,EJ88+EI89-ER88,IF(A89&lt;'Données projet'!$A$192,$EG$205^A89,IF(A89='Données projet'!$A$192,'Données projet'!$B$192,EJ88+EI89-ER88)))</f>
        <v>280.76923076923049</v>
      </c>
      <c r="EK89" s="18">
        <f>EJ89*VLOOKUP('Données projet'!$B$15,Paramètres!$A$1:$I$89,3,0)*VLOOKUP('Données projet'!$B$15,Paramètres!$A$1:$I$89,5,0)</f>
        <v>293.45999999999975</v>
      </c>
      <c r="EL89" s="14">
        <f t="shared" si="99"/>
        <v>69.803674480051043</v>
      </c>
      <c r="EM89" s="22">
        <f t="shared" si="73"/>
        <v>632.68423305275508</v>
      </c>
      <c r="EN89" s="62">
        <f t="shared" si="74"/>
        <v>905.66598111815983</v>
      </c>
      <c r="EO89" s="62">
        <f ca="1">AVERAGE(OFFSET($EN$3,0,0,'Données projet'!$E$15+1,1))-AVERAGE(OFFSET($H$3,0,0,'Données projet'!$E$15+1,1))</f>
        <v>530.77325763685963</v>
      </c>
      <c r="EP89" s="62">
        <f t="shared" si="100"/>
        <v>344.23100274990145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90.580021122303947</v>
      </c>
      <c r="T90" s="62">
        <f t="shared" si="88"/>
        <v>375.77399473907451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20.95612448537209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6.1687416650338826E-10</v>
      </c>
      <c r="AC90" s="24">
        <f t="shared" si="57"/>
        <v>20.956124485988965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87.3677313039193</v>
      </c>
      <c r="AO90" s="62">
        <f t="shared" si="90"/>
        <v>326.27342751542903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17.902174701612111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17.902174701612111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254.91239442958343</v>
      </c>
      <c r="BJ90" s="62">
        <f t="shared" si="92"/>
        <v>361.41009011468407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283.10879999999997</v>
      </c>
      <c r="CA90" s="14">
        <f t="shared" si="93"/>
        <v>67.623564901653808</v>
      </c>
      <c r="CB90" s="22">
        <f t="shared" si="64"/>
        <v>610.85886887038032</v>
      </c>
      <c r="CC90" s="62">
        <f t="shared" si="65"/>
        <v>884.19367144085516</v>
      </c>
      <c r="CD90" s="62">
        <f ca="1">AVERAGE(OFFSET($CC$3,0,0,'Données projet'!$E$12+1,1))-AVERAGE(OFFSET($H$3,0,0,'Données projet'!$E$12+1,1))</f>
        <v>516.30971934066179</v>
      </c>
      <c r="CE90" s="62">
        <f t="shared" si="94"/>
        <v>290.84286505723571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-1.7053025658242404E-13</v>
      </c>
      <c r="CU90" s="18">
        <f>CT90*VLOOKUP('Données projet'!$B$13,Paramètres!$A$1:$I$89,3,0)*VLOOKUP('Données projet'!$B$13,Paramètres!$A$1:$I$89,5,0)</f>
        <v>-1.4897523215040567E-13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226.76930997889059</v>
      </c>
      <c r="CZ90" s="62">
        <f t="shared" si="96"/>
        <v>236.36066378969329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3.2</v>
      </c>
      <c r="DO90" s="13">
        <f>IF('Données projet'!$A$166&gt;35,DO89+DN90-DW89,IF(A90&lt;'Données projet'!$A$166,$DL$205^A90,IF(A90='Données projet'!$A$166,'Données projet'!$B$166,DO89+DN90-DW89)))</f>
        <v>149.39999999999998</v>
      </c>
      <c r="DP90" s="18">
        <f>DO90*VLOOKUP('Données projet'!$B$14,Paramètres!$A$1:$I$89,3,0)*VLOOKUP('Données projet'!$B$14,Paramètres!$A$1:$I$89,5,0)</f>
        <v>160.81415999999996</v>
      </c>
      <c r="DQ90" s="14">
        <f t="shared" si="97"/>
        <v>41.026097186045085</v>
      </c>
      <c r="DR90" s="22">
        <f t="shared" si="70"/>
        <v>351.53844793236181</v>
      </c>
      <c r="DS90" s="62">
        <f t="shared" si="71"/>
        <v>624.87325050283664</v>
      </c>
      <c r="DT90" s="62">
        <f ca="1">AVERAGE(OFFSET($DS$3,0,0,'Données projet'!$E$14+1,1))-AVERAGE(OFFSET($H$3,0,0,'Données projet'!$E$14+1,1))</f>
        <v>315.12428188060306</v>
      </c>
      <c r="DU90" s="62">
        <f t="shared" si="98"/>
        <v>186.08400677811986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3.8461538461538454</v>
      </c>
      <c r="EJ90" s="13">
        <f>IF('Données projet'!$A$192&gt;35,EJ89+EI90-ER89,IF(A90&lt;'Données projet'!$A$192,$EG$205^A90,IF(A90='Données projet'!$A$192,'Données projet'!$B$192,EJ89+EI90-ER89)))</f>
        <v>284.61538461538436</v>
      </c>
      <c r="EK90" s="18">
        <f>EJ90*VLOOKUP('Données projet'!$B$15,Paramètres!$A$1:$I$89,3,0)*VLOOKUP('Données projet'!$B$15,Paramètres!$A$1:$I$89,5,0)</f>
        <v>297.47999999999979</v>
      </c>
      <c r="EL90" s="14">
        <f t="shared" si="99"/>
        <v>70.647915600656845</v>
      </c>
      <c r="EM90" s="22">
        <f t="shared" si="73"/>
        <v>641.15611967114364</v>
      </c>
      <c r="EN90" s="62">
        <f t="shared" si="74"/>
        <v>914.49092224161848</v>
      </c>
      <c r="EO90" s="62">
        <f ca="1">AVERAGE(OFFSET($EN$3,0,0,'Données projet'!$E$15+1,1))-AVERAGE(OFFSET($H$3,0,0,'Données projet'!$E$15+1,1))</f>
        <v>530.77325763685963</v>
      </c>
      <c r="EP90" s="62">
        <f t="shared" si="100"/>
        <v>344.23100274990145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90.580021122303947</v>
      </c>
      <c r="T91" s="62">
        <f t="shared" si="88"/>
        <v>375.77399473907451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20.545187666187765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4.3619590627334525E-10</v>
      </c>
      <c r="AC91" s="24">
        <f t="shared" si="57"/>
        <v>20.54518766662396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87.3677313039193</v>
      </c>
      <c r="AO91" s="62">
        <f t="shared" si="90"/>
        <v>326.27342751542903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17.551123974961879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17.551123974961879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254.91239442958343</v>
      </c>
      <c r="BJ91" s="62">
        <f t="shared" si="92"/>
        <v>361.41009011468407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288.78720000000004</v>
      </c>
      <c r="CA91" s="14">
        <f t="shared" si="93"/>
        <v>68.820644053442436</v>
      </c>
      <c r="CB91" s="22">
        <f t="shared" si="64"/>
        <v>622.83366172641229</v>
      </c>
      <c r="CC91" s="62">
        <f t="shared" si="65"/>
        <v>896.51539409560598</v>
      </c>
      <c r="CD91" s="62">
        <f ca="1">AVERAGE(OFFSET($CC$3,0,0,'Données projet'!$E$12+1,1))-AVERAGE(OFFSET($H$3,0,0,'Données projet'!$E$12+1,1))</f>
        <v>516.30971934066179</v>
      </c>
      <c r="CE91" s="62">
        <f t="shared" si="94"/>
        <v>290.84286505723571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-1.7053025658242404E-13</v>
      </c>
      <c r="CU91" s="18">
        <f>CT91*VLOOKUP('Données projet'!$B$13,Paramètres!$A$1:$I$89,3,0)*VLOOKUP('Données projet'!$B$13,Paramètres!$A$1:$I$89,5,0)</f>
        <v>-1.4897523215040567E-13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226.76930997889059</v>
      </c>
      <c r="CZ91" s="62">
        <f t="shared" si="96"/>
        <v>236.36066378969329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3.2</v>
      </c>
      <c r="DO91" s="13">
        <f>IF('Données projet'!$A$166&gt;35,DO90+DN91-DW90,IF(A91&lt;'Données projet'!$A$166,$DL$205^A91,IF(A91='Données projet'!$A$166,'Données projet'!$B$166,DO90+DN91-DW90)))</f>
        <v>152.59999999999997</v>
      </c>
      <c r="DP91" s="18">
        <f>DO91*VLOOKUP('Données projet'!$B$14,Paramètres!$A$1:$I$89,3,0)*VLOOKUP('Données projet'!$B$14,Paramètres!$A$1:$I$89,5,0)</f>
        <v>164.25863999999996</v>
      </c>
      <c r="DQ91" s="14">
        <f t="shared" si="97"/>
        <v>41.80159011374478</v>
      </c>
      <c r="DR91" s="22">
        <f t="shared" si="70"/>
        <v>358.8882341147721</v>
      </c>
      <c r="DS91" s="62">
        <f t="shared" si="71"/>
        <v>632.5699664839658</v>
      </c>
      <c r="DT91" s="62">
        <f ca="1">AVERAGE(OFFSET($DS$3,0,0,'Données projet'!$E$14+1,1))-AVERAGE(OFFSET($H$3,0,0,'Données projet'!$E$14+1,1))</f>
        <v>315.12428188060306</v>
      </c>
      <c r="DU91" s="62">
        <f t="shared" si="98"/>
        <v>186.08400677811986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3.8461538461538454</v>
      </c>
      <c r="EJ91" s="13">
        <f>IF('Données projet'!$A$192&gt;35,EJ90+EI91-ER90,IF(A91&lt;'Données projet'!$A$192,$EG$205^A91,IF(A91='Données projet'!$A$192,'Données projet'!$B$192,EJ90+EI91-ER90)))</f>
        <v>288.46153846153823</v>
      </c>
      <c r="EK91" s="18">
        <f>EJ91*VLOOKUP('Données projet'!$B$15,Paramètres!$A$1:$I$89,3,0)*VLOOKUP('Données projet'!$B$15,Paramètres!$A$1:$I$89,5,0)</f>
        <v>301.49999999999977</v>
      </c>
      <c r="EL91" s="14">
        <f t="shared" si="99"/>
        <v>71.490829753972974</v>
      </c>
      <c r="EM91" s="22">
        <f t="shared" si="73"/>
        <v>649.62569515483597</v>
      </c>
      <c r="EN91" s="62">
        <f t="shared" si="74"/>
        <v>923.30742752402966</v>
      </c>
      <c r="EO91" s="62">
        <f ca="1">AVERAGE(OFFSET($EN$3,0,0,'Données projet'!$E$15+1,1))-AVERAGE(OFFSET($H$3,0,0,'Données projet'!$E$15+1,1))</f>
        <v>530.77325763685963</v>
      </c>
      <c r="EP91" s="62">
        <f t="shared" si="100"/>
        <v>344.23100274990145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90.580021122303947</v>
      </c>
      <c r="T92" s="62">
        <f t="shared" si="88"/>
        <v>375.77399473907451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20.142309067380932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3.0843708325169413E-10</v>
      </c>
      <c r="AC92" s="24">
        <f t="shared" si="57"/>
        <v>20.142309067689368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87.3677313039193</v>
      </c>
      <c r="AO92" s="62">
        <f t="shared" si="90"/>
        <v>326.27342751542903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17.206957138941458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17.206957138941458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254.91239442958343</v>
      </c>
      <c r="BJ92" s="62">
        <f t="shared" si="92"/>
        <v>361.41009011468407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294.46560000000005</v>
      </c>
      <c r="CA92" s="14">
        <f t="shared" si="93"/>
        <v>70.014986320104285</v>
      </c>
      <c r="CB92" s="22">
        <f t="shared" si="64"/>
        <v>634.8036878408484</v>
      </c>
      <c r="CC92" s="62">
        <f t="shared" si="65"/>
        <v>908.82633155237204</v>
      </c>
      <c r="CD92" s="62">
        <f ca="1">AVERAGE(OFFSET($CC$3,0,0,'Données projet'!$E$12+1,1))-AVERAGE(OFFSET($H$3,0,0,'Données projet'!$E$12+1,1))</f>
        <v>516.30971934066179</v>
      </c>
      <c r="CE92" s="62">
        <f t="shared" si="94"/>
        <v>290.84286505723571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-1.7053025658242404E-13</v>
      </c>
      <c r="CU92" s="18">
        <f>CT92*VLOOKUP('Données projet'!$B$13,Paramètres!$A$1:$I$89,3,0)*VLOOKUP('Données projet'!$B$13,Paramètres!$A$1:$I$89,5,0)</f>
        <v>-1.4897523215040567E-13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226.76930997889059</v>
      </c>
      <c r="CZ92" s="62">
        <f t="shared" si="96"/>
        <v>236.36066378969329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3.2</v>
      </c>
      <c r="DO92" s="13">
        <f>IF('Données projet'!$A$166&gt;35,DO91+DN92-DW91,IF(A92&lt;'Données projet'!$A$166,$DL$205^A92,IF(A92='Données projet'!$A$166,'Données projet'!$B$166,DO91+DN92-DW91)))</f>
        <v>155.79999999999995</v>
      </c>
      <c r="DP92" s="18">
        <f>DO92*VLOOKUP('Données projet'!$B$14,Paramètres!$A$1:$I$89,3,0)*VLOOKUP('Données projet'!$B$14,Paramètres!$A$1:$I$89,5,0)</f>
        <v>167.70311999999996</v>
      </c>
      <c r="DQ92" s="14">
        <f t="shared" si="97"/>
        <v>42.575192309390843</v>
      </c>
      <c r="DR92" s="22">
        <f t="shared" si="70"/>
        <v>366.23472727218899</v>
      </c>
      <c r="DS92" s="62">
        <f t="shared" si="71"/>
        <v>640.25737098371258</v>
      </c>
      <c r="DT92" s="62">
        <f ca="1">AVERAGE(OFFSET($DS$3,0,0,'Données projet'!$E$14+1,1))-AVERAGE(OFFSET($H$3,0,0,'Données projet'!$E$14+1,1))</f>
        <v>315.12428188060306</v>
      </c>
      <c r="DU92" s="62">
        <f t="shared" si="98"/>
        <v>186.08400677811986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3.8461538461538454</v>
      </c>
      <c r="EJ92" s="13">
        <f>IF('Données projet'!$A$192&gt;35,EJ91+EI92-ER91,IF(A92&lt;'Données projet'!$A$192,$EG$205^A92,IF(A92='Données projet'!$A$192,'Données projet'!$B$192,EJ91+EI92-ER91)))</f>
        <v>292.30769230769209</v>
      </c>
      <c r="EK92" s="18">
        <f>EJ92*VLOOKUP('Données projet'!$B$15,Paramètres!$A$1:$I$89,3,0)*VLOOKUP('Données projet'!$B$15,Paramètres!$A$1:$I$89,5,0)</f>
        <v>305.51999999999981</v>
      </c>
      <c r="EL92" s="14">
        <f t="shared" si="99"/>
        <v>72.332436678206648</v>
      </c>
      <c r="EM92" s="22">
        <f t="shared" si="73"/>
        <v>658.09299388120962</v>
      </c>
      <c r="EN92" s="62">
        <f t="shared" si="74"/>
        <v>932.11563759273326</v>
      </c>
      <c r="EO92" s="62">
        <f ca="1">AVERAGE(OFFSET($EN$3,0,0,'Données projet'!$E$15+1,1))-AVERAGE(OFFSET($H$3,0,0,'Données projet'!$E$15+1,1))</f>
        <v>530.77325763685963</v>
      </c>
      <c r="EP92" s="62">
        <f t="shared" si="100"/>
        <v>344.23100274990145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90.580021122303947</v>
      </c>
      <c r="T93" s="62">
        <f t="shared" si="88"/>
        <v>375.77399473907451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19.74733067216502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2.1809795313667263E-10</v>
      </c>
      <c r="AC93" s="24">
        <f t="shared" si="57"/>
        <v>19.747330672383118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87.3677313039193</v>
      </c>
      <c r="AO93" s="62">
        <f t="shared" si="90"/>
        <v>326.27342751542903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16.869539204654355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16.869539204654355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254.91239442958343</v>
      </c>
      <c r="BJ93" s="62">
        <f t="shared" si="92"/>
        <v>361.41009011468407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300.14400000000006</v>
      </c>
      <c r="CA93" s="14">
        <f t="shared" si="93"/>
        <v>71.206650563609855</v>
      </c>
      <c r="CB93" s="22">
        <f t="shared" si="64"/>
        <v>646.76904973162061</v>
      </c>
      <c r="CC93" s="62">
        <f t="shared" si="65"/>
        <v>921.12669073584834</v>
      </c>
      <c r="CD93" s="62">
        <f ca="1">AVERAGE(OFFSET($CC$3,0,0,'Données projet'!$E$12+1,1))-AVERAGE(OFFSET($H$3,0,0,'Données projet'!$E$12+1,1))</f>
        <v>516.30971934066179</v>
      </c>
      <c r="CE93" s="62">
        <f t="shared" si="94"/>
        <v>290.84286505723571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-1.7053025658242404E-13</v>
      </c>
      <c r="CU93" s="18">
        <f>CT93*VLOOKUP('Données projet'!$B$13,Paramètres!$A$1:$I$89,3,0)*VLOOKUP('Données projet'!$B$13,Paramètres!$A$1:$I$89,5,0)</f>
        <v>-1.4897523215040567E-13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226.76930997889059</v>
      </c>
      <c r="CZ93" s="62">
        <f t="shared" si="96"/>
        <v>236.36066378969329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159</v>
      </c>
      <c r="DM93" s="13">
        <f>VLOOKUP(A93,'Données projet'!$A$165:$I$185,9,0)</f>
        <v>3.2</v>
      </c>
      <c r="DN93" s="13">
        <f t="array" ref="DN93">INDEX(DM:DM,MIN(IF(ISNUMBER(DM93:DM289),ROW(DM93:DM289),"")))</f>
        <v>3.2</v>
      </c>
      <c r="DO93" s="13">
        <f>IF('Données projet'!$A$166&gt;35,DO92+DN93-DW92,IF(A93&lt;'Données projet'!$A$166,$DL$205^A93,IF(A93='Données projet'!$A$166,'Données projet'!$B$166,DO92+DN93-DW92)))</f>
        <v>158.99999999999994</v>
      </c>
      <c r="DP93" s="18">
        <f>DO93*VLOOKUP('Données projet'!$B$14,Paramètres!$A$1:$I$89,3,0)*VLOOKUP('Données projet'!$B$14,Paramètres!$A$1:$I$89,5,0)</f>
        <v>171.14759999999993</v>
      </c>
      <c r="DQ93" s="14">
        <f t="shared" si="97"/>
        <v>43.346947081663025</v>
      </c>
      <c r="DR93" s="22">
        <f t="shared" si="70"/>
        <v>373.57800283389633</v>
      </c>
      <c r="DS93" s="62">
        <f t="shared" si="71"/>
        <v>647.93564383812395</v>
      </c>
      <c r="DT93" s="62">
        <f ca="1">AVERAGE(OFFSET($DS$3,0,0,'Données projet'!$E$14+1,1))-AVERAGE(OFFSET($H$3,0,0,'Données projet'!$E$14+1,1))</f>
        <v>315.12428188060306</v>
      </c>
      <c r="DU93" s="62">
        <f t="shared" si="98"/>
        <v>186.08400677811986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296.15384615384613</v>
      </c>
      <c r="EH93" s="13">
        <f>VLOOKUP(A93,'Données projet'!$A$191:$I$211,9,0)</f>
        <v>3.8461538461538454</v>
      </c>
      <c r="EI93" s="13">
        <f t="array" ref="EI93">INDEX(EH:EH,MIN(IF(ISNUMBER(EH93:EH289),ROW(EH93:EH289),"")))</f>
        <v>3.8461538461538454</v>
      </c>
      <c r="EJ93" s="13">
        <f>IF('Données projet'!$A$192&gt;35,EJ92+EI93-ER92,IF(A93&lt;'Données projet'!$A$192,$EG$205^A93,IF(A93='Données projet'!$A$192,'Données projet'!$B$192,EJ92+EI93-ER92)))</f>
        <v>296.15384615384596</v>
      </c>
      <c r="EK93" s="18">
        <f>EJ93*VLOOKUP('Données projet'!$B$15,Paramètres!$A$1:$I$89,3,0)*VLOOKUP('Données projet'!$B$15,Paramètres!$A$1:$I$89,5,0)</f>
        <v>309.53999999999979</v>
      </c>
      <c r="EL93" s="14">
        <f t="shared" si="99"/>
        <v>73.172755562281282</v>
      </c>
      <c r="EM93" s="22">
        <f t="shared" si="73"/>
        <v>666.5580492709729</v>
      </c>
      <c r="EN93" s="62">
        <f t="shared" si="74"/>
        <v>940.91569027520063</v>
      </c>
      <c r="EO93" s="62">
        <f ca="1">AVERAGE(OFFSET($EN$3,0,0,'Données projet'!$E$15+1,1))-AVERAGE(OFFSET($H$3,0,0,'Données projet'!$E$15+1,1))</f>
        <v>530.77325763685963</v>
      </c>
      <c r="EP93" s="62">
        <f t="shared" si="100"/>
        <v>344.23100274990145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21.153846153846153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90.580021122303947</v>
      </c>
      <c r="T94" s="62">
        <f t="shared" si="88"/>
        <v>375.77399473907451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19.36009756236626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1.5421854162584706E-10</v>
      </c>
      <c r="AC94" s="24">
        <f t="shared" si="57"/>
        <v>19.36009756252048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87.3677313039193</v>
      </c>
      <c r="AO94" s="62">
        <f t="shared" si="90"/>
        <v>326.27342751542903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16.538737830254004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16.538737830254004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254.91239442958343</v>
      </c>
      <c r="BJ94" s="62">
        <f t="shared" si="92"/>
        <v>361.41009011468407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262.52460000000002</v>
      </c>
      <c r="CA94" s="14">
        <f t="shared" si="93"/>
        <v>63.260217631774687</v>
      </c>
      <c r="CB94" s="22">
        <f t="shared" si="64"/>
        <v>567.40855737534105</v>
      </c>
      <c r="CC94" s="62">
        <f t="shared" si="65"/>
        <v>842.09538421818615</v>
      </c>
      <c r="CD94" s="62">
        <f ca="1">AVERAGE(OFFSET($CC$3,0,0,'Données projet'!$E$12+1,1))-AVERAGE(OFFSET($H$3,0,0,'Données projet'!$E$12+1,1))</f>
        <v>516.30971934066179</v>
      </c>
      <c r="CE94" s="62">
        <f t="shared" si="94"/>
        <v>290.84286505723571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-1.7053025658242404E-13</v>
      </c>
      <c r="CU94" s="18">
        <f>CT94*VLOOKUP('Données projet'!$B$13,Paramètres!$A$1:$I$89,3,0)*VLOOKUP('Données projet'!$B$13,Paramètres!$A$1:$I$89,5,0)</f>
        <v>-1.4897523215040567E-13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226.76930997889059</v>
      </c>
      <c r="CZ94" s="62">
        <f t="shared" si="96"/>
        <v>236.36066378969329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2.8</v>
      </c>
      <c r="DO94" s="13">
        <f>IF('Données projet'!$A$166&gt;35,DO93+DN94-DW93,IF(A94&lt;'Données projet'!$A$166,$DL$205^A94,IF(A94='Données projet'!$A$166,'Données projet'!$B$166,DO93+DN94-DW93)))</f>
        <v>161.79999999999995</v>
      </c>
      <c r="DP94" s="18">
        <f>DO94*VLOOKUP('Données projet'!$B$14,Paramètres!$A$1:$I$89,3,0)*VLOOKUP('Données projet'!$B$14,Paramètres!$A$1:$I$89,5,0)</f>
        <v>174.16151999999994</v>
      </c>
      <c r="DQ94" s="14">
        <f t="shared" si="97"/>
        <v>44.020749683599938</v>
      </c>
      <c r="DR94" s="22">
        <f t="shared" si="70"/>
        <v>380.00078636560312</v>
      </c>
      <c r="DS94" s="62">
        <f t="shared" si="71"/>
        <v>654.68761320844817</v>
      </c>
      <c r="DT94" s="62">
        <f ca="1">AVERAGE(OFFSET($DS$3,0,0,'Données projet'!$E$14+1,1))-AVERAGE(OFFSET($H$3,0,0,'Données projet'!$E$14+1,1))</f>
        <v>315.12428188060306</v>
      </c>
      <c r="DU94" s="62">
        <f t="shared" si="98"/>
        <v>186.08400677811986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3.4615384615384586</v>
      </c>
      <c r="EJ94" s="13">
        <f>IF('Données projet'!$A$192&gt;35,EJ93+EI94-ER93,IF(A94&lt;'Données projet'!$A$192,$EG$205^A94,IF(A94='Données projet'!$A$192,'Données projet'!$B$192,EJ93+EI94-ER93)))</f>
        <v>278.46153846153828</v>
      </c>
      <c r="EK94" s="18">
        <f>EJ94*VLOOKUP('Données projet'!$B$15,Paramètres!$A$1:$I$89,3,0)*VLOOKUP('Données projet'!$B$15,Paramètres!$A$1:$I$89,5,0)</f>
        <v>291.04799999999983</v>
      </c>
      <c r="EL94" s="14">
        <f t="shared" si="99"/>
        <v>69.296484438588436</v>
      </c>
      <c r="EM94" s="22">
        <f t="shared" si="73"/>
        <v>627.59997706387446</v>
      </c>
      <c r="EN94" s="62">
        <f t="shared" si="74"/>
        <v>902.28680390671957</v>
      </c>
      <c r="EO94" s="62">
        <f ca="1">AVERAGE(OFFSET($EN$3,0,0,'Données projet'!$E$15+1,1))-AVERAGE(OFFSET($H$3,0,0,'Données projet'!$E$15+1,1))</f>
        <v>530.77325763685963</v>
      </c>
      <c r="EP94" s="62">
        <f t="shared" si="100"/>
        <v>344.23100274990145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90.580021122303947</v>
      </c>
      <c r="T95" s="62">
        <f t="shared" si="88"/>
        <v>375.77399473907451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18.980457857661779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1.0904897656833631E-10</v>
      </c>
      <c r="AC95" s="24">
        <f t="shared" si="57"/>
        <v>18.98045785777083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87.3677313039193</v>
      </c>
      <c r="AO95" s="62">
        <f t="shared" si="90"/>
        <v>326.27342751542903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16.214423269036729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16.214423269036729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254.91239442958343</v>
      </c>
      <c r="BJ95" s="62">
        <f t="shared" si="92"/>
        <v>361.41009011468407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267.49320000000006</v>
      </c>
      <c r="CA95" s="14">
        <f t="shared" si="93"/>
        <v>64.316974590266341</v>
      </c>
      <c r="CB95" s="22">
        <f t="shared" si="64"/>
        <v>577.90272074471397</v>
      </c>
      <c r="CC95" s="62">
        <f t="shared" si="65"/>
        <v>852.91302278782564</v>
      </c>
      <c r="CD95" s="62">
        <f ca="1">AVERAGE(OFFSET($CC$3,0,0,'Données projet'!$E$12+1,1))-AVERAGE(OFFSET($H$3,0,0,'Données projet'!$E$12+1,1))</f>
        <v>516.30971934066179</v>
      </c>
      <c r="CE95" s="62">
        <f t="shared" si="94"/>
        <v>290.84286505723571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-1.7053025658242404E-13</v>
      </c>
      <c r="CU95" s="18">
        <f>CT95*VLOOKUP('Données projet'!$B$13,Paramètres!$A$1:$I$89,3,0)*VLOOKUP('Données projet'!$B$13,Paramètres!$A$1:$I$89,5,0)</f>
        <v>-1.4897523215040567E-13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226.76930997889059</v>
      </c>
      <c r="CZ95" s="62">
        <f t="shared" si="96"/>
        <v>236.36066378969329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2.8</v>
      </c>
      <c r="DO95" s="13">
        <f>IF('Données projet'!$A$166&gt;35,DO94+DN95-DW94,IF(A95&lt;'Données projet'!$A$166,$DL$205^A95,IF(A95='Données projet'!$A$166,'Données projet'!$B$166,DO94+DN95-DW94)))</f>
        <v>164.59999999999997</v>
      </c>
      <c r="DP95" s="18">
        <f>DO95*VLOOKUP('Données projet'!$B$14,Paramètres!$A$1:$I$89,3,0)*VLOOKUP('Données projet'!$B$14,Paramètres!$A$1:$I$89,5,0)</f>
        <v>177.17543999999995</v>
      </c>
      <c r="DQ95" s="14">
        <f t="shared" si="97"/>
        <v>44.693196313414717</v>
      </c>
      <c r="DR95" s="22">
        <f t="shared" si="70"/>
        <v>386.42120824586385</v>
      </c>
      <c r="DS95" s="62">
        <f t="shared" si="71"/>
        <v>661.43151028897557</v>
      </c>
      <c r="DT95" s="62">
        <f ca="1">AVERAGE(OFFSET($DS$3,0,0,'Données projet'!$E$14+1,1))-AVERAGE(OFFSET($H$3,0,0,'Données projet'!$E$14+1,1))</f>
        <v>315.12428188060306</v>
      </c>
      <c r="DU95" s="62">
        <f t="shared" si="98"/>
        <v>186.08400677811986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3.4615384615384586</v>
      </c>
      <c r="EJ95" s="13">
        <f>IF('Données projet'!$A$192&gt;35,EJ94+EI95-ER94,IF(A95&lt;'Données projet'!$A$192,$EG$205^A95,IF(A95='Données projet'!$A$192,'Données projet'!$B$192,EJ94+EI95-ER94)))</f>
        <v>281.92307692307674</v>
      </c>
      <c r="EK95" s="18">
        <f>EJ95*VLOOKUP('Données projet'!$B$15,Paramètres!$A$1:$I$89,3,0)*VLOOKUP('Données projet'!$B$15,Paramètres!$A$1:$I$89,5,0)</f>
        <v>294.66599999999983</v>
      </c>
      <c r="EL95" s="14">
        <f t="shared" si="99"/>
        <v>70.057087344971222</v>
      </c>
      <c r="EM95" s="22">
        <f t="shared" si="73"/>
        <v>635.22604379249128</v>
      </c>
      <c r="EN95" s="62">
        <f t="shared" si="74"/>
        <v>910.23634583560306</v>
      </c>
      <c r="EO95" s="62">
        <f ca="1">AVERAGE(OFFSET($EN$3,0,0,'Données projet'!$E$15+1,1))-AVERAGE(OFFSET($H$3,0,0,'Données projet'!$E$15+1,1))</f>
        <v>530.77325763685963</v>
      </c>
      <c r="EP95" s="62">
        <f t="shared" si="100"/>
        <v>344.23100274990145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90.580021122303947</v>
      </c>
      <c r="T96" s="62">
        <f t="shared" si="88"/>
        <v>375.77399473907451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18.608262656009199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7.7109270812923532E-11</v>
      </c>
      <c r="AC96" s="24">
        <f t="shared" si="57"/>
        <v>18.608262656086307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87.3677313039193</v>
      </c>
      <c r="AO96" s="62">
        <f t="shared" si="90"/>
        <v>326.27342751542903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15.896468318552573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15.896468318552573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254.91239442958343</v>
      </c>
      <c r="BJ96" s="62">
        <f t="shared" si="92"/>
        <v>361.41009011468407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272.46180000000004</v>
      </c>
      <c r="CA96" s="14">
        <f t="shared" si="93"/>
        <v>65.371449071921944</v>
      </c>
      <c r="CB96" s="22">
        <f t="shared" si="64"/>
        <v>588.39290880026408</v>
      </c>
      <c r="CC96" s="62">
        <f t="shared" si="65"/>
        <v>863.7210744721001</v>
      </c>
      <c r="CD96" s="62">
        <f ca="1">AVERAGE(OFFSET($CC$3,0,0,'Données projet'!$E$12+1,1))-AVERAGE(OFFSET($H$3,0,0,'Données projet'!$E$12+1,1))</f>
        <v>516.30971934066179</v>
      </c>
      <c r="CE96" s="62">
        <f t="shared" si="94"/>
        <v>290.84286505723571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-1.7053025658242404E-13</v>
      </c>
      <c r="CU96" s="18">
        <f>CT96*VLOOKUP('Données projet'!$B$13,Paramètres!$A$1:$I$89,3,0)*VLOOKUP('Données projet'!$B$13,Paramètres!$A$1:$I$89,5,0)</f>
        <v>-1.4897523215040567E-13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226.76930997889059</v>
      </c>
      <c r="CZ96" s="62">
        <f t="shared" si="96"/>
        <v>236.36066378969329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2.8</v>
      </c>
      <c r="DO96" s="13">
        <f>IF('Données projet'!$A$166&gt;35,DO95+DN96-DW95,IF(A96&lt;'Données projet'!$A$166,$DL$205^A96,IF(A96='Données projet'!$A$166,'Données projet'!$B$166,DO95+DN96-DW95)))</f>
        <v>167.39999999999998</v>
      </c>
      <c r="DP96" s="18">
        <f>DO96*VLOOKUP('Données projet'!$B$14,Paramètres!$A$1:$I$89,3,0)*VLOOKUP('Données projet'!$B$14,Paramètres!$A$1:$I$89,5,0)</f>
        <v>180.18935999999997</v>
      </c>
      <c r="DQ96" s="14">
        <f t="shared" si="97"/>
        <v>45.36431269940843</v>
      </c>
      <c r="DR96" s="22">
        <f t="shared" si="70"/>
        <v>392.83931328480293</v>
      </c>
      <c r="DS96" s="62">
        <f t="shared" si="71"/>
        <v>668.16747895663889</v>
      </c>
      <c r="DT96" s="62">
        <f ca="1">AVERAGE(OFFSET($DS$3,0,0,'Données projet'!$E$14+1,1))-AVERAGE(OFFSET($H$3,0,0,'Données projet'!$E$14+1,1))</f>
        <v>315.12428188060306</v>
      </c>
      <c r="DU96" s="62">
        <f t="shared" si="98"/>
        <v>186.08400677811986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3.4615384615384586</v>
      </c>
      <c r="EJ96" s="13">
        <f>IF('Données projet'!$A$192&gt;35,EJ95+EI96-ER95,IF(A96&lt;'Données projet'!$A$192,$EG$205^A96,IF(A96='Données projet'!$A$192,'Données projet'!$B$192,EJ95+EI96-ER95)))</f>
        <v>285.38461538461519</v>
      </c>
      <c r="EK96" s="18">
        <f>EJ96*VLOOKUP('Données projet'!$B$15,Paramètres!$A$1:$I$89,3,0)*VLOOKUP('Données projet'!$B$15,Paramètres!$A$1:$I$89,5,0)</f>
        <v>298.28399999999982</v>
      </c>
      <c r="EL96" s="14">
        <f t="shared" si="99"/>
        <v>70.816603948985517</v>
      </c>
      <c r="EM96" s="22">
        <f t="shared" si="73"/>
        <v>642.8502185444828</v>
      </c>
      <c r="EN96" s="62">
        <f t="shared" si="74"/>
        <v>918.17838421631882</v>
      </c>
      <c r="EO96" s="62">
        <f ca="1">AVERAGE(OFFSET($EN$3,0,0,'Données projet'!$E$15+1,1))-AVERAGE(OFFSET($H$3,0,0,'Données projet'!$E$15+1,1))</f>
        <v>530.77325763685963</v>
      </c>
      <c r="EP96" s="62">
        <f t="shared" si="100"/>
        <v>344.23100274990145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90.580021122303947</v>
      </c>
      <c r="T97" s="62">
        <f t="shared" si="88"/>
        <v>375.77399473907451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18.243365975244366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5.4524488284168156E-11</v>
      </c>
      <c r="AC97" s="24">
        <f t="shared" si="57"/>
        <v>18.243365975298889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87.3677313039193</v>
      </c>
      <c r="AO97" s="62">
        <f t="shared" si="90"/>
        <v>326.27342751542903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15.584748270714043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15.584748270714043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254.91239442958343</v>
      </c>
      <c r="BJ97" s="62">
        <f t="shared" si="92"/>
        <v>361.41009011468407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277.43039999999996</v>
      </c>
      <c r="CA97" s="14">
        <f t="shared" si="93"/>
        <v>66.423687500715673</v>
      </c>
      <c r="CB97" s="22">
        <f t="shared" si="64"/>
        <v>598.87920239707967</v>
      </c>
      <c r="CC97" s="62">
        <f t="shared" si="65"/>
        <v>874.51971747431821</v>
      </c>
      <c r="CD97" s="62">
        <f ca="1">AVERAGE(OFFSET($CC$3,0,0,'Données projet'!$E$12+1,1))-AVERAGE(OFFSET($H$3,0,0,'Données projet'!$E$12+1,1))</f>
        <v>516.30971934066179</v>
      </c>
      <c r="CE97" s="62">
        <f t="shared" si="94"/>
        <v>290.84286505723571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-1.7053025658242404E-13</v>
      </c>
      <c r="CU97" s="18">
        <f>CT97*VLOOKUP('Données projet'!$B$13,Paramètres!$A$1:$I$89,3,0)*VLOOKUP('Données projet'!$B$13,Paramètres!$A$1:$I$89,5,0)</f>
        <v>-1.4897523215040567E-13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226.76930997889059</v>
      </c>
      <c r="CZ97" s="62">
        <f t="shared" si="96"/>
        <v>236.36066378969329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2.8</v>
      </c>
      <c r="DO97" s="13">
        <f>IF('Données projet'!$A$166&gt;35,DO96+DN97-DW96,IF(A97&lt;'Données projet'!$A$166,$DL$205^A97,IF(A97='Données projet'!$A$166,'Données projet'!$B$166,DO96+DN97-DW96)))</f>
        <v>170.2</v>
      </c>
      <c r="DP97" s="18">
        <f>DO97*VLOOKUP('Données projet'!$B$14,Paramètres!$A$1:$I$89,3,0)*VLOOKUP('Données projet'!$B$14,Paramètres!$A$1:$I$89,5,0)</f>
        <v>183.20327999999998</v>
      </c>
      <c r="DQ97" s="14">
        <f t="shared" si="97"/>
        <v>46.034123659865585</v>
      </c>
      <c r="DR97" s="22">
        <f t="shared" si="70"/>
        <v>399.25514470759913</v>
      </c>
      <c r="DS97" s="62">
        <f t="shared" si="71"/>
        <v>674.89565978483756</v>
      </c>
      <c r="DT97" s="62">
        <f ca="1">AVERAGE(OFFSET($DS$3,0,0,'Données projet'!$E$14+1,1))-AVERAGE(OFFSET($H$3,0,0,'Données projet'!$E$14+1,1))</f>
        <v>315.12428188060306</v>
      </c>
      <c r="DU97" s="62">
        <f t="shared" si="98"/>
        <v>186.08400677811986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3.4615384615384586</v>
      </c>
      <c r="EJ97" s="13">
        <f>IF('Données projet'!$A$192&gt;35,EJ96+EI97-ER96,IF(A97&lt;'Données projet'!$A$192,$EG$205^A97,IF(A97='Données projet'!$A$192,'Données projet'!$B$192,EJ96+EI97-ER96)))</f>
        <v>288.84615384615364</v>
      </c>
      <c r="EK97" s="18">
        <f>EJ97*VLOOKUP('Données projet'!$B$15,Paramètres!$A$1:$I$89,3,0)*VLOOKUP('Données projet'!$B$15,Paramètres!$A$1:$I$89,5,0)</f>
        <v>301.90199999999982</v>
      </c>
      <c r="EL97" s="14">
        <f t="shared" si="99"/>
        <v>71.575048950857877</v>
      </c>
      <c r="EM97" s="22">
        <f t="shared" si="73"/>
        <v>650.47252692274378</v>
      </c>
      <c r="EN97" s="62">
        <f t="shared" si="74"/>
        <v>926.11304199998222</v>
      </c>
      <c r="EO97" s="62">
        <f ca="1">AVERAGE(OFFSET($EN$3,0,0,'Données projet'!$E$15+1,1))-AVERAGE(OFFSET($H$3,0,0,'Données projet'!$E$15+1,1))</f>
        <v>530.77325763685963</v>
      </c>
      <c r="EP97" s="62">
        <f t="shared" si="100"/>
        <v>344.23100274990145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90.580021122303947</v>
      </c>
      <c r="T98" s="62">
        <f t="shared" si="88"/>
        <v>375.77399473907451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17.885624695824333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3.8554635406461766E-11</v>
      </c>
      <c r="AC98" s="24">
        <f t="shared" si="57"/>
        <v>17.885624695862887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87.3677313039193</v>
      </c>
      <c r="AO98" s="62">
        <f t="shared" si="90"/>
        <v>326.27342751542903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15.279140862883169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15.279140862883169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254.91239442958343</v>
      </c>
      <c r="BJ98" s="62">
        <f t="shared" si="92"/>
        <v>361.41009011468407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282.399</v>
      </c>
      <c r="CA98" s="14">
        <f t="shared" si="93"/>
        <v>67.473734542548371</v>
      </c>
      <c r="CB98" s="22">
        <f t="shared" si="64"/>
        <v>609.36167932827175</v>
      </c>
      <c r="CC98" s="62">
        <f t="shared" si="65"/>
        <v>885.30912524703763</v>
      </c>
      <c r="CD98" s="62">
        <f ca="1">AVERAGE(OFFSET($CC$3,0,0,'Données projet'!$E$12+1,1))-AVERAGE(OFFSET($H$3,0,0,'Données projet'!$E$12+1,1))</f>
        <v>516.30971934066179</v>
      </c>
      <c r="CE98" s="62">
        <f t="shared" si="94"/>
        <v>290.84286505723571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-1.7053025658242404E-13</v>
      </c>
      <c r="CU98" s="18">
        <f>CT98*VLOOKUP('Données projet'!$B$13,Paramètres!$A$1:$I$89,3,0)*VLOOKUP('Données projet'!$B$13,Paramètres!$A$1:$I$89,5,0)</f>
        <v>-1.4897523215040567E-13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226.76930997889059</v>
      </c>
      <c r="CZ98" s="62">
        <f t="shared" si="96"/>
        <v>236.36066378969329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173</v>
      </c>
      <c r="DM98" s="13">
        <f>VLOOKUP(A98,'Données projet'!$A$165:$I$185,9,0)</f>
        <v>2.8</v>
      </c>
      <c r="DN98" s="13">
        <f t="array" ref="DN98">INDEX(DM:DM,MIN(IF(ISNUMBER(DM98:DM294),ROW(DM98:DM294),"")))</f>
        <v>2.8</v>
      </c>
      <c r="DO98" s="13">
        <f>IF('Données projet'!$A$166&gt;35,DO97+DN98-DW97,IF(A98&lt;'Données projet'!$A$166,$DL$205^A98,IF(A98='Données projet'!$A$166,'Données projet'!$B$166,DO97+DN98-DW97)))</f>
        <v>173</v>
      </c>
      <c r="DP98" s="18">
        <f>DO98*VLOOKUP('Données projet'!$B$14,Paramètres!$A$1:$I$89,3,0)*VLOOKUP('Données projet'!$B$14,Paramètres!$A$1:$I$89,5,0)</f>
        <v>186.21719999999999</v>
      </c>
      <c r="DQ98" s="14">
        <f t="shared" si="97"/>
        <v>46.702653149673253</v>
      </c>
      <c r="DR98" s="22">
        <f t="shared" si="70"/>
        <v>405.66874423568089</v>
      </c>
      <c r="DS98" s="62">
        <f t="shared" si="71"/>
        <v>681.61619015444683</v>
      </c>
      <c r="DT98" s="62">
        <f ca="1">AVERAGE(OFFSET($DS$3,0,0,'Données projet'!$E$14+1,1))-AVERAGE(OFFSET($H$3,0,0,'Données projet'!$E$14+1,1))</f>
        <v>315.12428188060306</v>
      </c>
      <c r="DU98" s="62">
        <f t="shared" si="98"/>
        <v>186.08400677811986</v>
      </c>
      <c r="DV98" s="16">
        <f>IF(ISNA(VLOOKUP(A98,'Données projet'!$A$165:$I$185,3,0)),0,VLOOKUP(A98,'Données projet'!$A$165:$I$185,3,0))</f>
        <v>7</v>
      </c>
      <c r="DW98" s="16">
        <f>IF(ISNA(VLOOKUP(A98,'Données projet'!$A$165:$I$185,4,0)),0,VLOOKUP(A98,'Données projet'!$A$165:$I$185,4,0))</f>
        <v>18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3.4615384615384586</v>
      </c>
      <c r="EJ98" s="13">
        <f>IF('Données projet'!$A$192&gt;35,EJ97+EI98-ER97,IF(A98&lt;'Données projet'!$A$192,$EG$205^A98,IF(A98='Données projet'!$A$192,'Données projet'!$B$192,EJ97+EI98-ER97)))</f>
        <v>292.30769230769209</v>
      </c>
      <c r="EK98" s="18">
        <f>EJ98*VLOOKUP('Données projet'!$B$15,Paramètres!$A$1:$I$89,3,0)*VLOOKUP('Données projet'!$B$15,Paramètres!$A$1:$I$89,5,0)</f>
        <v>305.51999999999981</v>
      </c>
      <c r="EL98" s="14">
        <f t="shared" si="99"/>
        <v>72.332436678206648</v>
      </c>
      <c r="EM98" s="22">
        <f t="shared" si="73"/>
        <v>658.09299388120962</v>
      </c>
      <c r="EN98" s="62">
        <f t="shared" si="74"/>
        <v>934.0404397999755</v>
      </c>
      <c r="EO98" s="62">
        <f ca="1">AVERAGE(OFFSET($EN$3,0,0,'Données projet'!$E$15+1,1))-AVERAGE(OFFSET($H$3,0,0,'Données projet'!$E$15+1,1))</f>
        <v>530.77325763685963</v>
      </c>
      <c r="EP98" s="62">
        <f t="shared" si="100"/>
        <v>344.23100274990145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90.580021122303947</v>
      </c>
      <c r="T99" s="62">
        <f t="shared" si="88"/>
        <v>375.77399473907451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17.534898504693093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2.7262244142084078E-11</v>
      </c>
      <c r="AC99" s="24">
        <f t="shared" si="57"/>
        <v>17.534898504720356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87.3677313039193</v>
      </c>
      <c r="AO99" s="62">
        <f t="shared" si="90"/>
        <v>326.27342751542903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14.979526229917747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14.979526229917747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254.91239442958343</v>
      </c>
      <c r="BJ99" s="62">
        <f t="shared" si="92"/>
        <v>361.41009011468407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287.36759999999992</v>
      </c>
      <c r="CA99" s="14">
        <f t="shared" si="93"/>
        <v>68.521633201565123</v>
      </c>
      <c r="CB99" s="22">
        <f t="shared" si="64"/>
        <v>619.84041449272581</v>
      </c>
      <c r="CC99" s="62">
        <f t="shared" si="65"/>
        <v>896.08946668911324</v>
      </c>
      <c r="CD99" s="62">
        <f ca="1">AVERAGE(OFFSET($CC$3,0,0,'Données projet'!$E$12+1,1))-AVERAGE(OFFSET($H$3,0,0,'Données projet'!$E$12+1,1))</f>
        <v>516.30971934066179</v>
      </c>
      <c r="CE99" s="62">
        <f t="shared" si="94"/>
        <v>290.84286505723571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-1.7053025658242404E-13</v>
      </c>
      <c r="CU99" s="18">
        <f>CT99*VLOOKUP('Données projet'!$B$13,Paramètres!$A$1:$I$89,3,0)*VLOOKUP('Données projet'!$B$13,Paramètres!$A$1:$I$89,5,0)</f>
        <v>-1.4897523215040567E-13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226.76930997889059</v>
      </c>
      <c r="CZ99" s="62">
        <f t="shared" si="96"/>
        <v>236.36066378969329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</v>
      </c>
      <c r="DO99" s="13">
        <f>IF('Données projet'!$A$166&gt;35,DO98+DN99-DW98,IF(A99&lt;'Données projet'!$A$166,$DL$205^A99,IF(A99='Données projet'!$A$166,'Données projet'!$B$166,DO98+DN99-DW98)))</f>
        <v>158</v>
      </c>
      <c r="DP99" s="18">
        <f>DO99*VLOOKUP('Données projet'!$B$14,Paramètres!$A$1:$I$89,3,0)*VLOOKUP('Données projet'!$B$14,Paramètres!$A$1:$I$89,5,0)</f>
        <v>170.0712</v>
      </c>
      <c r="DQ99" s="14">
        <f t="shared" si="97"/>
        <v>43.10596962815594</v>
      </c>
      <c r="DR99" s="22">
        <f t="shared" si="70"/>
        <v>371.28357043570492</v>
      </c>
      <c r="DS99" s="62">
        <f t="shared" si="71"/>
        <v>647.5326226320924</v>
      </c>
      <c r="DT99" s="62">
        <f ca="1">AVERAGE(OFFSET($DS$3,0,0,'Données projet'!$E$14+1,1))-AVERAGE(OFFSET($H$3,0,0,'Données projet'!$E$14+1,1))</f>
        <v>315.12428188060306</v>
      </c>
      <c r="DU99" s="62">
        <f t="shared" si="98"/>
        <v>186.08400677811986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3.4615384615384586</v>
      </c>
      <c r="EJ99" s="13">
        <f>IF('Données projet'!$A$192&gt;35,EJ98+EI99-ER98,IF(A99&lt;'Données projet'!$A$192,$EG$205^A99,IF(A99='Données projet'!$A$192,'Données projet'!$B$192,EJ98+EI99-ER98)))</f>
        <v>295.76923076923055</v>
      </c>
      <c r="EK99" s="18">
        <f>EJ99*VLOOKUP('Données projet'!$B$15,Paramètres!$A$1:$I$89,3,0)*VLOOKUP('Données projet'!$B$15,Paramètres!$A$1:$I$89,5,0)</f>
        <v>309.13799999999981</v>
      </c>
      <c r="EL99" s="14">
        <f t="shared" si="99"/>
        <v>73.088781099784711</v>
      </c>
      <c r="EM99" s="22">
        <f t="shared" si="73"/>
        <v>665.71164374879129</v>
      </c>
      <c r="EN99" s="62">
        <f t="shared" si="74"/>
        <v>941.96069594517871</v>
      </c>
      <c r="EO99" s="62">
        <f ca="1">AVERAGE(OFFSET($EN$3,0,0,'Données projet'!$E$15+1,1))-AVERAGE(OFFSET($H$3,0,0,'Données projet'!$E$15+1,1))</f>
        <v>530.77325763685963</v>
      </c>
      <c r="EP99" s="62">
        <f t="shared" si="100"/>
        <v>344.23100274990145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90.580021122303947</v>
      </c>
      <c r="T100" s="62">
        <f t="shared" si="88"/>
        <v>375.77399473907451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17.191049840248084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1.9277317703230883E-11</v>
      </c>
      <c r="AC100" s="24">
        <f t="shared" si="57"/>
        <v>17.191049840267361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87.3677313039193</v>
      </c>
      <c r="AO100" s="62">
        <f t="shared" si="90"/>
        <v>326.27342751542903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14.685786857157895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14.685786857157895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254.91239442958343</v>
      </c>
      <c r="BJ100" s="62">
        <f t="shared" si="92"/>
        <v>361.41009011468407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292.33619999999996</v>
      </c>
      <c r="CA100" s="14">
        <f t="shared" si="93"/>
        <v>69.56742490962327</v>
      </c>
      <c r="CB100" s="22">
        <f t="shared" si="64"/>
        <v>630.31548005092702</v>
      </c>
      <c r="CC100" s="62">
        <f t="shared" si="65"/>
        <v>906.86090633030983</v>
      </c>
      <c r="CD100" s="62">
        <f ca="1">AVERAGE(OFFSET($CC$3,0,0,'Données projet'!$E$12+1,1))-AVERAGE(OFFSET($H$3,0,0,'Données projet'!$E$12+1,1))</f>
        <v>516.30971934066179</v>
      </c>
      <c r="CE100" s="62">
        <f t="shared" si="94"/>
        <v>290.84286505723571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-1.7053025658242404E-13</v>
      </c>
      <c r="CU100" s="18">
        <f>CT100*VLOOKUP('Données projet'!$B$13,Paramètres!$A$1:$I$89,3,0)*VLOOKUP('Données projet'!$B$13,Paramètres!$A$1:$I$89,5,0)</f>
        <v>-1.4897523215040567E-13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226.76930997889059</v>
      </c>
      <c r="CZ100" s="62">
        <f t="shared" si="96"/>
        <v>236.36066378969329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</v>
      </c>
      <c r="DO100" s="13">
        <f>IF('Données projet'!$A$166&gt;35,DO99+DN100-DW99,IF(A100&lt;'Données projet'!$A$166,$DL$205^A100,IF(A100='Données projet'!$A$166,'Données projet'!$B$166,DO99+DN100-DW99)))</f>
        <v>161</v>
      </c>
      <c r="DP100" s="18">
        <f>DO100*VLOOKUP('Données projet'!$B$14,Paramètres!$A$1:$I$89,3,0)*VLOOKUP('Données projet'!$B$14,Paramètres!$A$1:$I$89,5,0)</f>
        <v>173.3004</v>
      </c>
      <c r="DQ100" s="14">
        <f t="shared" si="97"/>
        <v>43.82837416766705</v>
      </c>
      <c r="DR100" s="22">
        <f t="shared" si="70"/>
        <v>378.1659483420201</v>
      </c>
      <c r="DS100" s="62">
        <f t="shared" si="71"/>
        <v>654.71137462140291</v>
      </c>
      <c r="DT100" s="62">
        <f ca="1">AVERAGE(OFFSET($DS$3,0,0,'Données projet'!$E$14+1,1))-AVERAGE(OFFSET($H$3,0,0,'Données projet'!$E$14+1,1))</f>
        <v>315.12428188060306</v>
      </c>
      <c r="DU100" s="62">
        <f t="shared" si="98"/>
        <v>186.08400677811986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3.4615384615384586</v>
      </c>
      <c r="EJ100" s="13">
        <f>IF('Données projet'!$A$192&gt;35,EJ99+EI100-ER99,IF(A100&lt;'Données projet'!$A$192,$EG$205^A100,IF(A100='Données projet'!$A$192,'Données projet'!$B$192,EJ99+EI100-ER99)))</f>
        <v>299.230769230769</v>
      </c>
      <c r="EK100" s="18">
        <f>EJ100*VLOOKUP('Données projet'!$B$15,Paramètres!$A$1:$I$89,3,0)*VLOOKUP('Données projet'!$B$15,Paramètres!$A$1:$I$89,5,0)</f>
        <v>312.7559999999998</v>
      </c>
      <c r="EL100" s="14">
        <f t="shared" si="99"/>
        <v>73.844095838560634</v>
      </c>
      <c r="EM100" s="22">
        <f t="shared" si="73"/>
        <v>673.32850025215942</v>
      </c>
      <c r="EN100" s="62">
        <f t="shared" si="74"/>
        <v>949.87392653154222</v>
      </c>
      <c r="EO100" s="62">
        <f ca="1">AVERAGE(OFFSET($EN$3,0,0,'Données projet'!$E$15+1,1))-AVERAGE(OFFSET($H$3,0,0,'Données projet'!$E$15+1,1))</f>
        <v>530.77325763685963</v>
      </c>
      <c r="EP100" s="62">
        <f t="shared" si="100"/>
        <v>344.23100274990145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90.580021122303947</v>
      </c>
      <c r="T101" s="62">
        <f t="shared" si="88"/>
        <v>375.77399473907451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16.853943838385863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1.3631122071042039E-11</v>
      </c>
      <c r="AC101" s="24">
        <f t="shared" si="57"/>
        <v>16.853943838399495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87.3677313039193</v>
      </c>
      <c r="AO101" s="62">
        <f t="shared" si="90"/>
        <v>326.27342751542903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14.397807534334538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14.397807534334538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254.91239442958343</v>
      </c>
      <c r="BJ101" s="62">
        <f t="shared" si="92"/>
        <v>361.41009011468407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297.30479999999989</v>
      </c>
      <c r="CA101" s="14">
        <f t="shared" si="93"/>
        <v>70.611149609504906</v>
      </c>
      <c r="CB101" s="22">
        <f t="shared" si="64"/>
        <v>640.78694556988739</v>
      </c>
      <c r="CC101" s="62">
        <f t="shared" si="65"/>
        <v>917.62360450451877</v>
      </c>
      <c r="CD101" s="62">
        <f ca="1">AVERAGE(OFFSET($CC$3,0,0,'Données projet'!$E$12+1,1))-AVERAGE(OFFSET($H$3,0,0,'Données projet'!$E$12+1,1))</f>
        <v>516.30971934066179</v>
      </c>
      <c r="CE101" s="62">
        <f t="shared" si="94"/>
        <v>290.84286505723571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-1.7053025658242404E-13</v>
      </c>
      <c r="CU101" s="18">
        <f>CT101*VLOOKUP('Données projet'!$B$13,Paramètres!$A$1:$I$89,3,0)*VLOOKUP('Données projet'!$B$13,Paramètres!$A$1:$I$89,5,0)</f>
        <v>-1.4897523215040567E-13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226.76930997889059</v>
      </c>
      <c r="CZ101" s="62">
        <f t="shared" si="96"/>
        <v>236.36066378969329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</v>
      </c>
      <c r="DO101" s="13">
        <f>IF('Données projet'!$A$166&gt;35,DO100+DN101-DW100,IF(A101&lt;'Données projet'!$A$166,$DL$205^A101,IF(A101='Données projet'!$A$166,'Données projet'!$B$166,DO100+DN101-DW100)))</f>
        <v>164</v>
      </c>
      <c r="DP101" s="18">
        <f>DO101*VLOOKUP('Données projet'!$B$14,Paramètres!$A$1:$I$89,3,0)*VLOOKUP('Données projet'!$B$14,Paramètres!$A$1:$I$89,5,0)</f>
        <v>176.52959999999999</v>
      </c>
      <c r="DQ101" s="14">
        <f t="shared" si="97"/>
        <v>44.549213454343487</v>
      </c>
      <c r="DR101" s="22">
        <f t="shared" si="70"/>
        <v>385.04560009964825</v>
      </c>
      <c r="DS101" s="62">
        <f t="shared" si="71"/>
        <v>661.88225903427963</v>
      </c>
      <c r="DT101" s="62">
        <f ca="1">AVERAGE(OFFSET($DS$3,0,0,'Données projet'!$E$14+1,1))-AVERAGE(OFFSET($H$3,0,0,'Données projet'!$E$14+1,1))</f>
        <v>315.12428188060306</v>
      </c>
      <c r="DU101" s="62">
        <f t="shared" si="98"/>
        <v>186.08400677811986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3.4615384615384586</v>
      </c>
      <c r="EJ101" s="13">
        <f>IF('Données projet'!$A$192&gt;35,EJ100+EI101-ER100,IF(A101&lt;'Données projet'!$A$192,$EG$205^A101,IF(A101='Données projet'!$A$192,'Données projet'!$B$192,EJ100+EI101-ER100)))</f>
        <v>302.69230769230745</v>
      </c>
      <c r="EK101" s="18">
        <f>EJ101*VLOOKUP('Données projet'!$B$15,Paramètres!$A$1:$I$89,3,0)*VLOOKUP('Données projet'!$B$15,Paramètres!$A$1:$I$89,5,0)</f>
        <v>316.37399999999974</v>
      </c>
      <c r="EL101" s="14">
        <f t="shared" si="99"/>
        <v>74.598394184177479</v>
      </c>
      <c r="EM101" s="22">
        <f t="shared" si="73"/>
        <v>680.943586537442</v>
      </c>
      <c r="EN101" s="62">
        <f t="shared" si="74"/>
        <v>957.78024547207337</v>
      </c>
      <c r="EO101" s="62">
        <f ca="1">AVERAGE(OFFSET($EN$3,0,0,'Données projet'!$E$15+1,1))-AVERAGE(OFFSET($H$3,0,0,'Données projet'!$E$15+1,1))</f>
        <v>530.77325763685963</v>
      </c>
      <c r="EP101" s="62">
        <f t="shared" si="100"/>
        <v>344.23100274990145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90.580021122303947</v>
      </c>
      <c r="T102" s="62">
        <f t="shared" si="88"/>
        <v>375.77399473907451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16.523448279605802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9.6386588516154415E-12</v>
      </c>
      <c r="AC102" s="24">
        <f t="shared" si="57"/>
        <v>16.52344827961544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87.3677313039193</v>
      </c>
      <c r="AO102" s="62">
        <f t="shared" si="90"/>
        <v>326.27342751542903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14.115475310381703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14.115475310381703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254.91239442958343</v>
      </c>
      <c r="BJ102" s="62">
        <f t="shared" si="92"/>
        <v>361.41009011468407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302.27339999999987</v>
      </c>
      <c r="CA102" s="14">
        <f t="shared" si="93"/>
        <v>71.652845832409739</v>
      </c>
      <c r="CB102" s="22">
        <f t="shared" si="64"/>
        <v>651.25487815811346</v>
      </c>
      <c r="CC102" s="62">
        <f t="shared" si="65"/>
        <v>928.37771751252353</v>
      </c>
      <c r="CD102" s="62">
        <f ca="1">AVERAGE(OFFSET($CC$3,0,0,'Données projet'!$E$12+1,1))-AVERAGE(OFFSET($H$3,0,0,'Données projet'!$E$12+1,1))</f>
        <v>516.30971934066179</v>
      </c>
      <c r="CE102" s="62">
        <f t="shared" si="94"/>
        <v>290.84286505723571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-1.7053025658242404E-13</v>
      </c>
      <c r="CU102" s="18">
        <f>CT102*VLOOKUP('Données projet'!$B$13,Paramètres!$A$1:$I$89,3,0)*VLOOKUP('Données projet'!$B$13,Paramètres!$A$1:$I$89,5,0)</f>
        <v>-1.4897523215040567E-13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226.76930997889059</v>
      </c>
      <c r="CZ102" s="62">
        <f t="shared" si="96"/>
        <v>236.36066378969329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</v>
      </c>
      <c r="DO102" s="13">
        <f>IF('Données projet'!$A$166&gt;35,DO101+DN102-DW101,IF(A102&lt;'Données projet'!$A$166,$DL$205^A102,IF(A102='Données projet'!$A$166,'Données projet'!$B$166,DO101+DN102-DW101)))</f>
        <v>167</v>
      </c>
      <c r="DP102" s="18">
        <f>DO102*VLOOKUP('Données projet'!$B$14,Paramètres!$A$1:$I$89,3,0)*VLOOKUP('Données projet'!$B$14,Paramètres!$A$1:$I$89,5,0)</f>
        <v>179.75879999999998</v>
      </c>
      <c r="DQ102" s="14">
        <f t="shared" si="97"/>
        <v>45.268519423286527</v>
      </c>
      <c r="DR102" s="22">
        <f t="shared" si="70"/>
        <v>391.92258132889066</v>
      </c>
      <c r="DS102" s="62">
        <f t="shared" si="71"/>
        <v>669.04542068330079</v>
      </c>
      <c r="DT102" s="62">
        <f ca="1">AVERAGE(OFFSET($DS$3,0,0,'Données projet'!$E$14+1,1))-AVERAGE(OFFSET($H$3,0,0,'Données projet'!$E$14+1,1))</f>
        <v>315.12428188060306</v>
      </c>
      <c r="DU102" s="62">
        <f t="shared" si="98"/>
        <v>186.08400677811986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3.4615384615384586</v>
      </c>
      <c r="EJ102" s="13">
        <f>IF('Données projet'!$A$192&gt;35,EJ101+EI102-ER101,IF(A102&lt;'Données projet'!$A$192,$EG$205^A102,IF(A102='Données projet'!$A$192,'Données projet'!$B$192,EJ101+EI102-ER101)))</f>
        <v>306.1538461538459</v>
      </c>
      <c r="EK102" s="18">
        <f>EJ102*VLOOKUP('Données projet'!$B$15,Paramètres!$A$1:$I$89,3,0)*VLOOKUP('Données projet'!$B$15,Paramètres!$A$1:$I$89,5,0)</f>
        <v>319.99199999999979</v>
      </c>
      <c r="EL102" s="14">
        <f t="shared" si="99"/>
        <v>75.351689104824757</v>
      </c>
      <c r="EM102" s="22">
        <f t="shared" si="73"/>
        <v>688.55692519090269</v>
      </c>
      <c r="EN102" s="62">
        <f t="shared" si="74"/>
        <v>965.67976454531276</v>
      </c>
      <c r="EO102" s="62">
        <f ca="1">AVERAGE(OFFSET($EN$3,0,0,'Données projet'!$E$15+1,1))-AVERAGE(OFFSET($H$3,0,0,'Données projet'!$E$15+1,1))</f>
        <v>530.77325763685963</v>
      </c>
      <c r="EP102" s="62">
        <f t="shared" si="100"/>
        <v>344.23100274990145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90.580021122303947</v>
      </c>
      <c r="T103" s="62">
        <f t="shared" si="88"/>
        <v>375.77399473907451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16.199433537151034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6.8155610355210195E-12</v>
      </c>
      <c r="AC103" s="24">
        <f t="shared" si="57"/>
        <v>16.199433537157848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87.3677313039193</v>
      </c>
      <c r="AO103" s="62">
        <f t="shared" si="90"/>
        <v>326.27342751542903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13.838679449134931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13.838679449134931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254.91239442958343</v>
      </c>
      <c r="BJ103" s="62">
        <f t="shared" si="92"/>
        <v>361.41009011468407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307.24199999999985</v>
      </c>
      <c r="CA103" s="14">
        <f t="shared" si="93"/>
        <v>72.692550770207774</v>
      </c>
      <c r="CB103" s="22">
        <f t="shared" si="64"/>
        <v>661.71934259144484</v>
      </c>
      <c r="CC103" s="62">
        <f t="shared" si="65"/>
        <v>939.12339777515399</v>
      </c>
      <c r="CD103" s="62">
        <f ca="1">AVERAGE(OFFSET($CC$3,0,0,'Données projet'!$E$12+1,1))-AVERAGE(OFFSET($H$3,0,0,'Données projet'!$E$12+1,1))</f>
        <v>516.30971934066179</v>
      </c>
      <c r="CE103" s="62">
        <f t="shared" si="94"/>
        <v>290.84286505723571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-1.7053025658242404E-13</v>
      </c>
      <c r="CU103" s="18">
        <f>CT103*VLOOKUP('Données projet'!$B$13,Paramètres!$A$1:$I$89,3,0)*VLOOKUP('Données projet'!$B$13,Paramètres!$A$1:$I$89,5,0)</f>
        <v>-1.4897523215040567E-13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226.76930997889059</v>
      </c>
      <c r="CZ103" s="62">
        <f t="shared" si="96"/>
        <v>236.36066378969329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170</v>
      </c>
      <c r="DM103" s="13">
        <f>VLOOKUP(A103,'Données projet'!$A$165:$I$185,9,0)</f>
        <v>3</v>
      </c>
      <c r="DN103" s="13">
        <f t="array" ref="DN103">INDEX(DM:DM,MIN(IF(ISNUMBER(DM103:DM299),ROW(DM103:DM299),"")))</f>
        <v>3</v>
      </c>
      <c r="DO103" s="13">
        <f>IF('Données projet'!$A$166&gt;35,DO102+DN103-DW102,IF(A103&lt;'Données projet'!$A$166,$DL$205^A103,IF(A103='Données projet'!$A$166,'Données projet'!$B$166,DO102+DN103-DW102)))</f>
        <v>170</v>
      </c>
      <c r="DP103" s="18">
        <f>DO103*VLOOKUP('Données projet'!$B$14,Paramètres!$A$1:$I$89,3,0)*VLOOKUP('Données projet'!$B$14,Paramètres!$A$1:$I$89,5,0)</f>
        <v>182.988</v>
      </c>
      <c r="DQ103" s="14">
        <f t="shared" si="97"/>
        <v>45.986322796524831</v>
      </c>
      <c r="DR103" s="22">
        <f t="shared" si="70"/>
        <v>398.79694553728069</v>
      </c>
      <c r="DS103" s="62">
        <f t="shared" si="71"/>
        <v>676.2010007209899</v>
      </c>
      <c r="DT103" s="62">
        <f ca="1">AVERAGE(OFFSET($DS$3,0,0,'Données projet'!$E$14+1,1))-AVERAGE(OFFSET($H$3,0,0,'Données projet'!$E$14+1,1))</f>
        <v>315.12428188060306</v>
      </c>
      <c r="DU103" s="62">
        <f t="shared" si="98"/>
        <v>186.08400677811986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309.61538461538458</v>
      </c>
      <c r="EH103" s="13">
        <f>VLOOKUP(A103,'Données projet'!$A$191:$I$211,9,0)</f>
        <v>3.4615384615384586</v>
      </c>
      <c r="EI103" s="13">
        <f t="array" ref="EI103">INDEX(EH:EH,MIN(IF(ISNUMBER(EH103:EH299),ROW(EH103:EH299),"")))</f>
        <v>3.4615384615384586</v>
      </c>
      <c r="EJ103" s="13">
        <f>IF('Données projet'!$A$192&gt;35,EJ102+EI103-ER102,IF(A103&lt;'Données projet'!$A$192,$EG$205^A103,IF(A103='Données projet'!$A$192,'Données projet'!$B$192,EJ102+EI103-ER102)))</f>
        <v>309.61538461538436</v>
      </c>
      <c r="EK103" s="18">
        <f>EJ103*VLOOKUP('Données projet'!$B$15,Paramètres!$A$1:$I$89,3,0)*VLOOKUP('Données projet'!$B$15,Paramètres!$A$1:$I$89,5,0)</f>
        <v>323.60999999999979</v>
      </c>
      <c r="EL103" s="14">
        <f t="shared" si="99"/>
        <v>76.103993258558603</v>
      </c>
      <c r="EM103" s="22">
        <f t="shared" si="73"/>
        <v>696.16853825865599</v>
      </c>
      <c r="EN103" s="62">
        <f t="shared" si="74"/>
        <v>973.57259344236513</v>
      </c>
      <c r="EO103" s="62">
        <f ca="1">AVERAGE(OFFSET($EN$3,0,0,'Données projet'!$E$15+1,1))-AVERAGE(OFFSET($H$3,0,0,'Données projet'!$E$15+1,1))</f>
        <v>530.77325763685963</v>
      </c>
      <c r="EP103" s="62">
        <f t="shared" si="100"/>
        <v>344.23100274990145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20.512820512820511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90.580021122303947</v>
      </c>
      <c r="T104" s="62">
        <f t="shared" si="88"/>
        <v>375.77399473907451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15.881772526166325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4.8193294258077208E-12</v>
      </c>
      <c r="AC104" s="24">
        <f t="shared" si="57"/>
        <v>15.881772526171144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87.3677313039193</v>
      </c>
      <c r="AO104" s="62">
        <f t="shared" si="90"/>
        <v>326.27342751542903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13.567311385898403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13.567311385898403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254.91239442958343</v>
      </c>
      <c r="BJ104" s="62">
        <f t="shared" si="92"/>
        <v>361.41009011468407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269.1155999999998</v>
      </c>
      <c r="CA104" s="14">
        <f t="shared" si="93"/>
        <v>64.661541462287076</v>
      </c>
      <c r="CB104" s="22">
        <f t="shared" si="64"/>
        <v>581.3285213801496</v>
      </c>
      <c r="CC104" s="62">
        <f t="shared" si="65"/>
        <v>859.00891392722406</v>
      </c>
      <c r="CD104" s="62">
        <f ca="1">AVERAGE(OFFSET($CC$3,0,0,'Données projet'!$E$12+1,1))-AVERAGE(OFFSET($H$3,0,0,'Données projet'!$E$12+1,1))</f>
        <v>516.30971934066179</v>
      </c>
      <c r="CE104" s="62">
        <f t="shared" si="94"/>
        <v>290.84286505723571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-1.7053025658242404E-13</v>
      </c>
      <c r="CU104" s="18">
        <f>CT104*VLOOKUP('Données projet'!$B$13,Paramètres!$A$1:$I$89,3,0)*VLOOKUP('Données projet'!$B$13,Paramètres!$A$1:$I$89,5,0)</f>
        <v>-1.4897523215040567E-13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226.76930997889059</v>
      </c>
      <c r="CZ104" s="62">
        <f t="shared" si="96"/>
        <v>236.36066378969329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2.8</v>
      </c>
      <c r="DO104" s="13">
        <f>IF('Données projet'!$A$166&gt;35,DO103+DN104-DW103,IF(A104&lt;'Données projet'!$A$166,$DL$205^A104,IF(A104='Données projet'!$A$166,'Données projet'!$B$166,DO103+DN104-DW103)))</f>
        <v>172.8</v>
      </c>
      <c r="DP104" s="18">
        <f>DO104*VLOOKUP('Données projet'!$B$14,Paramètres!$A$1:$I$89,3,0)*VLOOKUP('Données projet'!$B$14,Paramètres!$A$1:$I$89,5,0)</f>
        <v>186.00192000000001</v>
      </c>
      <c r="DQ104" s="14">
        <f t="shared" si="97"/>
        <v>46.654943043246</v>
      </c>
      <c r="DR104" s="22">
        <f t="shared" si="70"/>
        <v>405.21070313365345</v>
      </c>
      <c r="DS104" s="62">
        <f t="shared" si="71"/>
        <v>682.89109568072786</v>
      </c>
      <c r="DT104" s="62">
        <f ca="1">AVERAGE(OFFSET($DS$3,0,0,'Données projet'!$E$14+1,1))-AVERAGE(OFFSET($H$3,0,0,'Données projet'!$E$14+1,1))</f>
        <v>315.12428188060306</v>
      </c>
      <c r="DU104" s="62">
        <f t="shared" si="98"/>
        <v>186.08400677811986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3.2051282051282044</v>
      </c>
      <c r="EJ104" s="13">
        <f>IF('Données projet'!$A$192&gt;35,EJ103+EI104-ER103,IF(A104&lt;'Données projet'!$A$192,$EG$205^A104,IF(A104='Données projet'!$A$192,'Données projet'!$B$192,EJ103+EI104-ER103)))</f>
        <v>292.30769230769209</v>
      </c>
      <c r="EK104" s="18">
        <f>EJ104*VLOOKUP('Données projet'!$B$15,Paramètres!$A$1:$I$89,3,0)*VLOOKUP('Données projet'!$B$15,Paramètres!$A$1:$I$89,5,0)</f>
        <v>305.51999999999981</v>
      </c>
      <c r="EL104" s="14">
        <f t="shared" si="99"/>
        <v>72.332436678206648</v>
      </c>
      <c r="EM104" s="22">
        <f t="shared" si="73"/>
        <v>658.09299388120962</v>
      </c>
      <c r="EN104" s="62">
        <f t="shared" si="74"/>
        <v>935.77338642828408</v>
      </c>
      <c r="EO104" s="62">
        <f ca="1">AVERAGE(OFFSET($EN$3,0,0,'Données projet'!$E$15+1,1))-AVERAGE(OFFSET($H$3,0,0,'Données projet'!$E$15+1,1))</f>
        <v>530.77325763685963</v>
      </c>
      <c r="EP104" s="62">
        <f t="shared" si="100"/>
        <v>344.23100274990145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90.580021122303947</v>
      </c>
      <c r="T105" s="62">
        <f t="shared" si="88"/>
        <v>375.77399473907451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15.57034065385294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3.4077805177605098E-12</v>
      </c>
      <c r="AC105" s="24">
        <f t="shared" si="57"/>
        <v>15.570340653856347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87.3677313039193</v>
      </c>
      <c r="AO105" s="62">
        <f t="shared" si="90"/>
        <v>326.27342751542903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13.301264684863769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13.301264684863769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254.91239442958343</v>
      </c>
      <c r="BJ105" s="62">
        <f t="shared" si="92"/>
        <v>361.41009011468407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273.57719999999978</v>
      </c>
      <c r="CA105" s="14">
        <f t="shared" si="93"/>
        <v>65.60785888991505</v>
      </c>
      <c r="CB105" s="22">
        <f t="shared" si="64"/>
        <v>590.74731089993509</v>
      </c>
      <c r="CC105" s="62">
        <f t="shared" si="65"/>
        <v>868.69924697491797</v>
      </c>
      <c r="CD105" s="62">
        <f ca="1">AVERAGE(OFFSET($CC$3,0,0,'Données projet'!$E$12+1,1))-AVERAGE(OFFSET($H$3,0,0,'Données projet'!$E$12+1,1))</f>
        <v>516.30971934066179</v>
      </c>
      <c r="CE105" s="62">
        <f t="shared" si="94"/>
        <v>290.84286505723571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-1.7053025658242404E-13</v>
      </c>
      <c r="CU105" s="18">
        <f>CT105*VLOOKUP('Données projet'!$B$13,Paramètres!$A$1:$I$89,3,0)*VLOOKUP('Données projet'!$B$13,Paramètres!$A$1:$I$89,5,0)</f>
        <v>-1.4897523215040567E-13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226.76930997889059</v>
      </c>
      <c r="CZ105" s="62">
        <f t="shared" si="96"/>
        <v>236.36066378969329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2.8</v>
      </c>
      <c r="DO105" s="13">
        <f>IF('Données projet'!$A$166&gt;35,DO104+DN105-DW104,IF(A105&lt;'Données projet'!$A$166,$DL$205^A105,IF(A105='Données projet'!$A$166,'Données projet'!$B$166,DO104+DN105-DW104)))</f>
        <v>175.60000000000002</v>
      </c>
      <c r="DP105" s="18">
        <f>DO105*VLOOKUP('Données projet'!$B$14,Paramètres!$A$1:$I$89,3,0)*VLOOKUP('Données projet'!$B$14,Paramètres!$A$1:$I$89,5,0)</f>
        <v>189.01584</v>
      </c>
      <c r="DQ105" s="14">
        <f t="shared" si="97"/>
        <v>47.322303328129664</v>
      </c>
      <c r="DR105" s="22">
        <f t="shared" si="70"/>
        <v>411.62226629649246</v>
      </c>
      <c r="DS105" s="62">
        <f t="shared" si="71"/>
        <v>689.57420237147539</v>
      </c>
      <c r="DT105" s="62">
        <f ca="1">AVERAGE(OFFSET($DS$3,0,0,'Données projet'!$E$14+1,1))-AVERAGE(OFFSET($H$3,0,0,'Données projet'!$E$14+1,1))</f>
        <v>315.12428188060306</v>
      </c>
      <c r="DU105" s="62">
        <f t="shared" si="98"/>
        <v>186.08400677811986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3.2051282051282044</v>
      </c>
      <c r="EJ105" s="13">
        <f>IF('Données projet'!$A$192&gt;35,EJ104+EI105-ER104,IF(A105&lt;'Données projet'!$A$192,$EG$205^A105,IF(A105='Données projet'!$A$192,'Données projet'!$B$192,EJ104+EI105-ER104)))</f>
        <v>295.51282051282033</v>
      </c>
      <c r="EK105" s="18">
        <f>EJ105*VLOOKUP('Données projet'!$B$15,Paramètres!$A$1:$I$89,3,0)*VLOOKUP('Données projet'!$B$15,Paramètres!$A$1:$I$89,5,0)</f>
        <v>308.86999999999983</v>
      </c>
      <c r="EL105" s="14">
        <f t="shared" si="99"/>
        <v>73.032791063818379</v>
      </c>
      <c r="EM105" s="22">
        <f t="shared" si="73"/>
        <v>665.14736110281672</v>
      </c>
      <c r="EN105" s="62">
        <f t="shared" si="74"/>
        <v>943.0992971777996</v>
      </c>
      <c r="EO105" s="62">
        <f ca="1">AVERAGE(OFFSET($EN$3,0,0,'Données projet'!$E$15+1,1))-AVERAGE(OFFSET($H$3,0,0,'Données projet'!$E$15+1,1))</f>
        <v>530.77325763685963</v>
      </c>
      <c r="EP105" s="62">
        <f t="shared" si="100"/>
        <v>344.23100274990145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90.580021122303947</v>
      </c>
      <c r="T106" s="62">
        <f t="shared" si="88"/>
        <v>375.77399473907451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15.265015770600934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2.4096647129038604E-12</v>
      </c>
      <c r="AC106" s="24">
        <f t="shared" si="57"/>
        <v>15.265015770603345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87.3677313039193</v>
      </c>
      <c r="AO106" s="62">
        <f t="shared" si="90"/>
        <v>326.27342751542903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13.04043499736396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13.04043499736396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254.91239442958343</v>
      </c>
      <c r="BJ106" s="62">
        <f t="shared" si="92"/>
        <v>361.41009011468407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278.03879999999975</v>
      </c>
      <c r="CA106" s="14">
        <f t="shared" si="93"/>
        <v>66.552381547717744</v>
      </c>
      <c r="CB106" s="22">
        <f t="shared" si="64"/>
        <v>600.16297452894128</v>
      </c>
      <c r="CC106" s="62">
        <f t="shared" si="65"/>
        <v>878.38174345870402</v>
      </c>
      <c r="CD106" s="62">
        <f ca="1">AVERAGE(OFFSET($CC$3,0,0,'Données projet'!$E$12+1,1))-AVERAGE(OFFSET($H$3,0,0,'Données projet'!$E$12+1,1))</f>
        <v>516.30971934066179</v>
      </c>
      <c r="CE106" s="62">
        <f t="shared" si="94"/>
        <v>290.84286505723571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-1.7053025658242404E-13</v>
      </c>
      <c r="CU106" s="18">
        <f>CT106*VLOOKUP('Données projet'!$B$13,Paramètres!$A$1:$I$89,3,0)*VLOOKUP('Données projet'!$B$13,Paramètres!$A$1:$I$89,5,0)</f>
        <v>-1.4897523215040567E-13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226.76930997889059</v>
      </c>
      <c r="CZ106" s="62">
        <f t="shared" si="96"/>
        <v>236.36066378969329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2.8</v>
      </c>
      <c r="DO106" s="13">
        <f>IF('Données projet'!$A$166&gt;35,DO105+DN106-DW105,IF(A106&lt;'Données projet'!$A$166,$DL$205^A106,IF(A106='Données projet'!$A$166,'Données projet'!$B$166,DO105+DN106-DW105)))</f>
        <v>178.40000000000003</v>
      </c>
      <c r="DP106" s="18">
        <f>DO106*VLOOKUP('Données projet'!$B$14,Paramètres!$A$1:$I$89,3,0)*VLOOKUP('Données projet'!$B$14,Paramètres!$A$1:$I$89,5,0)</f>
        <v>192.02976000000004</v>
      </c>
      <c r="DQ106" s="14">
        <f t="shared" si="97"/>
        <v>47.988426061329989</v>
      </c>
      <c r="DR106" s="22">
        <f t="shared" si="70"/>
        <v>418.03167405681643</v>
      </c>
      <c r="DS106" s="62">
        <f t="shared" si="71"/>
        <v>696.25044298657917</v>
      </c>
      <c r="DT106" s="62">
        <f ca="1">AVERAGE(OFFSET($DS$3,0,0,'Données projet'!$E$14+1,1))-AVERAGE(OFFSET($H$3,0,0,'Données projet'!$E$14+1,1))</f>
        <v>315.12428188060306</v>
      </c>
      <c r="DU106" s="62">
        <f t="shared" si="98"/>
        <v>186.08400677811986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3.2051282051282044</v>
      </c>
      <c r="EJ106" s="13">
        <f>IF('Données projet'!$A$192&gt;35,EJ105+EI106-ER105,IF(A106&lt;'Données projet'!$A$192,$EG$205^A106,IF(A106='Données projet'!$A$192,'Données projet'!$B$192,EJ105+EI106-ER105)))</f>
        <v>298.7179487179485</v>
      </c>
      <c r="EK106" s="18">
        <f>EJ106*VLOOKUP('Données projet'!$B$15,Paramètres!$A$1:$I$89,3,0)*VLOOKUP('Données projet'!$B$15,Paramètres!$A$1:$I$89,5,0)</f>
        <v>312.2199999999998</v>
      </c>
      <c r="EL106" s="14">
        <f t="shared" si="99"/>
        <v>73.732261810577455</v>
      </c>
      <c r="EM106" s="22">
        <f t="shared" si="73"/>
        <v>672.20018932008873</v>
      </c>
      <c r="EN106" s="62">
        <f t="shared" si="74"/>
        <v>950.41895824985136</v>
      </c>
      <c r="EO106" s="62">
        <f ca="1">AVERAGE(OFFSET($EN$3,0,0,'Données projet'!$E$15+1,1))-AVERAGE(OFFSET($H$3,0,0,'Données projet'!$E$15+1,1))</f>
        <v>530.77325763685963</v>
      </c>
      <c r="EP106" s="62">
        <f t="shared" si="100"/>
        <v>344.23100274990145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90.580021122303947</v>
      </c>
      <c r="T107" s="62">
        <f t="shared" si="88"/>
        <v>375.77399473907451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14.96567812207971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1.7038902588802549E-12</v>
      </c>
      <c r="AC107" s="24">
        <f t="shared" si="57"/>
        <v>14.965678122081414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87.3677313039193</v>
      </c>
      <c r="AO107" s="62">
        <f t="shared" si="90"/>
        <v>326.27342751542903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12.78472002094562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12.78472002094562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254.91239442958343</v>
      </c>
      <c r="BJ107" s="62">
        <f t="shared" si="92"/>
        <v>361.41009011468407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282.50039999999973</v>
      </c>
      <c r="CA107" s="14">
        <f t="shared" si="93"/>
        <v>67.495141560894311</v>
      </c>
      <c r="CB107" s="22">
        <f t="shared" si="64"/>
        <v>609.57556821855712</v>
      </c>
      <c r="CC107" s="62">
        <f t="shared" si="65"/>
        <v>888.05654104961809</v>
      </c>
      <c r="CD107" s="62">
        <f ca="1">AVERAGE(OFFSET($CC$3,0,0,'Données projet'!$E$12+1,1))-AVERAGE(OFFSET($H$3,0,0,'Données projet'!$E$12+1,1))</f>
        <v>516.30971934066179</v>
      </c>
      <c r="CE107" s="62">
        <f t="shared" si="94"/>
        <v>290.84286505723571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-1.7053025658242404E-13</v>
      </c>
      <c r="CU107" s="18">
        <f>CT107*VLOOKUP('Données projet'!$B$13,Paramètres!$A$1:$I$89,3,0)*VLOOKUP('Données projet'!$B$13,Paramètres!$A$1:$I$89,5,0)</f>
        <v>-1.4897523215040567E-13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226.76930997889059</v>
      </c>
      <c r="CZ107" s="62">
        <f t="shared" si="96"/>
        <v>236.36066378969329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2.8</v>
      </c>
      <c r="DO107" s="13">
        <f>IF('Données projet'!$A$166&gt;35,DO106+DN107-DW106,IF(A107&lt;'Données projet'!$A$166,$DL$205^A107,IF(A107='Données projet'!$A$166,'Données projet'!$B$166,DO106+DN107-DW106)))</f>
        <v>181.20000000000005</v>
      </c>
      <c r="DP107" s="18">
        <f>DO107*VLOOKUP('Données projet'!$B$14,Paramètres!$A$1:$I$89,3,0)*VLOOKUP('Données projet'!$B$14,Paramètres!$A$1:$I$89,5,0)</f>
        <v>195.04368000000005</v>
      </c>
      <c r="DQ107" s="14">
        <f t="shared" si="97"/>
        <v>48.653332909190283</v>
      </c>
      <c r="DR107" s="22">
        <f t="shared" si="70"/>
        <v>424.43896415017315</v>
      </c>
      <c r="DS107" s="62">
        <f t="shared" si="71"/>
        <v>702.91993698123406</v>
      </c>
      <c r="DT107" s="62">
        <f ca="1">AVERAGE(OFFSET($DS$3,0,0,'Données projet'!$E$14+1,1))-AVERAGE(OFFSET($H$3,0,0,'Données projet'!$E$14+1,1))</f>
        <v>315.12428188060306</v>
      </c>
      <c r="DU107" s="62">
        <f t="shared" si="98"/>
        <v>186.08400677811986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3.2051282051282044</v>
      </c>
      <c r="EJ107" s="13">
        <f>IF('Données projet'!$A$192&gt;35,EJ106+EI107-ER106,IF(A107&lt;'Données projet'!$A$192,$EG$205^A107,IF(A107='Données projet'!$A$192,'Données projet'!$B$192,EJ106+EI107-ER106)))</f>
        <v>301.92307692307668</v>
      </c>
      <c r="EK107" s="18">
        <f>EJ107*VLOOKUP('Données projet'!$B$15,Paramètres!$A$1:$I$89,3,0)*VLOOKUP('Données projet'!$B$15,Paramètres!$A$1:$I$89,5,0)</f>
        <v>315.56999999999977</v>
      </c>
      <c r="EL107" s="14">
        <f t="shared" si="99"/>
        <v>74.430859496988774</v>
      </c>
      <c r="EM107" s="22">
        <f t="shared" si="73"/>
        <v>679.25149695725497</v>
      </c>
      <c r="EN107" s="62">
        <f t="shared" si="74"/>
        <v>957.73246978831594</v>
      </c>
      <c r="EO107" s="62">
        <f ca="1">AVERAGE(OFFSET($EN$3,0,0,'Données projet'!$E$15+1,1))-AVERAGE(OFFSET($H$3,0,0,'Données projet'!$E$15+1,1))</f>
        <v>530.77325763685963</v>
      </c>
      <c r="EP107" s="62">
        <f t="shared" si="100"/>
        <v>344.23100274990145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90.580021122303947</v>
      </c>
      <c r="T108" s="62">
        <f t="shared" si="88"/>
        <v>375.77399473907451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14.67221030226805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1.2048323564519302E-12</v>
      </c>
      <c r="AC108" s="24">
        <f t="shared" si="57"/>
        <v>14.672210302269255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87.3677313039193</v>
      </c>
      <c r="AO108" s="62">
        <f t="shared" si="90"/>
        <v>326.27342751542903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12.53401945924411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12.53401945924411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254.91239442958343</v>
      </c>
      <c r="BJ108" s="62">
        <f t="shared" si="92"/>
        <v>361.41009011468407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286.9619999999997</v>
      </c>
      <c r="CA108" s="14">
        <f t="shared" si="93"/>
        <v>68.436169981717796</v>
      </c>
      <c r="CB108" s="22">
        <f t="shared" si="64"/>
        <v>618.98514605149137</v>
      </c>
      <c r="CC108" s="62">
        <f t="shared" si="65"/>
        <v>897.72377413236313</v>
      </c>
      <c r="CD108" s="62">
        <f ca="1">AVERAGE(OFFSET($CC$3,0,0,'Données projet'!$E$12+1,1))-AVERAGE(OFFSET($H$3,0,0,'Données projet'!$E$12+1,1))</f>
        <v>516.30971934066179</v>
      </c>
      <c r="CE108" s="62">
        <f t="shared" si="94"/>
        <v>290.84286505723571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-1.7053025658242404E-13</v>
      </c>
      <c r="CU108" s="18">
        <f>CT108*VLOOKUP('Données projet'!$B$13,Paramètres!$A$1:$I$89,3,0)*VLOOKUP('Données projet'!$B$13,Paramètres!$A$1:$I$89,5,0)</f>
        <v>-1.4897523215040567E-13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226.76930997889059</v>
      </c>
      <c r="CZ108" s="62">
        <f t="shared" si="96"/>
        <v>236.36066378969329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184</v>
      </c>
      <c r="DM108" s="13">
        <f>VLOOKUP(A108,'Données projet'!$A$165:$I$185,9,0)</f>
        <v>2.8</v>
      </c>
      <c r="DN108" s="13">
        <f t="array" ref="DN108">INDEX(DM:DM,MIN(IF(ISNUMBER(DM108:DM304),ROW(DM108:DM304),"")))</f>
        <v>2.8</v>
      </c>
      <c r="DO108" s="13">
        <f>IF('Données projet'!$A$166&gt;35,DO107+DN108-DW107,IF(A108&lt;'Données projet'!$A$166,$DL$205^A108,IF(A108='Données projet'!$A$166,'Données projet'!$B$166,DO107+DN108-DW107)))</f>
        <v>184.00000000000006</v>
      </c>
      <c r="DP108" s="18">
        <f>DO108*VLOOKUP('Données projet'!$B$14,Paramètres!$A$1:$I$89,3,0)*VLOOKUP('Données projet'!$B$14,Paramètres!$A$1:$I$89,5,0)</f>
        <v>198.05760000000006</v>
      </c>
      <c r="DQ108" s="14">
        <f t="shared" si="97"/>
        <v>49.317044830035982</v>
      </c>
      <c r="DR108" s="22">
        <f t="shared" si="70"/>
        <v>430.8441730789794</v>
      </c>
      <c r="DS108" s="62">
        <f t="shared" si="71"/>
        <v>709.58280115985121</v>
      </c>
      <c r="DT108" s="62">
        <f ca="1">AVERAGE(OFFSET($DS$3,0,0,'Données projet'!$E$14+1,1))-AVERAGE(OFFSET($H$3,0,0,'Données projet'!$E$14+1,1))</f>
        <v>315.12428188060306</v>
      </c>
      <c r="DU108" s="62">
        <f t="shared" si="98"/>
        <v>186.08400677811986</v>
      </c>
      <c r="DV108" s="16">
        <f>IF(ISNA(VLOOKUP(A108,'Données projet'!$A$165:$I$185,3,0)),0,VLOOKUP(A108,'Données projet'!$A$165:$I$185,3,0))</f>
        <v>8</v>
      </c>
      <c r="DW108" s="16">
        <f>IF(ISNA(VLOOKUP(A108,'Données projet'!$A$165:$I$185,4,0)),0,VLOOKUP(A108,'Données projet'!$A$165:$I$185,4,0))</f>
        <v>18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3.2051282051282044</v>
      </c>
      <c r="EJ108" s="13">
        <f>IF('Données projet'!$A$192&gt;35,EJ107+EI108-ER107,IF(A108&lt;'Données projet'!$A$192,$EG$205^A108,IF(A108='Données projet'!$A$192,'Données projet'!$B$192,EJ107+EI108-ER107)))</f>
        <v>305.12820512820485</v>
      </c>
      <c r="EK108" s="18">
        <f>EJ108*VLOOKUP('Données projet'!$B$15,Paramètres!$A$1:$I$89,3,0)*VLOOKUP('Données projet'!$B$15,Paramètres!$A$1:$I$89,5,0)</f>
        <v>318.91999999999973</v>
      </c>
      <c r="EL108" s="14">
        <f t="shared" si="99"/>
        <v>75.128594464022456</v>
      </c>
      <c r="EM108" s="22">
        <f t="shared" si="73"/>
        <v>686.30130202483861</v>
      </c>
      <c r="EN108" s="62">
        <f t="shared" si="74"/>
        <v>965.03993010571037</v>
      </c>
      <c r="EO108" s="62">
        <f ca="1">AVERAGE(OFFSET($EN$3,0,0,'Données projet'!$E$15+1,1))-AVERAGE(OFFSET($H$3,0,0,'Données projet'!$E$15+1,1))</f>
        <v>530.77325763685963</v>
      </c>
      <c r="EP108" s="62">
        <f t="shared" si="100"/>
        <v>344.23100274990145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90.580021122303947</v>
      </c>
      <c r="T109" s="62">
        <f t="shared" si="88"/>
        <v>375.77399473907451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14.384497207405202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8.5194512944012744E-13</v>
      </c>
      <c r="AC109" s="24">
        <f t="shared" si="57"/>
        <v>14.384497207406055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87.3677313039193</v>
      </c>
      <c r="AO109" s="62">
        <f t="shared" si="90"/>
        <v>326.27342751542903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12.288234982645323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12.288234982645323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254.91239442958343</v>
      </c>
      <c r="BJ109" s="62">
        <f t="shared" si="92"/>
        <v>361.41009011468407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291.42359999999968</v>
      </c>
      <c r="CA109" s="14">
        <f t="shared" si="93"/>
        <v>69.375496841482104</v>
      </c>
      <c r="CB109" s="22">
        <f t="shared" si="64"/>
        <v>628.39176033224737</v>
      </c>
      <c r="CC109" s="62">
        <f t="shared" si="65"/>
        <v>907.38357392037642</v>
      </c>
      <c r="CD109" s="62">
        <f ca="1">AVERAGE(OFFSET($CC$3,0,0,'Données projet'!$E$12+1,1))-AVERAGE(OFFSET($H$3,0,0,'Données projet'!$E$12+1,1))</f>
        <v>516.30971934066179</v>
      </c>
      <c r="CE109" s="62">
        <f t="shared" si="94"/>
        <v>290.84286505723571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-1.7053025658242404E-13</v>
      </c>
      <c r="CU109" s="18">
        <f>CT109*VLOOKUP('Données projet'!$B$13,Paramètres!$A$1:$I$89,3,0)*VLOOKUP('Données projet'!$B$13,Paramètres!$A$1:$I$89,5,0)</f>
        <v>-1.4897523215040567E-13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226.76930997889059</v>
      </c>
      <c r="CZ109" s="62">
        <f t="shared" si="96"/>
        <v>236.36066378969329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</v>
      </c>
      <c r="DO109" s="13">
        <f>IF('Données projet'!$A$166&gt;35,DO108+DN109-DW108,IF(A109&lt;'Données projet'!$A$166,$DL$205^A109,IF(A109='Données projet'!$A$166,'Données projet'!$B$166,DO108+DN109-DW108)))</f>
        <v>169.00000000000006</v>
      </c>
      <c r="DP109" s="18">
        <f>DO109*VLOOKUP('Données projet'!$B$14,Paramètres!$A$1:$I$89,3,0)*VLOOKUP('Données projet'!$B$14,Paramètres!$A$1:$I$89,5,0)</f>
        <v>181.91160000000005</v>
      </c>
      <c r="DQ109" s="14">
        <f t="shared" si="97"/>
        <v>45.747220111978386</v>
      </c>
      <c r="DR109" s="22">
        <f t="shared" si="70"/>
        <v>396.50577836169577</v>
      </c>
      <c r="DS109" s="62">
        <f t="shared" si="71"/>
        <v>675.49759194982494</v>
      </c>
      <c r="DT109" s="62">
        <f ca="1">AVERAGE(OFFSET($DS$3,0,0,'Données projet'!$E$14+1,1))-AVERAGE(OFFSET($H$3,0,0,'Données projet'!$E$14+1,1))</f>
        <v>315.12428188060306</v>
      </c>
      <c r="DU109" s="62">
        <f t="shared" si="98"/>
        <v>186.08400677811986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3.2051282051282044</v>
      </c>
      <c r="EJ109" s="13">
        <f>IF('Données projet'!$A$192&gt;35,EJ108+EI109-ER108,IF(A109&lt;'Données projet'!$A$192,$EG$205^A109,IF(A109='Données projet'!$A$192,'Données projet'!$B$192,EJ108+EI109-ER108)))</f>
        <v>308.33333333333303</v>
      </c>
      <c r="EK109" s="18">
        <f>EJ109*VLOOKUP('Données projet'!$B$15,Paramètres!$A$1:$I$89,3,0)*VLOOKUP('Données projet'!$B$15,Paramètres!$A$1:$I$89,5,0)</f>
        <v>322.2699999999997</v>
      </c>
      <c r="EL109" s="14">
        <f t="shared" si="99"/>
        <v>75.825476822885705</v>
      </c>
      <c r="EM109" s="22">
        <f t="shared" si="73"/>
        <v>693.34962213319204</v>
      </c>
      <c r="EN109" s="62">
        <f t="shared" si="74"/>
        <v>972.3414357213212</v>
      </c>
      <c r="EO109" s="62">
        <f ca="1">AVERAGE(OFFSET($EN$3,0,0,'Données projet'!$E$15+1,1))-AVERAGE(OFFSET($H$3,0,0,'Données projet'!$E$15+1,1))</f>
        <v>530.77325763685963</v>
      </c>
      <c r="EP109" s="62">
        <f t="shared" si="100"/>
        <v>344.23100274990145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90.580021122303947</v>
      </c>
      <c r="T110" s="62">
        <f t="shared" si="88"/>
        <v>375.77399473907451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14.102425990844955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6.0241617822596509E-13</v>
      </c>
      <c r="AC110" s="24">
        <f t="shared" si="57"/>
        <v>14.102425990845557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87.3677313039193</v>
      </c>
      <c r="AO110" s="62">
        <f t="shared" si="90"/>
        <v>326.27342751542903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12.04727018971891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12.04727018971891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254.91239442958343</v>
      </c>
      <c r="BJ110" s="62">
        <f t="shared" si="92"/>
        <v>361.41009011468407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295.88519999999966</v>
      </c>
      <c r="CA110" s="14">
        <f t="shared" si="93"/>
        <v>70.313151199178748</v>
      </c>
      <c r="CB110" s="22">
        <f t="shared" si="64"/>
        <v>637.79546167190244</v>
      </c>
      <c r="CC110" s="62">
        <f t="shared" si="65"/>
        <v>917.03606856477609</v>
      </c>
      <c r="CD110" s="62">
        <f ca="1">AVERAGE(OFFSET($CC$3,0,0,'Données projet'!$E$12+1,1))-AVERAGE(OFFSET($H$3,0,0,'Données projet'!$E$12+1,1))</f>
        <v>516.30971934066179</v>
      </c>
      <c r="CE110" s="62">
        <f t="shared" si="94"/>
        <v>290.84286505723571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-1.7053025658242404E-13</v>
      </c>
      <c r="CU110" s="18">
        <f>CT110*VLOOKUP('Données projet'!$B$13,Paramètres!$A$1:$I$89,3,0)*VLOOKUP('Données projet'!$B$13,Paramètres!$A$1:$I$89,5,0)</f>
        <v>-1.4897523215040567E-13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226.76930997889059</v>
      </c>
      <c r="CZ110" s="62">
        <f t="shared" si="96"/>
        <v>236.36066378969329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</v>
      </c>
      <c r="DO110" s="13">
        <f>IF('Données projet'!$A$166&gt;35,DO109+DN110-DW109,IF(A110&lt;'Données projet'!$A$166,$DL$205^A110,IF(A110='Données projet'!$A$166,'Données projet'!$B$166,DO109+DN110-DW109)))</f>
        <v>172.00000000000006</v>
      </c>
      <c r="DP110" s="18">
        <f>DO110*VLOOKUP('Données projet'!$B$14,Paramètres!$A$1:$I$89,3,0)*VLOOKUP('Données projet'!$B$14,Paramètres!$A$1:$I$89,5,0)</f>
        <v>185.14080000000007</v>
      </c>
      <c r="DQ110" s="14">
        <f t="shared" si="97"/>
        <v>46.464038253813506</v>
      </c>
      <c r="DR110" s="22">
        <f t="shared" si="70"/>
        <v>403.37842662539197</v>
      </c>
      <c r="DS110" s="62">
        <f t="shared" si="71"/>
        <v>682.61903351826561</v>
      </c>
      <c r="DT110" s="62">
        <f ca="1">AVERAGE(OFFSET($DS$3,0,0,'Données projet'!$E$14+1,1))-AVERAGE(OFFSET($H$3,0,0,'Données projet'!$E$14+1,1))</f>
        <v>315.12428188060306</v>
      </c>
      <c r="DU110" s="62">
        <f t="shared" si="98"/>
        <v>186.08400677811986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3.2051282051282044</v>
      </c>
      <c r="EJ110" s="13">
        <f>IF('Données projet'!$A$192&gt;35,EJ109+EI110-ER109,IF(A110&lt;'Données projet'!$A$192,$EG$205^A110,IF(A110='Données projet'!$A$192,'Données projet'!$B$192,EJ109+EI110-ER109)))</f>
        <v>311.53846153846121</v>
      </c>
      <c r="EK110" s="18">
        <f>EJ110*VLOOKUP('Données projet'!$B$15,Paramètres!$A$1:$I$89,3,0)*VLOOKUP('Données projet'!$B$15,Paramètres!$A$1:$I$89,5,0)</f>
        <v>325.61999999999972</v>
      </c>
      <c r="EL110" s="14">
        <f t="shared" si="99"/>
        <v>76.521516462461591</v>
      </c>
      <c r="EM110" s="22">
        <f t="shared" si="73"/>
        <v>700.39647450545351</v>
      </c>
      <c r="EN110" s="62">
        <f t="shared" si="74"/>
        <v>979.63708139832715</v>
      </c>
      <c r="EO110" s="62">
        <f ca="1">AVERAGE(OFFSET($EN$3,0,0,'Données projet'!$E$15+1,1))-AVERAGE(OFFSET($H$3,0,0,'Données projet'!$E$15+1,1))</f>
        <v>530.77325763685963</v>
      </c>
      <c r="EP110" s="62">
        <f t="shared" si="100"/>
        <v>344.23100274990145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90.580021122303947</v>
      </c>
      <c r="T111" s="62">
        <f t="shared" si="88"/>
        <v>375.77399473907451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13.825886018795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4.2597256472006372E-13</v>
      </c>
      <c r="AC111" s="24">
        <f t="shared" si="57"/>
        <v>13.825886018795426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87.3677313039193</v>
      </c>
      <c r="AO111" s="62">
        <f t="shared" si="90"/>
        <v>326.27342751542903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11.811030569407773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11.811030569407773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254.91239442958343</v>
      </c>
      <c r="BJ111" s="62">
        <f t="shared" si="92"/>
        <v>361.41009011468407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300.34679999999963</v>
      </c>
      <c r="CA111" s="14">
        <f t="shared" si="93"/>
        <v>71.249161187153291</v>
      </c>
      <c r="CB111" s="22">
        <f t="shared" si="64"/>
        <v>647.19629906762464</v>
      </c>
      <c r="CC111" s="62">
        <f t="shared" si="65"/>
        <v>926.68138325762402</v>
      </c>
      <c r="CD111" s="62">
        <f ca="1">AVERAGE(OFFSET($CC$3,0,0,'Données projet'!$E$12+1,1))-AVERAGE(OFFSET($H$3,0,0,'Données projet'!$E$12+1,1))</f>
        <v>516.30971934066179</v>
      </c>
      <c r="CE111" s="62">
        <f t="shared" si="94"/>
        <v>290.84286505723571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-1.7053025658242404E-13</v>
      </c>
      <c r="CU111" s="18">
        <f>CT111*VLOOKUP('Données projet'!$B$13,Paramètres!$A$1:$I$89,3,0)*VLOOKUP('Données projet'!$B$13,Paramètres!$A$1:$I$89,5,0)</f>
        <v>-1.4897523215040567E-13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226.76930997889059</v>
      </c>
      <c r="CZ111" s="62">
        <f t="shared" si="96"/>
        <v>236.36066378969329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</v>
      </c>
      <c r="DO111" s="13">
        <f>IF('Données projet'!$A$166&gt;35,DO110+DN111-DW110,IF(A111&lt;'Données projet'!$A$166,$DL$205^A111,IF(A111='Données projet'!$A$166,'Données projet'!$B$166,DO110+DN111-DW110)))</f>
        <v>175.00000000000006</v>
      </c>
      <c r="DP111" s="18">
        <f>DO111*VLOOKUP('Données projet'!$B$14,Paramètres!$A$1:$I$89,3,0)*VLOOKUP('Données projet'!$B$14,Paramètres!$A$1:$I$89,5,0)</f>
        <v>188.37000000000006</v>
      </c>
      <c r="DQ111" s="14">
        <f t="shared" si="97"/>
        <v>47.179402486491298</v>
      </c>
      <c r="DR111" s="22">
        <f t="shared" si="70"/>
        <v>410.2485426639725</v>
      </c>
      <c r="DS111" s="62">
        <f t="shared" si="71"/>
        <v>689.73362685397183</v>
      </c>
      <c r="DT111" s="62">
        <f ca="1">AVERAGE(OFFSET($DS$3,0,0,'Données projet'!$E$14+1,1))-AVERAGE(OFFSET($H$3,0,0,'Données projet'!$E$14+1,1))</f>
        <v>315.12428188060306</v>
      </c>
      <c r="DU111" s="62">
        <f t="shared" si="98"/>
        <v>186.08400677811986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3.2051282051282044</v>
      </c>
      <c r="EJ111" s="13">
        <f>IF('Données projet'!$A$192&gt;35,EJ110+EI111-ER110,IF(A111&lt;'Données projet'!$A$192,$EG$205^A111,IF(A111='Données projet'!$A$192,'Données projet'!$B$192,EJ110+EI111-ER110)))</f>
        <v>314.74358974358938</v>
      </c>
      <c r="EK111" s="18">
        <f>EJ111*VLOOKUP('Données projet'!$B$15,Paramètres!$A$1:$I$89,3,0)*VLOOKUP('Données projet'!$B$15,Paramètres!$A$1:$I$89,5,0)</f>
        <v>328.96999999999969</v>
      </c>
      <c r="EL111" s="14">
        <f t="shared" si="99"/>
        <v>77.216723056433693</v>
      </c>
      <c r="EM111" s="22">
        <f t="shared" si="73"/>
        <v>707.44187598995484</v>
      </c>
      <c r="EN111" s="62">
        <f t="shared" si="74"/>
        <v>986.92696017995422</v>
      </c>
      <c r="EO111" s="62">
        <f ca="1">AVERAGE(OFFSET($EN$3,0,0,'Données projet'!$E$15+1,1))-AVERAGE(OFFSET($H$3,0,0,'Données projet'!$E$15+1,1))</f>
        <v>530.77325763685963</v>
      </c>
      <c r="EP111" s="62">
        <f t="shared" si="100"/>
        <v>344.23100274990145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90.580021122303947</v>
      </c>
      <c r="T112" s="62">
        <f t="shared" si="88"/>
        <v>375.77399473907451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13.554768826924215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3.0120808911298255E-13</v>
      </c>
      <c r="AC112" s="24">
        <f t="shared" si="57"/>
        <v>13.554768826924517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87.3677313039193</v>
      </c>
      <c r="AO112" s="62">
        <f t="shared" si="90"/>
        <v>326.27342751542903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11.579423463958996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11.579423463958996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254.91239442958343</v>
      </c>
      <c r="BJ112" s="62">
        <f t="shared" si="92"/>
        <v>361.41009011468407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304.80839999999961</v>
      </c>
      <c r="CA112" s="14">
        <f t="shared" si="93"/>
        <v>72.183554053972728</v>
      </c>
      <c r="CB112" s="22">
        <f t="shared" si="64"/>
        <v>656.59431997733509</v>
      </c>
      <c r="CC112" s="62">
        <f t="shared" si="65"/>
        <v>936.31964032992437</v>
      </c>
      <c r="CD112" s="62">
        <f ca="1">AVERAGE(OFFSET($CC$3,0,0,'Données projet'!$E$12+1,1))-AVERAGE(OFFSET($H$3,0,0,'Données projet'!$E$12+1,1))</f>
        <v>516.30971934066179</v>
      </c>
      <c r="CE112" s="62">
        <f t="shared" si="94"/>
        <v>290.84286505723571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-1.7053025658242404E-13</v>
      </c>
      <c r="CU112" s="18">
        <f>CT112*VLOOKUP('Données projet'!$B$13,Paramètres!$A$1:$I$89,3,0)*VLOOKUP('Données projet'!$B$13,Paramètres!$A$1:$I$89,5,0)</f>
        <v>-1.4897523215040567E-13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226.76930997889059</v>
      </c>
      <c r="CZ112" s="62">
        <f t="shared" si="96"/>
        <v>236.36066378969329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</v>
      </c>
      <c r="DO112" s="13">
        <f>IF('Données projet'!$A$166&gt;35,DO111+DN112-DW111,IF(A112&lt;'Données projet'!$A$166,$DL$205^A112,IF(A112='Données projet'!$A$166,'Données projet'!$B$166,DO111+DN112-DW111)))</f>
        <v>178.00000000000006</v>
      </c>
      <c r="DP112" s="18">
        <f>DO112*VLOOKUP('Données projet'!$B$14,Paramètres!$A$1:$I$89,3,0)*VLOOKUP('Données projet'!$B$14,Paramètres!$A$1:$I$89,5,0)</f>
        <v>191.59920000000005</v>
      </c>
      <c r="DQ112" s="14">
        <f t="shared" si="97"/>
        <v>47.893340610341859</v>
      </c>
      <c r="DR112" s="22">
        <f t="shared" si="70"/>
        <v>417.11617489634546</v>
      </c>
      <c r="DS112" s="62">
        <f t="shared" si="71"/>
        <v>696.84149524893473</v>
      </c>
      <c r="DT112" s="62">
        <f ca="1">AVERAGE(OFFSET($DS$3,0,0,'Données projet'!$E$14+1,1))-AVERAGE(OFFSET($H$3,0,0,'Données projet'!$E$14+1,1))</f>
        <v>315.12428188060306</v>
      </c>
      <c r="DU112" s="62">
        <f t="shared" si="98"/>
        <v>186.08400677811986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3.2051282051282044</v>
      </c>
      <c r="EJ112" s="13">
        <f>IF('Données projet'!$A$192&gt;35,EJ111+EI112-ER111,IF(A112&lt;'Données projet'!$A$192,$EG$205^A112,IF(A112='Données projet'!$A$192,'Données projet'!$B$192,EJ111+EI112-ER111)))</f>
        <v>317.94871794871756</v>
      </c>
      <c r="EK112" s="18">
        <f>EJ112*VLOOKUP('Données projet'!$B$15,Paramètres!$A$1:$I$89,3,0)*VLOOKUP('Données projet'!$B$15,Paramètres!$A$1:$I$89,5,0)</f>
        <v>332.3199999999996</v>
      </c>
      <c r="EL112" s="14">
        <f t="shared" si="99"/>
        <v>77.911106070111614</v>
      </c>
      <c r="EM112" s="22">
        <f t="shared" si="73"/>
        <v>714.48584307211024</v>
      </c>
      <c r="EN112" s="62">
        <f t="shared" si="74"/>
        <v>994.21116342469952</v>
      </c>
      <c r="EO112" s="62">
        <f ca="1">AVERAGE(OFFSET($EN$3,0,0,'Données projet'!$E$15+1,1))-AVERAGE(OFFSET($H$3,0,0,'Données projet'!$E$15+1,1))</f>
        <v>530.77325763685963</v>
      </c>
      <c r="EP112" s="62">
        <f t="shared" si="100"/>
        <v>344.23100274990145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90.580021122303947</v>
      </c>
      <c r="T113" s="62">
        <f t="shared" si="88"/>
        <v>375.77399473907451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13.28896807782086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2.1298628236003186E-13</v>
      </c>
      <c r="AC113" s="24">
        <f t="shared" si="57"/>
        <v>13.288968077821073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87.3677313039193</v>
      </c>
      <c r="AO113" s="62">
        <f t="shared" si="90"/>
        <v>326.27342751542903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11.352358032581684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11.352358032581684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254.91239442958343</v>
      </c>
      <c r="BJ113" s="62">
        <f t="shared" si="92"/>
        <v>361.41009011468407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309.26999999999958</v>
      </c>
      <c r="CA113" s="14">
        <f t="shared" si="93"/>
        <v>73.116356204710968</v>
      </c>
      <c r="CB113" s="22">
        <f t="shared" si="64"/>
        <v>665.98957038987078</v>
      </c>
      <c r="CC113" s="62">
        <f t="shared" si="65"/>
        <v>945.95095934471669</v>
      </c>
      <c r="CD113" s="62">
        <f ca="1">AVERAGE(OFFSET($CC$3,0,0,'Données projet'!$E$12+1,1))-AVERAGE(OFFSET($H$3,0,0,'Données projet'!$E$12+1,1))</f>
        <v>516.30971934066179</v>
      </c>
      <c r="CE113" s="62">
        <f t="shared" si="94"/>
        <v>290.84286505723571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-1.7053025658242404E-13</v>
      </c>
      <c r="CU113" s="18">
        <f>CT113*VLOOKUP('Données projet'!$B$13,Paramètres!$A$1:$I$89,3,0)*VLOOKUP('Données projet'!$B$13,Paramètres!$A$1:$I$89,5,0)</f>
        <v>-1.4897523215040567E-13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226.76930997889059</v>
      </c>
      <c r="CZ113" s="62">
        <f t="shared" si="96"/>
        <v>236.36066378969329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181</v>
      </c>
      <c r="DM113" s="13">
        <f>VLOOKUP(A113,'Données projet'!$A$165:$I$185,9,0)</f>
        <v>3</v>
      </c>
      <c r="DN113" s="13">
        <f t="array" ref="DN113">INDEX(DM:DM,MIN(IF(ISNUMBER(DM113:DM309),ROW(DM113:DM309),"")))</f>
        <v>3</v>
      </c>
      <c r="DO113" s="13">
        <f>IF('Données projet'!$A$166&gt;35,DO112+DN113-DW112,IF(A113&lt;'Données projet'!$A$166,$DL$205^A113,IF(A113='Données projet'!$A$166,'Données projet'!$B$166,DO112+DN113-DW112)))</f>
        <v>181.00000000000006</v>
      </c>
      <c r="DP113" s="18">
        <f>DO113*VLOOKUP('Données projet'!$B$14,Paramètres!$A$1:$I$89,3,0)*VLOOKUP('Données projet'!$B$14,Paramètres!$A$1:$I$89,5,0)</f>
        <v>194.82840000000004</v>
      </c>
      <c r="DQ113" s="14">
        <f t="shared" si="97"/>
        <v>48.605879434898533</v>
      </c>
      <c r="DR113" s="22">
        <f t="shared" si="70"/>
        <v>423.98137001578169</v>
      </c>
      <c r="DS113" s="62">
        <f t="shared" si="71"/>
        <v>703.94275897062755</v>
      </c>
      <c r="DT113" s="62">
        <f ca="1">AVERAGE(OFFSET($DS$3,0,0,'Données projet'!$E$14+1,1))-AVERAGE(OFFSET($H$3,0,0,'Données projet'!$E$14+1,1))</f>
        <v>315.12428188060306</v>
      </c>
      <c r="DU113" s="62">
        <f t="shared" si="98"/>
        <v>186.08400677811986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321.15384615384613</v>
      </c>
      <c r="EH113" s="13">
        <f>VLOOKUP(A113,'Données projet'!$A$191:$I$211,9,0)</f>
        <v>3.2051282051282044</v>
      </c>
      <c r="EI113" s="13">
        <f t="array" ref="EI113">INDEX(EH:EH,MIN(IF(ISNUMBER(EH113:EH309),ROW(EH113:EH309),"")))</f>
        <v>3.2051282051282044</v>
      </c>
      <c r="EJ113" s="13">
        <f>IF('Données projet'!$A$192&gt;35,EJ112+EI113-ER112,IF(A113&lt;'Données projet'!$A$192,$EG$205^A113,IF(A113='Données projet'!$A$192,'Données projet'!$B$192,EJ112+EI113-ER112)))</f>
        <v>321.15384615384573</v>
      </c>
      <c r="EK113" s="18">
        <f>EJ113*VLOOKUP('Données projet'!$B$15,Paramètres!$A$1:$I$89,3,0)*VLOOKUP('Données projet'!$B$15,Paramètres!$A$1:$I$89,5,0)</f>
        <v>335.66999999999956</v>
      </c>
      <c r="EL113" s="14">
        <f t="shared" si="99"/>
        <v>78.604674766974242</v>
      </c>
      <c r="EM113" s="22">
        <f t="shared" si="73"/>
        <v>721.52839188581265</v>
      </c>
      <c r="EN113" s="62">
        <f t="shared" si="74"/>
        <v>1001.4897808406586</v>
      </c>
      <c r="EO113" s="62">
        <f ca="1">AVERAGE(OFFSET($EN$3,0,0,'Données projet'!$E$15+1,1))-AVERAGE(OFFSET($H$3,0,0,'Données projet'!$E$15+1,1))</f>
        <v>530.77325763685963</v>
      </c>
      <c r="EP113" s="62">
        <f t="shared" si="100"/>
        <v>344.23100274990145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19.23076923076923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90.580021122303947</v>
      </c>
      <c r="T114" s="62">
        <f t="shared" si="88"/>
        <v>375.77399473907451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13.028379519284972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1.5060404455649127E-13</v>
      </c>
      <c r="AC114" s="24">
        <f t="shared" si="57"/>
        <v>13.028379519285123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87.3677313039193</v>
      </c>
      <c r="AO114" s="62">
        <f t="shared" si="90"/>
        <v>326.27342751542903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11.129745215817444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11.129745215817444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254.91239442958343</v>
      </c>
      <c r="BJ114" s="62">
        <f t="shared" si="92"/>
        <v>361.41009011468407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273.47579999999959</v>
      </c>
      <c r="CA114" s="14">
        <f t="shared" si="93"/>
        <v>65.586371730977532</v>
      </c>
      <c r="CB114" s="22">
        <f t="shared" si="64"/>
        <v>590.53328243145177</v>
      </c>
      <c r="CC114" s="62">
        <f t="shared" si="65"/>
        <v>870.72664472607539</v>
      </c>
      <c r="CD114" s="62">
        <f ca="1">AVERAGE(OFFSET($CC$3,0,0,'Données projet'!$E$12+1,1))-AVERAGE(OFFSET($H$3,0,0,'Données projet'!$E$12+1,1))</f>
        <v>516.30971934066179</v>
      </c>
      <c r="CE114" s="62">
        <f t="shared" si="94"/>
        <v>290.84286505723571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-1.7053025658242404E-13</v>
      </c>
      <c r="CU114" s="18">
        <f>CT114*VLOOKUP('Données projet'!$B$13,Paramètres!$A$1:$I$89,3,0)*VLOOKUP('Données projet'!$B$13,Paramètres!$A$1:$I$89,5,0)</f>
        <v>-1.4897523215040567E-13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226.76930997889059</v>
      </c>
      <c r="CZ114" s="62">
        <f t="shared" si="96"/>
        <v>236.36066378969329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</v>
      </c>
      <c r="DO114" s="13">
        <f>IF('Données projet'!$A$166&gt;35,DO113+DN114-DW113,IF(A114&lt;'Données projet'!$A$166,$DL$205^A114,IF(A114='Données projet'!$A$166,'Données projet'!$B$166,DO113+DN114-DW113)))</f>
        <v>184.00000000000006</v>
      </c>
      <c r="DP114" s="18">
        <f>DO114*VLOOKUP('Données projet'!$B$14,Paramètres!$A$1:$I$89,3,0)*VLOOKUP('Données projet'!$B$14,Paramètres!$A$1:$I$89,5,0)</f>
        <v>198.05760000000006</v>
      </c>
      <c r="DQ114" s="14">
        <f t="shared" si="97"/>
        <v>49.317044830035982</v>
      </c>
      <c r="DR114" s="22">
        <f t="shared" si="70"/>
        <v>430.8441730789794</v>
      </c>
      <c r="DS114" s="62">
        <f t="shared" si="71"/>
        <v>711.03753537360296</v>
      </c>
      <c r="DT114" s="62">
        <f ca="1">AVERAGE(OFFSET($DS$3,0,0,'Données projet'!$E$14+1,1))-AVERAGE(OFFSET($H$3,0,0,'Données projet'!$E$14+1,1))</f>
        <v>315.12428188060306</v>
      </c>
      <c r="DU114" s="62">
        <f t="shared" si="98"/>
        <v>186.08400677811986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2.8846153846153868</v>
      </c>
      <c r="EJ114" s="13">
        <f>IF('Données projet'!$A$192&gt;35,EJ113+EI114-ER113,IF(A114&lt;'Données projet'!$A$192,$EG$205^A114,IF(A114='Données projet'!$A$192,'Données projet'!$B$192,EJ113+EI114-ER113)))</f>
        <v>304.80769230769187</v>
      </c>
      <c r="EK114" s="18">
        <f>EJ114*VLOOKUP('Données projet'!$B$15,Paramètres!$A$1:$I$89,3,0)*VLOOKUP('Données projet'!$B$15,Paramètres!$A$1:$I$89,5,0)</f>
        <v>318.58499999999958</v>
      </c>
      <c r="EL114" s="14">
        <f t="shared" si="99"/>
        <v>75.058859499755215</v>
      </c>
      <c r="EM114" s="22">
        <f t="shared" si="73"/>
        <v>685.59638862873953</v>
      </c>
      <c r="EN114" s="62">
        <f t="shared" si="74"/>
        <v>965.78975092336304</v>
      </c>
      <c r="EO114" s="62">
        <f ca="1">AVERAGE(OFFSET($EN$3,0,0,'Données projet'!$E$15+1,1))-AVERAGE(OFFSET($H$3,0,0,'Données projet'!$E$15+1,1))</f>
        <v>530.77325763685963</v>
      </c>
      <c r="EP114" s="62">
        <f t="shared" si="100"/>
        <v>344.23100274990145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90.580021122303947</v>
      </c>
      <c r="T115" s="62">
        <f t="shared" si="88"/>
        <v>375.77399473907451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12.772900943438646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1.0649314118001593E-13</v>
      </c>
      <c r="AC115" s="24">
        <f t="shared" si="57"/>
        <v>12.772900943438753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87.3677313039193</v>
      </c>
      <c r="AO115" s="62">
        <f t="shared" si="90"/>
        <v>326.27342751542903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10.911497700609539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10.911497700609539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254.91239442958343</v>
      </c>
      <c r="BJ115" s="62">
        <f t="shared" si="92"/>
        <v>361.41009011468407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277.2275999999996</v>
      </c>
      <c r="CA115" s="14">
        <f t="shared" si="93"/>
        <v>66.380782187895392</v>
      </c>
      <c r="CB115" s="22">
        <f t="shared" si="64"/>
        <v>598.45126564391705</v>
      </c>
      <c r="CC115" s="62">
        <f t="shared" si="65"/>
        <v>878.87257705948787</v>
      </c>
      <c r="CD115" s="62">
        <f ca="1">AVERAGE(OFFSET($CC$3,0,0,'Données projet'!$E$12+1,1))-AVERAGE(OFFSET($H$3,0,0,'Données projet'!$E$12+1,1))</f>
        <v>516.30971934066179</v>
      </c>
      <c r="CE115" s="62">
        <f t="shared" si="94"/>
        <v>290.84286505723571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-1.7053025658242404E-13</v>
      </c>
      <c r="CU115" s="18">
        <f>CT115*VLOOKUP('Données projet'!$B$13,Paramètres!$A$1:$I$89,3,0)*VLOOKUP('Données projet'!$B$13,Paramètres!$A$1:$I$89,5,0)</f>
        <v>-1.4897523215040567E-13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226.76930997889059</v>
      </c>
      <c r="CZ115" s="62">
        <f t="shared" si="96"/>
        <v>236.36066378969329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</v>
      </c>
      <c r="DO115" s="13">
        <f>IF('Données projet'!$A$166&gt;35,DO114+DN115-DW114,IF(A115&lt;'Données projet'!$A$166,$DL$205^A115,IF(A115='Données projet'!$A$166,'Données projet'!$B$166,DO114+DN115-DW114)))</f>
        <v>187.00000000000006</v>
      </c>
      <c r="DP115" s="18">
        <f>DO115*VLOOKUP('Données projet'!$B$14,Paramètres!$A$1:$I$89,3,0)*VLOOKUP('Données projet'!$B$14,Paramètres!$A$1:$I$89,5,0)</f>
        <v>201.28680000000006</v>
      </c>
      <c r="DQ115" s="14">
        <f t="shared" si="97"/>
        <v>50.026861773677666</v>
      </c>
      <c r="DR115" s="22">
        <f t="shared" si="70"/>
        <v>437.70462758915534</v>
      </c>
      <c r="DS115" s="62">
        <f t="shared" si="71"/>
        <v>718.12593900472621</v>
      </c>
      <c r="DT115" s="62">
        <f ca="1">AVERAGE(OFFSET($DS$3,0,0,'Données projet'!$E$14+1,1))-AVERAGE(OFFSET($H$3,0,0,'Données projet'!$E$14+1,1))</f>
        <v>315.12428188060306</v>
      </c>
      <c r="DU115" s="62">
        <f t="shared" si="98"/>
        <v>186.08400677811986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2.8846153846153868</v>
      </c>
      <c r="EJ115" s="13">
        <f>IF('Données projet'!$A$192&gt;35,EJ114+EI115-ER114,IF(A115&lt;'Données projet'!$A$192,$EG$205^A115,IF(A115='Données projet'!$A$192,'Données projet'!$B$192,EJ114+EI115-ER114)))</f>
        <v>307.69230769230728</v>
      </c>
      <c r="EK115" s="18">
        <f>EJ115*VLOOKUP('Données projet'!$B$15,Paramètres!$A$1:$I$89,3,0)*VLOOKUP('Données projet'!$B$15,Paramètres!$A$1:$I$89,5,0)</f>
        <v>321.59999999999962</v>
      </c>
      <c r="EL115" s="14">
        <f t="shared" si="99"/>
        <v>75.686168081957248</v>
      </c>
      <c r="EM115" s="22">
        <f t="shared" si="73"/>
        <v>691.94007607607489</v>
      </c>
      <c r="EN115" s="62">
        <f t="shared" si="74"/>
        <v>972.3613874916457</v>
      </c>
      <c r="EO115" s="62">
        <f ca="1">AVERAGE(OFFSET($EN$3,0,0,'Données projet'!$E$15+1,1))-AVERAGE(OFFSET($H$3,0,0,'Données projet'!$E$15+1,1))</f>
        <v>530.77325763685963</v>
      </c>
      <c r="EP115" s="62">
        <f t="shared" si="100"/>
        <v>344.23100274990145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90.580021122303947</v>
      </c>
      <c r="T116" s="62">
        <f t="shared" si="88"/>
        <v>375.77399473907451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12.522432146638122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7.5302022278245637E-14</v>
      </c>
      <c r="AC116" s="24">
        <f t="shared" si="57"/>
        <v>12.522432146638197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87.3677313039193</v>
      </c>
      <c r="AO116" s="62">
        <f t="shared" si="90"/>
        <v>326.27342751542903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10.697529886057021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10.697529886057021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254.91239442958343</v>
      </c>
      <c r="BJ116" s="62">
        <f t="shared" si="92"/>
        <v>361.41009011468407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280.9793999999996</v>
      </c>
      <c r="CA116" s="14">
        <f t="shared" si="93"/>
        <v>67.173942175199358</v>
      </c>
      <c r="CB116" s="22">
        <f t="shared" si="64"/>
        <v>606.36707095513827</v>
      </c>
      <c r="CC116" s="62">
        <f t="shared" si="65"/>
        <v>887.01237708402596</v>
      </c>
      <c r="CD116" s="62">
        <f ca="1">AVERAGE(OFFSET($CC$3,0,0,'Données projet'!$E$12+1,1))-AVERAGE(OFFSET($H$3,0,0,'Données projet'!$E$12+1,1))</f>
        <v>516.30971934066179</v>
      </c>
      <c r="CE116" s="62">
        <f t="shared" si="94"/>
        <v>290.84286505723571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-1.7053025658242404E-13</v>
      </c>
      <c r="CU116" s="18">
        <f>CT116*VLOOKUP('Données projet'!$B$13,Paramètres!$A$1:$I$89,3,0)*VLOOKUP('Données projet'!$B$13,Paramètres!$A$1:$I$89,5,0)</f>
        <v>-1.4897523215040567E-13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226.76930997889059</v>
      </c>
      <c r="CZ116" s="62">
        <f t="shared" si="96"/>
        <v>236.36066378969329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</v>
      </c>
      <c r="DO116" s="13">
        <f>IF('Données projet'!$A$166&gt;35,DO115+DN116-DW115,IF(A116&lt;'Données projet'!$A$166,$DL$205^A116,IF(A116='Données projet'!$A$166,'Données projet'!$B$166,DO115+DN116-DW115)))</f>
        <v>190.00000000000006</v>
      </c>
      <c r="DP116" s="18">
        <f>DO116*VLOOKUP('Données projet'!$B$14,Paramètres!$A$1:$I$89,3,0)*VLOOKUP('Données projet'!$B$14,Paramètres!$A$1:$I$89,5,0)</f>
        <v>204.51600000000005</v>
      </c>
      <c r="DQ116" s="14">
        <f t="shared" si="97"/>
        <v>50.735354396355888</v>
      </c>
      <c r="DR116" s="22">
        <f t="shared" si="70"/>
        <v>444.5627755736532</v>
      </c>
      <c r="DS116" s="62">
        <f t="shared" si="71"/>
        <v>725.20808170254077</v>
      </c>
      <c r="DT116" s="62">
        <f ca="1">AVERAGE(OFFSET($DS$3,0,0,'Données projet'!$E$14+1,1))-AVERAGE(OFFSET($H$3,0,0,'Données projet'!$E$14+1,1))</f>
        <v>315.12428188060306</v>
      </c>
      <c r="DU116" s="62">
        <f t="shared" si="98"/>
        <v>186.08400677811986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2.8846153846153868</v>
      </c>
      <c r="EJ116" s="13">
        <f>IF('Données projet'!$A$192&gt;35,EJ115+EI116-ER115,IF(A116&lt;'Données projet'!$A$192,$EG$205^A116,IF(A116='Données projet'!$A$192,'Données projet'!$B$192,EJ115+EI116-ER115)))</f>
        <v>310.57692307692264</v>
      </c>
      <c r="EK116" s="18">
        <f>EJ116*VLOOKUP('Données projet'!$B$15,Paramètres!$A$1:$I$89,3,0)*VLOOKUP('Données projet'!$B$15,Paramètres!$A$1:$I$89,5,0)</f>
        <v>324.61499999999955</v>
      </c>
      <c r="EL116" s="14">
        <f t="shared" si="99"/>
        <v>76.312792476440805</v>
      </c>
      <c r="EM116" s="22">
        <f t="shared" si="73"/>
        <v>698.28257189646683</v>
      </c>
      <c r="EN116" s="62">
        <f t="shared" si="74"/>
        <v>978.9278780253544</v>
      </c>
      <c r="EO116" s="62">
        <f ca="1">AVERAGE(OFFSET($EN$3,0,0,'Données projet'!$E$15+1,1))-AVERAGE(OFFSET($H$3,0,0,'Données projet'!$E$15+1,1))</f>
        <v>530.77325763685963</v>
      </c>
      <c r="EP116" s="62">
        <f t="shared" si="100"/>
        <v>344.23100274990145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90.580021122303947</v>
      </c>
      <c r="T117" s="62">
        <f t="shared" si="88"/>
        <v>375.77399473907451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12.276874890171975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5.3246570590007965E-14</v>
      </c>
      <c r="AC117" s="24">
        <f t="shared" si="57"/>
        <v>12.276874890172028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87.3677313039193</v>
      </c>
      <c r="AO117" s="62">
        <f t="shared" si="90"/>
        <v>326.27342751542903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10.487757849840397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10.487757849840397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254.91239442958343</v>
      </c>
      <c r="BJ117" s="62">
        <f t="shared" si="92"/>
        <v>361.41009011468407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284.7311999999996</v>
      </c>
      <c r="CA117" s="14">
        <f t="shared" si="93"/>
        <v>67.965870320050882</v>
      </c>
      <c r="CB117" s="22">
        <f t="shared" si="64"/>
        <v>614.28073080742126</v>
      </c>
      <c r="CC117" s="62">
        <f t="shared" si="65"/>
        <v>895.14614584212677</v>
      </c>
      <c r="CD117" s="62">
        <f ca="1">AVERAGE(OFFSET($CC$3,0,0,'Données projet'!$E$12+1,1))-AVERAGE(OFFSET($H$3,0,0,'Données projet'!$E$12+1,1))</f>
        <v>516.30971934066179</v>
      </c>
      <c r="CE117" s="62">
        <f t="shared" si="94"/>
        <v>290.84286505723571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-1.7053025658242404E-13</v>
      </c>
      <c r="CU117" s="18">
        <f>CT117*VLOOKUP('Données projet'!$B$13,Paramètres!$A$1:$I$89,3,0)*VLOOKUP('Données projet'!$B$13,Paramètres!$A$1:$I$89,5,0)</f>
        <v>-1.4897523215040567E-13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226.76930997889059</v>
      </c>
      <c r="CZ117" s="62">
        <f t="shared" si="96"/>
        <v>236.36066378969329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</v>
      </c>
      <c r="DO117" s="13">
        <f>IF('Données projet'!$A$166&gt;35,DO116+DN117-DW116,IF(A117&lt;'Données projet'!$A$166,$DL$205^A117,IF(A117='Données projet'!$A$166,'Données projet'!$B$166,DO116+DN117-DW116)))</f>
        <v>193.00000000000006</v>
      </c>
      <c r="DP117" s="18">
        <f>DO117*VLOOKUP('Données projet'!$B$14,Paramètres!$A$1:$I$89,3,0)*VLOOKUP('Données projet'!$B$14,Paramètres!$A$1:$I$89,5,0)</f>
        <v>207.74520000000004</v>
      </c>
      <c r="DQ117" s="14">
        <f t="shared" si="97"/>
        <v>51.442546022877416</v>
      </c>
      <c r="DR117" s="22">
        <f t="shared" si="70"/>
        <v>451.41865765651147</v>
      </c>
      <c r="DS117" s="62">
        <f t="shared" si="71"/>
        <v>732.28407269121692</v>
      </c>
      <c r="DT117" s="62">
        <f ca="1">AVERAGE(OFFSET($DS$3,0,0,'Données projet'!$E$14+1,1))-AVERAGE(OFFSET($H$3,0,0,'Données projet'!$E$14+1,1))</f>
        <v>315.12428188060306</v>
      </c>
      <c r="DU117" s="62">
        <f t="shared" si="98"/>
        <v>186.08400677811986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2.8846153846153868</v>
      </c>
      <c r="EJ117" s="13">
        <f>IF('Données projet'!$A$192&gt;35,EJ116+EI117-ER116,IF(A117&lt;'Données projet'!$A$192,$EG$205^A117,IF(A117='Données projet'!$A$192,'Données projet'!$B$192,EJ116+EI117-ER116)))</f>
        <v>313.461538461538</v>
      </c>
      <c r="EK117" s="18">
        <f>EJ117*VLOOKUP('Données projet'!$B$15,Paramètres!$A$1:$I$89,3,0)*VLOOKUP('Données projet'!$B$15,Paramètres!$A$1:$I$89,5,0)</f>
        <v>327.62999999999954</v>
      </c>
      <c r="EL117" s="14">
        <f t="shared" si="99"/>
        <v>76.938739773947404</v>
      </c>
      <c r="EM117" s="22">
        <f t="shared" si="73"/>
        <v>704.62388843962435</v>
      </c>
      <c r="EN117" s="62">
        <f t="shared" si="74"/>
        <v>985.48930347432974</v>
      </c>
      <c r="EO117" s="62">
        <f ca="1">AVERAGE(OFFSET($EN$3,0,0,'Données projet'!$E$15+1,1))-AVERAGE(OFFSET($H$3,0,0,'Données projet'!$E$15+1,1))</f>
        <v>530.77325763685963</v>
      </c>
      <c r="EP117" s="62">
        <f t="shared" si="100"/>
        <v>344.23100274990145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90.580021122303947</v>
      </c>
      <c r="T118" s="62">
        <f t="shared" si="88"/>
        <v>375.77399473907451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12.036132861729991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3.7651011139122818E-14</v>
      </c>
      <c r="AC118" s="24">
        <f t="shared" si="57"/>
        <v>12.036132861730028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87.3677313039193</v>
      </c>
      <c r="AO118" s="62">
        <f t="shared" si="90"/>
        <v>326.27342751542903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10.282099315305674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10.282099315305674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254.91239442958343</v>
      </c>
      <c r="BJ118" s="62">
        <f t="shared" si="92"/>
        <v>361.41009011468407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288.48299999999955</v>
      </c>
      <c r="CA118" s="14">
        <f t="shared" si="93"/>
        <v>68.756584730508635</v>
      </c>
      <c r="CB118" s="22">
        <f t="shared" si="64"/>
        <v>622.19227673896842</v>
      </c>
      <c r="CC118" s="62">
        <f t="shared" si="65"/>
        <v>903.27398228206562</v>
      </c>
      <c r="CD118" s="62">
        <f ca="1">AVERAGE(OFFSET($CC$3,0,0,'Données projet'!$E$12+1,1))-AVERAGE(OFFSET($H$3,0,0,'Données projet'!$E$12+1,1))</f>
        <v>516.30971934066179</v>
      </c>
      <c r="CE118" s="62">
        <f t="shared" si="94"/>
        <v>290.84286505723571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-1.7053025658242404E-13</v>
      </c>
      <c r="CU118" s="18">
        <f>CT118*VLOOKUP('Données projet'!$B$13,Paramètres!$A$1:$I$89,3,0)*VLOOKUP('Données projet'!$B$13,Paramètres!$A$1:$I$89,5,0)</f>
        <v>-1.4897523215040567E-13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226.76930997889059</v>
      </c>
      <c r="CZ118" s="62">
        <f t="shared" si="96"/>
        <v>236.36066378969329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</v>
      </c>
      <c r="DO118" s="13">
        <f>IF('Données projet'!$A$166&gt;35,DO117+DN118-DW117,IF(A118&lt;'Données projet'!$A$166,$DL$205^A118,IF(A118='Données projet'!$A$166,'Données projet'!$B$166,DO117+DN118-DW117)))</f>
        <v>196.00000000000006</v>
      </c>
      <c r="DP118" s="18">
        <f>DO118*VLOOKUP('Données projet'!$B$14,Paramètres!$A$1:$I$89,3,0)*VLOOKUP('Données projet'!$B$14,Paramètres!$A$1:$I$89,5,0)</f>
        <v>210.97440000000006</v>
      </c>
      <c r="DQ118" s="14">
        <f t="shared" si="97"/>
        <v>52.148459211324706</v>
      </c>
      <c r="DR118" s="22">
        <f t="shared" si="70"/>
        <v>458.27231312639066</v>
      </c>
      <c r="DS118" s="62">
        <f t="shared" si="71"/>
        <v>739.35401866948791</v>
      </c>
      <c r="DT118" s="62">
        <f ca="1">AVERAGE(OFFSET($DS$3,0,0,'Données projet'!$E$14+1,1))-AVERAGE(OFFSET($H$3,0,0,'Données projet'!$E$14+1,1))</f>
        <v>315.12428188060306</v>
      </c>
      <c r="DU118" s="62">
        <f t="shared" si="98"/>
        <v>186.08400677811986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2.8846153846153868</v>
      </c>
      <c r="EJ118" s="13">
        <f>IF('Données projet'!$A$192&gt;35,EJ117+EI118-ER117,IF(A118&lt;'Données projet'!$A$192,$EG$205^A118,IF(A118='Données projet'!$A$192,'Données projet'!$B$192,EJ117+EI118-ER117)))</f>
        <v>316.34615384615336</v>
      </c>
      <c r="EK118" s="18">
        <f>EJ118*VLOOKUP('Données projet'!$B$15,Paramètres!$A$1:$I$89,3,0)*VLOOKUP('Données projet'!$B$15,Paramètres!$A$1:$I$89,5,0)</f>
        <v>330.64499999999953</v>
      </c>
      <c r="EL118" s="14">
        <f t="shared" si="99"/>
        <v>77.564016927186358</v>
      </c>
      <c r="EM118" s="22">
        <f t="shared" si="73"/>
        <v>710.96403781484867</v>
      </c>
      <c r="EN118" s="62">
        <f t="shared" si="74"/>
        <v>992.04574335794587</v>
      </c>
      <c r="EO118" s="62">
        <f ca="1">AVERAGE(OFFSET($EN$3,0,0,'Données projet'!$E$15+1,1))-AVERAGE(OFFSET($H$3,0,0,'Données projet'!$E$15+1,1))</f>
        <v>530.77325763685963</v>
      </c>
      <c r="EP118" s="62">
        <f t="shared" si="100"/>
        <v>344.23100274990145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90.580021122303947</v>
      </c>
      <c r="T119" s="62">
        <f t="shared" si="88"/>
        <v>375.77399473907451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11.800111637627616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2.6623285295003983E-14</v>
      </c>
      <c r="AC119" s="24">
        <f t="shared" si="57"/>
        <v>11.800111637627642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87.3677313039193</v>
      </c>
      <c r="AO119" s="62">
        <f t="shared" si="90"/>
        <v>326.27342751542903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10.080473619193857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10.080473619193857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254.91239442958343</v>
      </c>
      <c r="BJ119" s="62">
        <f t="shared" si="92"/>
        <v>361.41009011468407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292.23479999999955</v>
      </c>
      <c r="CA119" s="14">
        <f t="shared" si="93"/>
        <v>69.546103016553644</v>
      </c>
      <c r="CB119" s="22">
        <f t="shared" si="64"/>
        <v>630.10173942049676</v>
      </c>
      <c r="CC119" s="62">
        <f t="shared" si="65"/>
        <v>911.39598331521825</v>
      </c>
      <c r="CD119" s="62">
        <f ca="1">AVERAGE(OFFSET($CC$3,0,0,'Données projet'!$E$12+1,1))-AVERAGE(OFFSET($H$3,0,0,'Données projet'!$E$12+1,1))</f>
        <v>516.30971934066179</v>
      </c>
      <c r="CE119" s="62">
        <f t="shared" si="94"/>
        <v>290.84286505723571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-1.7053025658242404E-13</v>
      </c>
      <c r="CU119" s="18">
        <f>CT119*VLOOKUP('Données projet'!$B$13,Paramètres!$A$1:$I$89,3,0)*VLOOKUP('Données projet'!$B$13,Paramètres!$A$1:$I$89,5,0)</f>
        <v>-1.4897523215040567E-13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226.76930997889059</v>
      </c>
      <c r="CZ119" s="62">
        <f t="shared" si="96"/>
        <v>236.36066378969329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</v>
      </c>
      <c r="DO119" s="13">
        <f>IF('Données projet'!$A$166&gt;35,DO118+DN119-DW118,IF(A119&lt;'Données projet'!$A$166,$DL$205^A119,IF(A119='Données projet'!$A$166,'Données projet'!$B$166,DO118+DN119-DW118)))</f>
        <v>199.00000000000006</v>
      </c>
      <c r="DP119" s="18">
        <f>DO119*VLOOKUP('Données projet'!$B$14,Paramètres!$A$1:$I$89,3,0)*VLOOKUP('Données projet'!$B$14,Paramètres!$A$1:$I$89,5,0)</f>
        <v>214.20360000000005</v>
      </c>
      <c r="DQ119" s="14">
        <f t="shared" si="97"/>
        <v>52.853115789602029</v>
      </c>
      <c r="DR119" s="22">
        <f t="shared" si="70"/>
        <v>465.12378000022363</v>
      </c>
      <c r="DS119" s="62">
        <f t="shared" si="71"/>
        <v>746.41802389494512</v>
      </c>
      <c r="DT119" s="62">
        <f ca="1">AVERAGE(OFFSET($DS$3,0,0,'Données projet'!$E$14+1,1))-AVERAGE(OFFSET($H$3,0,0,'Données projet'!$E$14+1,1))</f>
        <v>315.12428188060306</v>
      </c>
      <c r="DU119" s="62">
        <f t="shared" si="98"/>
        <v>186.08400677811986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2.8846153846153868</v>
      </c>
      <c r="EJ119" s="13">
        <f>IF('Données projet'!$A$192&gt;35,EJ118+EI119-ER118,IF(A119&lt;'Données projet'!$A$192,$EG$205^A119,IF(A119='Données projet'!$A$192,'Données projet'!$B$192,EJ118+EI119-ER118)))</f>
        <v>319.23076923076871</v>
      </c>
      <c r="EK119" s="18">
        <f>EJ119*VLOOKUP('Données projet'!$B$15,Paramètres!$A$1:$I$89,3,0)*VLOOKUP('Données projet'!$B$15,Paramètres!$A$1:$I$89,5,0)</f>
        <v>333.65999999999946</v>
      </c>
      <c r="EL119" s="14">
        <f t="shared" si="99"/>
        <v>78.188630754756275</v>
      </c>
      <c r="EM119" s="22">
        <f t="shared" si="73"/>
        <v>717.30303189786616</v>
      </c>
      <c r="EN119" s="62">
        <f t="shared" si="74"/>
        <v>998.59727579258765</v>
      </c>
      <c r="EO119" s="62">
        <f ca="1">AVERAGE(OFFSET($EN$3,0,0,'Données projet'!$E$15+1,1))-AVERAGE(OFFSET($H$3,0,0,'Données projet'!$E$15+1,1))</f>
        <v>530.77325763685963</v>
      </c>
      <c r="EP119" s="62">
        <f t="shared" si="100"/>
        <v>344.23100274990145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90.580021122303947</v>
      </c>
      <c r="T120" s="62">
        <f t="shared" si="88"/>
        <v>375.77399473907451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11.568718645771158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1.8825505569561409E-14</v>
      </c>
      <c r="AC120" s="24">
        <f t="shared" si="57"/>
        <v>11.568718645771177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87.3677313039193</v>
      </c>
      <c r="AO120" s="62">
        <f t="shared" si="90"/>
        <v>326.27342751542903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9.8828016800032614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9.8828016800032614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254.91239442958343</v>
      </c>
      <c r="BJ120" s="62">
        <f t="shared" si="92"/>
        <v>361.41009011468407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295.98659999999956</v>
      </c>
      <c r="CA120" s="14">
        <f t="shared" si="93"/>
        <v>70.334442310004661</v>
      </c>
      <c r="CB120" s="22">
        <f t="shared" si="64"/>
        <v>638.00914868992402</v>
      </c>
      <c r="CC120" s="62">
        <f t="shared" si="65"/>
        <v>919.51224387103366</v>
      </c>
      <c r="CD120" s="62">
        <f ca="1">AVERAGE(OFFSET($CC$3,0,0,'Données projet'!$E$12+1,1))-AVERAGE(OFFSET($H$3,0,0,'Données projet'!$E$12+1,1))</f>
        <v>516.30971934066179</v>
      </c>
      <c r="CE120" s="62">
        <f t="shared" si="94"/>
        <v>290.84286505723571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-1.7053025658242404E-13</v>
      </c>
      <c r="CU120" s="18">
        <f>CT120*VLOOKUP('Données projet'!$B$13,Paramètres!$A$1:$I$89,3,0)*VLOOKUP('Données projet'!$B$13,Paramètres!$A$1:$I$89,5,0)</f>
        <v>-1.4897523215040567E-13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226.76930997889059</v>
      </c>
      <c r="CZ120" s="62">
        <f t="shared" si="96"/>
        <v>236.36066378969329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</v>
      </c>
      <c r="DO120" s="13">
        <f>IF('Données projet'!$A$166&gt;35,DO119+DN120-DW119,IF(A120&lt;'Données projet'!$A$166,$DL$205^A120,IF(A120='Données projet'!$A$166,'Données projet'!$B$166,DO119+DN120-DW119)))</f>
        <v>202.00000000000006</v>
      </c>
      <c r="DP120" s="18">
        <f>DO120*VLOOKUP('Données projet'!$B$14,Paramètres!$A$1:$I$89,3,0)*VLOOKUP('Données projet'!$B$14,Paramètres!$A$1:$I$89,5,0)</f>
        <v>217.43280000000004</v>
      </c>
      <c r="DQ120" s="14">
        <f t="shared" si="97"/>
        <v>53.556536889714792</v>
      </c>
      <c r="DR120" s="22">
        <f t="shared" si="70"/>
        <v>471.97309508291988</v>
      </c>
      <c r="DS120" s="62">
        <f t="shared" si="71"/>
        <v>753.47619026402958</v>
      </c>
      <c r="DT120" s="62">
        <f ca="1">AVERAGE(OFFSET($DS$3,0,0,'Données projet'!$E$14+1,1))-AVERAGE(OFFSET($H$3,0,0,'Données projet'!$E$14+1,1))</f>
        <v>315.12428188060306</v>
      </c>
      <c r="DU120" s="62">
        <f t="shared" si="98"/>
        <v>186.08400677811986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2.8846153846153868</v>
      </c>
      <c r="EJ120" s="13">
        <f>IF('Données projet'!$A$192&gt;35,EJ119+EI120-ER119,IF(A120&lt;'Données projet'!$A$192,$EG$205^A120,IF(A120='Données projet'!$A$192,'Données projet'!$B$192,EJ119+EI120-ER119)))</f>
        <v>322.11538461538407</v>
      </c>
      <c r="EK120" s="18">
        <f>EJ120*VLOOKUP('Données projet'!$B$15,Paramètres!$A$1:$I$89,3,0)*VLOOKUP('Données projet'!$B$15,Paramètres!$A$1:$I$89,5,0)</f>
        <v>336.67499999999944</v>
      </c>
      <c r="EL120" s="14">
        <f t="shared" si="99"/>
        <v>78.8125879449194</v>
      </c>
      <c r="EM120" s="22">
        <f t="shared" si="73"/>
        <v>723.64088233740028</v>
      </c>
      <c r="EN120" s="62">
        <f t="shared" si="74"/>
        <v>1005.1439775185099</v>
      </c>
      <c r="EO120" s="62">
        <f ca="1">AVERAGE(OFFSET($EN$3,0,0,'Données projet'!$E$15+1,1))-AVERAGE(OFFSET($H$3,0,0,'Données projet'!$E$15+1,1))</f>
        <v>530.77325763685963</v>
      </c>
      <c r="EP120" s="62">
        <f t="shared" si="100"/>
        <v>344.23100274990145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90.580021122303947</v>
      </c>
      <c r="T121" s="62">
        <f t="shared" si="88"/>
        <v>375.77399473907451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11.341863129349216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1.3311642647501991E-14</v>
      </c>
      <c r="AC121" s="24">
        <f t="shared" si="57"/>
        <v>11.341863129349228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87.3677313039193</v>
      </c>
      <c r="AO121" s="62">
        <f t="shared" si="90"/>
        <v>326.27342751542903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9.6890059669722159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9.6890059669722159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254.91239442958343</v>
      </c>
      <c r="BJ121" s="62">
        <f t="shared" si="92"/>
        <v>361.41009011468407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299.73839999999956</v>
      </c>
      <c r="CA121" s="14">
        <f t="shared" si="93"/>
        <v>71.121619283394352</v>
      </c>
      <c r="CB121" s="22">
        <f t="shared" si="64"/>
        <v>645.91453358524438</v>
      </c>
      <c r="CC121" s="62">
        <f t="shared" si="65"/>
        <v>927.62285694984485</v>
      </c>
      <c r="CD121" s="62">
        <f ca="1">AVERAGE(OFFSET($CC$3,0,0,'Données projet'!$E$12+1,1))-AVERAGE(OFFSET($H$3,0,0,'Données projet'!$E$12+1,1))</f>
        <v>516.30971934066179</v>
      </c>
      <c r="CE121" s="62">
        <f t="shared" si="94"/>
        <v>290.84286505723571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-1.7053025658242404E-13</v>
      </c>
      <c r="CU121" s="18">
        <f>CT121*VLOOKUP('Données projet'!$B$13,Paramètres!$A$1:$I$89,3,0)*VLOOKUP('Données projet'!$B$13,Paramètres!$A$1:$I$89,5,0)</f>
        <v>-1.4897523215040567E-13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226.76930997889059</v>
      </c>
      <c r="CZ121" s="62">
        <f t="shared" si="96"/>
        <v>236.36066378969329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</v>
      </c>
      <c r="DO121" s="13">
        <f>IF('Données projet'!$A$166&gt;35,DO120+DN121-DW120,IF(A121&lt;'Données projet'!$A$166,$DL$205^A121,IF(A121='Données projet'!$A$166,'Données projet'!$B$166,DO120+DN121-DW120)))</f>
        <v>205.00000000000006</v>
      </c>
      <c r="DP121" s="18">
        <f>DO121*VLOOKUP('Données projet'!$B$14,Paramètres!$A$1:$I$89,3,0)*VLOOKUP('Données projet'!$B$14,Paramètres!$A$1:$I$89,5,0)</f>
        <v>220.66200000000003</v>
      </c>
      <c r="DQ121" s="14">
        <f t="shared" si="97"/>
        <v>54.258742979954953</v>
      </c>
      <c r="DR121" s="22">
        <f t="shared" si="70"/>
        <v>478.82029402342158</v>
      </c>
      <c r="DS121" s="62">
        <f t="shared" si="71"/>
        <v>760.52861738802198</v>
      </c>
      <c r="DT121" s="62">
        <f ca="1">AVERAGE(OFFSET($DS$3,0,0,'Données projet'!$E$14+1,1))-AVERAGE(OFFSET($H$3,0,0,'Données projet'!$E$14+1,1))</f>
        <v>315.12428188060306</v>
      </c>
      <c r="DU121" s="62">
        <f t="shared" si="98"/>
        <v>186.08400677811986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2.8846153846153868</v>
      </c>
      <c r="EJ121" s="13">
        <f>IF('Données projet'!$A$192&gt;35,EJ120+EI121-ER120,IF(A121&lt;'Données projet'!$A$192,$EG$205^A121,IF(A121='Données projet'!$A$192,'Données projet'!$B$192,EJ120+EI121-ER120)))</f>
        <v>324.99999999999943</v>
      </c>
      <c r="EK121" s="18">
        <f>EJ121*VLOOKUP('Données projet'!$B$15,Paramètres!$A$1:$I$89,3,0)*VLOOKUP('Données projet'!$B$15,Paramètres!$A$1:$I$89,5,0)</f>
        <v>339.68999999999943</v>
      </c>
      <c r="EL121" s="14">
        <f t="shared" si="99"/>
        <v>79.435895059237467</v>
      </c>
      <c r="EM121" s="22">
        <f t="shared" si="73"/>
        <v>729.97760056150412</v>
      </c>
      <c r="EN121" s="62">
        <f t="shared" si="74"/>
        <v>1011.6859239261046</v>
      </c>
      <c r="EO121" s="62">
        <f ca="1">AVERAGE(OFFSET($EN$3,0,0,'Données projet'!$E$15+1,1))-AVERAGE(OFFSET($H$3,0,0,'Données projet'!$E$15+1,1))</f>
        <v>530.77325763685963</v>
      </c>
      <c r="EP121" s="62">
        <f t="shared" si="100"/>
        <v>344.23100274990145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90.580021122303947</v>
      </c>
      <c r="T122" s="62">
        <f t="shared" si="88"/>
        <v>375.77399473907451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11.119456111236106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9.4127527847807046E-15</v>
      </c>
      <c r="AC122" s="24">
        <f t="shared" si="57"/>
        <v>11.119456111236115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87.3677313039193</v>
      </c>
      <c r="AO122" s="62">
        <f t="shared" si="90"/>
        <v>326.27342751542903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9.4990104696699955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9.4990104696699955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254.91239442958343</v>
      </c>
      <c r="BJ122" s="62">
        <f t="shared" si="92"/>
        <v>361.41009011468407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303.4901999999995</v>
      </c>
      <c r="CA122" s="14">
        <f t="shared" si="93"/>
        <v>71.907650167874138</v>
      </c>
      <c r="CB122" s="22">
        <f t="shared" si="64"/>
        <v>653.81792237571324</v>
      </c>
      <c r="CC122" s="62">
        <f t="shared" si="65"/>
        <v>935.72791367364243</v>
      </c>
      <c r="CD122" s="62">
        <f ca="1">AVERAGE(OFFSET($CC$3,0,0,'Données projet'!$E$12+1,1))-AVERAGE(OFFSET($H$3,0,0,'Données projet'!$E$12+1,1))</f>
        <v>516.30971934066179</v>
      </c>
      <c r="CE122" s="62">
        <f t="shared" si="94"/>
        <v>290.84286505723571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-1.7053025658242404E-13</v>
      </c>
      <c r="CU122" s="18">
        <f>CT122*VLOOKUP('Données projet'!$B$13,Paramètres!$A$1:$I$89,3,0)*VLOOKUP('Données projet'!$B$13,Paramètres!$A$1:$I$89,5,0)</f>
        <v>-1.4897523215040567E-13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226.76930997889059</v>
      </c>
      <c r="CZ122" s="62">
        <f t="shared" si="96"/>
        <v>236.36066378969329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</v>
      </c>
      <c r="DO122" s="13">
        <f>IF('Données projet'!$A$166&gt;35,DO121+DN122-DW121,IF(A122&lt;'Données projet'!$A$166,$DL$205^A122,IF(A122='Données projet'!$A$166,'Données projet'!$B$166,DO121+DN122-DW121)))</f>
        <v>208.00000000000006</v>
      </c>
      <c r="DP122" s="18">
        <f>DO122*VLOOKUP('Données projet'!$B$14,Paramètres!$A$1:$I$89,3,0)*VLOOKUP('Données projet'!$B$14,Paramètres!$A$1:$I$89,5,0)</f>
        <v>223.89120000000005</v>
      </c>
      <c r="DQ122" s="14">
        <f t="shared" si="97"/>
        <v>54.95975389514863</v>
      </c>
      <c r="DR122" s="22">
        <f t="shared" si="70"/>
        <v>485.66541136738397</v>
      </c>
      <c r="DS122" s="62">
        <f t="shared" si="71"/>
        <v>767.57540266531305</v>
      </c>
      <c r="DT122" s="62">
        <f ca="1">AVERAGE(OFFSET($DS$3,0,0,'Données projet'!$E$14+1,1))-AVERAGE(OFFSET($H$3,0,0,'Données projet'!$E$14+1,1))</f>
        <v>315.12428188060306</v>
      </c>
      <c r="DU122" s="62">
        <f t="shared" si="98"/>
        <v>186.08400677811986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2.8846153846153868</v>
      </c>
      <c r="EJ122" s="13">
        <f>IF('Données projet'!$A$192&gt;35,EJ121+EI122-ER121,IF(A122&lt;'Données projet'!$A$192,$EG$205^A122,IF(A122='Données projet'!$A$192,'Données projet'!$B$192,EJ121+EI122-ER121)))</f>
        <v>327.88461538461479</v>
      </c>
      <c r="EK122" s="18">
        <f>EJ122*VLOOKUP('Données projet'!$B$15,Paramètres!$A$1:$I$89,3,0)*VLOOKUP('Données projet'!$B$15,Paramètres!$A$1:$I$89,5,0)</f>
        <v>342.70499999999942</v>
      </c>
      <c r="EL122" s="14">
        <f t="shared" si="99"/>
        <v>80.058558536074614</v>
      </c>
      <c r="EM122" s="22">
        <f t="shared" si="73"/>
        <v>736.31319778366208</v>
      </c>
      <c r="EN122" s="62">
        <f t="shared" si="74"/>
        <v>1018.2231890815913</v>
      </c>
      <c r="EO122" s="62">
        <f ca="1">AVERAGE(OFFSET($EN$3,0,0,'Données projet'!$E$15+1,1))-AVERAGE(OFFSET($H$3,0,0,'Données projet'!$E$15+1,1))</f>
        <v>530.77325763685963</v>
      </c>
      <c r="EP122" s="62">
        <f t="shared" si="100"/>
        <v>344.23100274990145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90.580021122303947</v>
      </c>
      <c r="T123" s="62">
        <f t="shared" si="88"/>
        <v>375.77399473907451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10.901410359093308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6.6558213237509956E-15</v>
      </c>
      <c r="AC123" s="24">
        <f t="shared" si="57"/>
        <v>10.901410359093315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87.3677313039193</v>
      </c>
      <c r="AO123" s="62">
        <f t="shared" si="90"/>
        <v>326.27342751542903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9.3127406681840608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9.3127406681840608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254.91239442958343</v>
      </c>
      <c r="BJ123" s="62">
        <f t="shared" si="92"/>
        <v>361.41009011468407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307.24199999999951</v>
      </c>
      <c r="CA123" s="14">
        <f t="shared" si="93"/>
        <v>72.692550770207717</v>
      </c>
      <c r="CB123" s="22">
        <f t="shared" si="64"/>
        <v>661.71934259144427</v>
      </c>
      <c r="CC123" s="62">
        <f t="shared" si="65"/>
        <v>943.82750333492095</v>
      </c>
      <c r="CD123" s="62">
        <f ca="1">AVERAGE(OFFSET($CC$3,0,0,'Données projet'!$E$12+1,1))-AVERAGE(OFFSET($H$3,0,0,'Données projet'!$E$12+1,1))</f>
        <v>516.30971934066179</v>
      </c>
      <c r="CE123" s="62">
        <f t="shared" si="94"/>
        <v>290.84286505723571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-1.7053025658242404E-13</v>
      </c>
      <c r="CU123" s="18">
        <f>CT123*VLOOKUP('Données projet'!$B$13,Paramètres!$A$1:$I$89,3,0)*VLOOKUP('Données projet'!$B$13,Paramètres!$A$1:$I$89,5,0)</f>
        <v>-1.4897523215040567E-13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226.76930997889059</v>
      </c>
      <c r="CZ123" s="62">
        <f t="shared" si="96"/>
        <v>236.36066378969329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211</v>
      </c>
      <c r="DM123" s="13">
        <f>VLOOKUP(A123,'Données projet'!$A$165:$I$185,9,0)</f>
        <v>3</v>
      </c>
      <c r="DN123" s="13">
        <f t="array" ref="DN123">INDEX(DM:DM,MIN(IF(ISNUMBER(DM123:DM319),ROW(DM123:DM319),"")))</f>
        <v>3</v>
      </c>
      <c r="DO123" s="13">
        <f>IF('Données projet'!$A$166&gt;35,DO122+DN123-DW122,IF(A123&lt;'Données projet'!$A$166,$DL$205^A123,IF(A123='Données projet'!$A$166,'Données projet'!$B$166,DO122+DN123-DW122)))</f>
        <v>211.00000000000006</v>
      </c>
      <c r="DP123" s="18">
        <f>DO123*VLOOKUP('Données projet'!$B$14,Paramètres!$A$1:$I$89,3,0)*VLOOKUP('Données projet'!$B$14,Paramètres!$A$1:$I$89,5,0)</f>
        <v>227.12040000000005</v>
      </c>
      <c r="DQ123" s="14">
        <f t="shared" si="97"/>
        <v>55.6595888651092</v>
      </c>
      <c r="DR123" s="22">
        <f t="shared" si="70"/>
        <v>492.50848060673189</v>
      </c>
      <c r="DS123" s="62">
        <f t="shared" si="71"/>
        <v>774.61664135020851</v>
      </c>
      <c r="DT123" s="62">
        <f ca="1">AVERAGE(OFFSET($DS$3,0,0,'Données projet'!$E$14+1,1))-AVERAGE(OFFSET($H$3,0,0,'Données projet'!$E$14+1,1))</f>
        <v>315.12428188060306</v>
      </c>
      <c r="DU123" s="62">
        <f t="shared" si="98"/>
        <v>186.08400677811986</v>
      </c>
      <c r="DV123" s="16">
        <f>IF(ISNA(VLOOKUP(A123,'Données projet'!$A$165:$I$185,3,0)),0,VLOOKUP(A123,'Données projet'!$A$165:$I$185,3,0))</f>
        <v>9</v>
      </c>
      <c r="DW123" s="16">
        <f>IF(ISNA(VLOOKUP(A123,'Données projet'!$A$165:$I$185,4,0)),0,VLOOKUP(A123,'Données projet'!$A$165:$I$185,4,0))</f>
        <v>211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330.76923076923077</v>
      </c>
      <c r="EH123" s="13">
        <f>VLOOKUP(A123,'Données projet'!$A$191:$I$211,9,0)</f>
        <v>2.8846153846153868</v>
      </c>
      <c r="EI123" s="13">
        <f t="array" ref="EI123">INDEX(EH:EH,MIN(IF(ISNUMBER(EH123:EH319),ROW(EH123:EH319),"")))</f>
        <v>2.8846153846153868</v>
      </c>
      <c r="EJ123" s="13">
        <f>IF('Données projet'!$A$192&gt;35,EJ122+EI123-ER122,IF(A123&lt;'Données projet'!$A$192,$EG$205^A123,IF(A123='Données projet'!$A$192,'Données projet'!$B$192,EJ122+EI123-ER122)))</f>
        <v>330.76923076923015</v>
      </c>
      <c r="EK123" s="18">
        <f>EJ123*VLOOKUP('Données projet'!$B$15,Paramètres!$A$1:$I$89,3,0)*VLOOKUP('Données projet'!$B$15,Paramètres!$A$1:$I$89,5,0)</f>
        <v>345.7199999999994</v>
      </c>
      <c r="EL123" s="14">
        <f t="shared" si="99"/>
        <v>80.6805846939736</v>
      </c>
      <c r="EM123" s="22">
        <f t="shared" si="73"/>
        <v>742.64768500866955</v>
      </c>
      <c r="EN123" s="62">
        <f t="shared" si="74"/>
        <v>1024.7558457521461</v>
      </c>
      <c r="EO123" s="62">
        <f ca="1">AVERAGE(OFFSET($EN$3,0,0,'Données projet'!$E$15+1,1))-AVERAGE(OFFSET($H$3,0,0,'Données projet'!$E$15+1,1))</f>
        <v>530.77325763685963</v>
      </c>
      <c r="EP123" s="62">
        <f t="shared" si="100"/>
        <v>344.23100274990145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17.948717948717949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90.580021122303947</v>
      </c>
      <c r="T124" s="62">
        <f t="shared" si="88"/>
        <v>375.77399473907451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10.687640351155252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4.7063763923903523E-15</v>
      </c>
      <c r="AC124" s="24">
        <f t="shared" si="57"/>
        <v>10.687640351155258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87.3677313039193</v>
      </c>
      <c r="AO124" s="62">
        <f t="shared" si="90"/>
        <v>326.27342751542903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9.1301235038919053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9.1301235038919053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254.91239442958343</v>
      </c>
      <c r="BJ124" s="62">
        <f t="shared" si="92"/>
        <v>361.41009011468407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274.9967999999995</v>
      </c>
      <c r="CA124" s="14">
        <f t="shared" si="93"/>
        <v>65.908581953881495</v>
      </c>
      <c r="CB124" s="22">
        <f t="shared" si="64"/>
        <v>593.74354023634271</v>
      </c>
      <c r="CC124" s="62">
        <f t="shared" si="65"/>
        <v>876.0464326285271</v>
      </c>
      <c r="CD124" s="62">
        <f ca="1">AVERAGE(OFFSET($CC$3,0,0,'Données projet'!$E$12+1,1))-AVERAGE(OFFSET($H$3,0,0,'Données projet'!$E$12+1,1))</f>
        <v>516.30971934066179</v>
      </c>
      <c r="CE124" s="62">
        <f t="shared" si="94"/>
        <v>290.84286505723571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-1.7053025658242404E-13</v>
      </c>
      <c r="CU124" s="18">
        <f>CT124*VLOOKUP('Données projet'!$B$13,Paramètres!$A$1:$I$89,3,0)*VLOOKUP('Données projet'!$B$13,Paramètres!$A$1:$I$89,5,0)</f>
        <v>-1.4897523215040567E-13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226.76930997889059</v>
      </c>
      <c r="CZ124" s="62">
        <f t="shared" si="96"/>
        <v>236.36066378969329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6.1186256061773749E-14</v>
      </c>
      <c r="DQ124" s="14">
        <f t="shared" si="97"/>
        <v>9.7328366192051127E-13</v>
      </c>
      <c r="DR124" s="22">
        <f t="shared" si="70"/>
        <v>1.8017017738191463E-12</v>
      </c>
      <c r="DS124" s="62">
        <f t="shared" si="71"/>
        <v>282.30289239218621</v>
      </c>
      <c r="DT124" s="62">
        <f ca="1">AVERAGE(OFFSET($DS$3,0,0,'Données projet'!$E$14+1,1))-AVERAGE(OFFSET($H$3,0,0,'Données projet'!$E$14+1,1))</f>
        <v>315.12428188060306</v>
      </c>
      <c r="DU124" s="62">
        <f t="shared" si="98"/>
        <v>186.08400677811986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2.6282051282051269</v>
      </c>
      <c r="EJ124" s="13">
        <f>IF('Données projet'!$A$192&gt;35,EJ123+EI124-ER123,IF(A124&lt;'Données projet'!$A$192,$EG$205^A124,IF(A124='Données projet'!$A$192,'Données projet'!$B$192,EJ123+EI124-ER123)))</f>
        <v>315.44871794871733</v>
      </c>
      <c r="EK124" s="18">
        <f>EJ124*VLOOKUP('Données projet'!$B$15,Paramètres!$A$1:$I$89,3,0)*VLOOKUP('Données projet'!$B$15,Paramètres!$A$1:$I$89,5,0)</f>
        <v>329.70699999999937</v>
      </c>
      <c r="EL124" s="14">
        <f t="shared" si="99"/>
        <v>77.369557656320978</v>
      </c>
      <c r="EM124" s="22">
        <f t="shared" si="73"/>
        <v>708.99167125142458</v>
      </c>
      <c r="EN124" s="62">
        <f t="shared" si="74"/>
        <v>991.29456364360897</v>
      </c>
      <c r="EO124" s="62">
        <f ca="1">AVERAGE(OFFSET($EN$3,0,0,'Données projet'!$E$15+1,1))-AVERAGE(OFFSET($H$3,0,0,'Données projet'!$E$15+1,1))</f>
        <v>530.77325763685963</v>
      </c>
      <c r="EP124" s="62">
        <f t="shared" si="100"/>
        <v>344.23100274990145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90.580021122303947</v>
      </c>
      <c r="T125" s="62">
        <f t="shared" si="88"/>
        <v>375.77399473907451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10.478062242686033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3.3279106618754978E-15</v>
      </c>
      <c r="AC125" s="24">
        <f t="shared" si="57"/>
        <v>10.478062242686036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87.3677313039193</v>
      </c>
      <c r="AO125" s="62">
        <f t="shared" si="90"/>
        <v>326.27342751542903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8.9510873508060467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8.9510873508060467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254.91239442958343</v>
      </c>
      <c r="BJ125" s="62">
        <f t="shared" si="92"/>
        <v>361.41009011468407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278.24159999999949</v>
      </c>
      <c r="CA125" s="14">
        <f t="shared" si="93"/>
        <v>66.595272276139681</v>
      </c>
      <c r="CB125" s="22">
        <f t="shared" si="64"/>
        <v>600.59088588094244</v>
      </c>
      <c r="CC125" s="62">
        <f t="shared" si="65"/>
        <v>883.08513176308429</v>
      </c>
      <c r="CD125" s="62">
        <f ca="1">AVERAGE(OFFSET($CC$3,0,0,'Données projet'!$E$12+1,1))-AVERAGE(OFFSET($H$3,0,0,'Données projet'!$E$12+1,1))</f>
        <v>516.30971934066179</v>
      </c>
      <c r="CE125" s="62">
        <f t="shared" si="94"/>
        <v>290.84286505723571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-1.7053025658242404E-13</v>
      </c>
      <c r="CU125" s="18">
        <f>CT125*VLOOKUP('Données projet'!$B$13,Paramètres!$A$1:$I$89,3,0)*VLOOKUP('Données projet'!$B$13,Paramètres!$A$1:$I$89,5,0)</f>
        <v>-1.4897523215040567E-13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226.76930997889059</v>
      </c>
      <c r="CZ125" s="62">
        <f t="shared" si="96"/>
        <v>236.36066378969329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6.1186256061773749E-14</v>
      </c>
      <c r="DQ125" s="14">
        <f t="shared" si="97"/>
        <v>9.7328366192051127E-13</v>
      </c>
      <c r="DR125" s="22">
        <f t="shared" si="70"/>
        <v>1.8017017738191463E-12</v>
      </c>
      <c r="DS125" s="62">
        <f t="shared" si="71"/>
        <v>282.49424588214362</v>
      </c>
      <c r="DT125" s="62">
        <f ca="1">AVERAGE(OFFSET($DS$3,0,0,'Données projet'!$E$14+1,1))-AVERAGE(OFFSET($H$3,0,0,'Données projet'!$E$14+1,1))</f>
        <v>315.12428188060306</v>
      </c>
      <c r="DU125" s="62">
        <f t="shared" si="98"/>
        <v>186.08400677811986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2.6282051282051269</v>
      </c>
      <c r="EJ125" s="13">
        <f>IF('Données projet'!$A$192&gt;35,EJ124+EI125-ER124,IF(A125&lt;'Données projet'!$A$192,$EG$205^A125,IF(A125='Données projet'!$A$192,'Données projet'!$B$192,EJ124+EI125-ER124)))</f>
        <v>318.07692307692247</v>
      </c>
      <c r="EK125" s="18">
        <f>EJ125*VLOOKUP('Données projet'!$B$15,Paramètres!$A$1:$I$89,3,0)*VLOOKUP('Données projet'!$B$15,Paramètres!$A$1:$I$89,5,0)</f>
        <v>332.45399999999938</v>
      </c>
      <c r="EL125" s="14">
        <f t="shared" si="99"/>
        <v>77.938864391883257</v>
      </c>
      <c r="EM125" s="22">
        <f t="shared" si="73"/>
        <v>714.76757214919553</v>
      </c>
      <c r="EN125" s="62">
        <f t="shared" si="74"/>
        <v>997.26181803133727</v>
      </c>
      <c r="EO125" s="62">
        <f ca="1">AVERAGE(OFFSET($EN$3,0,0,'Données projet'!$E$15+1,1))-AVERAGE(OFFSET($H$3,0,0,'Données projet'!$E$15+1,1))</f>
        <v>530.77325763685963</v>
      </c>
      <c r="EP125" s="62">
        <f t="shared" si="100"/>
        <v>344.23100274990145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90.580021122303947</v>
      </c>
      <c r="T126" s="62">
        <f t="shared" si="88"/>
        <v>375.77399473907451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10.27259383309387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2.3531881961951762E-15</v>
      </c>
      <c r="AC126" s="24">
        <f t="shared" si="57"/>
        <v>10.272593833093872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87.3677313039193</v>
      </c>
      <c r="AO126" s="62">
        <f t="shared" si="90"/>
        <v>326.27342751542903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8.7755619874809305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8.7755619874809305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254.91239442958343</v>
      </c>
      <c r="BJ126" s="62">
        <f t="shared" si="92"/>
        <v>361.41009011468407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281.48639999999949</v>
      </c>
      <c r="CA126" s="14">
        <f t="shared" si="93"/>
        <v>67.281031071373235</v>
      </c>
      <c r="CB126" s="22">
        <f t="shared" si="64"/>
        <v>607.43660911597419</v>
      </c>
      <c r="CC126" s="62">
        <f t="shared" si="65"/>
        <v>890.1188889328248</v>
      </c>
      <c r="CD126" s="62">
        <f ca="1">AVERAGE(OFFSET($CC$3,0,0,'Données projet'!$E$12+1,1))-AVERAGE(OFFSET($H$3,0,0,'Données projet'!$E$12+1,1))</f>
        <v>516.30971934066179</v>
      </c>
      <c r="CE126" s="62">
        <f t="shared" si="94"/>
        <v>290.84286505723571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-1.7053025658242404E-13</v>
      </c>
      <c r="CU126" s="18">
        <f>CT126*VLOOKUP('Données projet'!$B$13,Paramètres!$A$1:$I$89,3,0)*VLOOKUP('Données projet'!$B$13,Paramètres!$A$1:$I$89,5,0)</f>
        <v>-1.4897523215040567E-13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226.76930997889059</v>
      </c>
      <c r="CZ126" s="62">
        <f t="shared" si="96"/>
        <v>236.36066378969329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6.1186256061773749E-14</v>
      </c>
      <c r="DQ126" s="14">
        <f t="shared" si="97"/>
        <v>9.7328366192051127E-13</v>
      </c>
      <c r="DR126" s="22">
        <f t="shared" si="70"/>
        <v>1.8017017738191463E-12</v>
      </c>
      <c r="DS126" s="62">
        <f t="shared" si="71"/>
        <v>282.68227981685249</v>
      </c>
      <c r="DT126" s="62">
        <f ca="1">AVERAGE(OFFSET($DS$3,0,0,'Données projet'!$E$14+1,1))-AVERAGE(OFFSET($H$3,0,0,'Données projet'!$E$14+1,1))</f>
        <v>315.12428188060306</v>
      </c>
      <c r="DU126" s="62">
        <f t="shared" si="98"/>
        <v>186.08400677811986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2.6282051282051269</v>
      </c>
      <c r="EJ126" s="13">
        <f>IF('Données projet'!$A$192&gt;35,EJ125+EI126-ER125,IF(A126&lt;'Données projet'!$A$192,$EG$205^A126,IF(A126='Données projet'!$A$192,'Données projet'!$B$192,EJ125+EI126-ER125)))</f>
        <v>320.70512820512761</v>
      </c>
      <c r="EK126" s="18">
        <f>EJ126*VLOOKUP('Données projet'!$B$15,Paramètres!$A$1:$I$89,3,0)*VLOOKUP('Données projet'!$B$15,Paramètres!$A$1:$I$89,5,0)</f>
        <v>335.2009999999994</v>
      </c>
      <c r="EL126" s="14">
        <f t="shared" si="99"/>
        <v>78.507623830791573</v>
      </c>
      <c r="EM126" s="22">
        <f t="shared" si="73"/>
        <v>720.54251983862753</v>
      </c>
      <c r="EN126" s="62">
        <f t="shared" si="74"/>
        <v>1003.2247996554781</v>
      </c>
      <c r="EO126" s="62">
        <f ca="1">AVERAGE(OFFSET($EN$3,0,0,'Données projet'!$E$15+1,1))-AVERAGE(OFFSET($H$3,0,0,'Données projet'!$E$15+1,1))</f>
        <v>530.77325763685963</v>
      </c>
      <c r="EP126" s="62">
        <f t="shared" si="100"/>
        <v>344.23100274990145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90.580021122303947</v>
      </c>
      <c r="T127" s="62">
        <f t="shared" si="88"/>
        <v>375.77399473907451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10.071154533690455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1.6639553309377489E-15</v>
      </c>
      <c r="AC127" s="24">
        <f t="shared" si="57"/>
        <v>10.071154533690457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87.3677313039193</v>
      </c>
      <c r="AO127" s="62">
        <f t="shared" si="90"/>
        <v>326.27342751542903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8.6034785694707203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8.6034785694707203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254.91239442958343</v>
      </c>
      <c r="BJ127" s="62">
        <f t="shared" si="92"/>
        <v>361.41009011468407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284.73119999999943</v>
      </c>
      <c r="CA127" s="14">
        <f t="shared" si="93"/>
        <v>67.965870320050826</v>
      </c>
      <c r="CB127" s="22">
        <f t="shared" si="64"/>
        <v>614.28073080742081</v>
      </c>
      <c r="CC127" s="62">
        <f t="shared" si="65"/>
        <v>897.14778259059415</v>
      </c>
      <c r="CD127" s="62">
        <f ca="1">AVERAGE(OFFSET($CC$3,0,0,'Données projet'!$E$12+1,1))-AVERAGE(OFFSET($H$3,0,0,'Données projet'!$E$12+1,1))</f>
        <v>516.30971934066179</v>
      </c>
      <c r="CE127" s="62">
        <f t="shared" si="94"/>
        <v>290.84286505723571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-1.7053025658242404E-13</v>
      </c>
      <c r="CU127" s="18">
        <f>CT127*VLOOKUP('Données projet'!$B$13,Paramètres!$A$1:$I$89,3,0)*VLOOKUP('Données projet'!$B$13,Paramètres!$A$1:$I$89,5,0)</f>
        <v>-1.4897523215040567E-13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226.76930997889059</v>
      </c>
      <c r="CZ127" s="62">
        <f t="shared" si="96"/>
        <v>236.36066378969329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6.1186256061773749E-14</v>
      </c>
      <c r="DQ127" s="14">
        <f t="shared" si="97"/>
        <v>9.7328366192051127E-13</v>
      </c>
      <c r="DR127" s="22">
        <f t="shared" si="70"/>
        <v>1.8017017738191463E-12</v>
      </c>
      <c r="DS127" s="62">
        <f t="shared" si="71"/>
        <v>282.86705178317516</v>
      </c>
      <c r="DT127" s="62">
        <f ca="1">AVERAGE(OFFSET($DS$3,0,0,'Données projet'!$E$14+1,1))-AVERAGE(OFFSET($H$3,0,0,'Données projet'!$E$14+1,1))</f>
        <v>315.12428188060306</v>
      </c>
      <c r="DU127" s="62">
        <f t="shared" si="98"/>
        <v>186.08400677811986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2.6282051282051269</v>
      </c>
      <c r="EJ127" s="13">
        <f>IF('Données projet'!$A$192&gt;35,EJ126+EI127-ER126,IF(A127&lt;'Données projet'!$A$192,$EG$205^A127,IF(A127='Données projet'!$A$192,'Données projet'!$B$192,EJ126+EI127-ER126)))</f>
        <v>323.33333333333275</v>
      </c>
      <c r="EK127" s="18">
        <f>EJ127*VLOOKUP('Données projet'!$B$15,Paramètres!$A$1:$I$89,3,0)*VLOOKUP('Données projet'!$B$15,Paramètres!$A$1:$I$89,5,0)</f>
        <v>337.94799999999941</v>
      </c>
      <c r="EL127" s="14">
        <f t="shared" si="99"/>
        <v>79.075840977982864</v>
      </c>
      <c r="EM127" s="22">
        <f t="shared" si="73"/>
        <v>726.31652303665248</v>
      </c>
      <c r="EN127" s="62">
        <f t="shared" si="74"/>
        <v>1009.1835748198258</v>
      </c>
      <c r="EO127" s="62">
        <f ca="1">AVERAGE(OFFSET($EN$3,0,0,'Données projet'!$E$15+1,1))-AVERAGE(OFFSET($H$3,0,0,'Données projet'!$E$15+1,1))</f>
        <v>530.77325763685963</v>
      </c>
      <c r="EP127" s="62">
        <f t="shared" si="100"/>
        <v>344.23100274990145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90.580021122303947</v>
      </c>
      <c r="T128" s="62">
        <f t="shared" si="88"/>
        <v>375.77399473907451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9.8736653360824995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1.1765940980975881E-15</v>
      </c>
      <c r="AC128" s="24">
        <f t="shared" si="57"/>
        <v>9.8736653360825013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87.3677313039193</v>
      </c>
      <c r="AO128" s="62">
        <f t="shared" si="90"/>
        <v>326.27342751542903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8.4347696023271688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8.4347696023271688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254.91239442958343</v>
      </c>
      <c r="BJ128" s="62">
        <f t="shared" si="92"/>
        <v>361.41009011468407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287.97599999999943</v>
      </c>
      <c r="CA128" s="14">
        <f t="shared" si="93"/>
        <v>68.649801713863027</v>
      </c>
      <c r="CB128" s="22">
        <f t="shared" si="64"/>
        <v>621.12327131831046</v>
      </c>
      <c r="CC128" s="62">
        <f t="shared" si="65"/>
        <v>904.17188968727896</v>
      </c>
      <c r="CD128" s="62">
        <f ca="1">AVERAGE(OFFSET($CC$3,0,0,'Données projet'!$E$12+1,1))-AVERAGE(OFFSET($H$3,0,0,'Données projet'!$E$12+1,1))</f>
        <v>516.30971934066179</v>
      </c>
      <c r="CE128" s="62">
        <f t="shared" si="94"/>
        <v>290.84286505723571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-1.7053025658242404E-13</v>
      </c>
      <c r="CU128" s="18">
        <f>CT128*VLOOKUP('Données projet'!$B$13,Paramètres!$A$1:$I$89,3,0)*VLOOKUP('Données projet'!$B$13,Paramètres!$A$1:$I$89,5,0)</f>
        <v>-1.4897523215040567E-13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226.76930997889059</v>
      </c>
      <c r="CZ128" s="62">
        <f t="shared" si="96"/>
        <v>236.36066378969329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6.1186256061773749E-14</v>
      </c>
      <c r="DQ128" s="14">
        <f t="shared" si="97"/>
        <v>9.7328366192051127E-13</v>
      </c>
      <c r="DR128" s="22">
        <f t="shared" si="70"/>
        <v>1.8017017738191463E-12</v>
      </c>
      <c r="DS128" s="62">
        <f t="shared" si="71"/>
        <v>283.04861836897032</v>
      </c>
      <c r="DT128" s="62">
        <f ca="1">AVERAGE(OFFSET($DS$3,0,0,'Données projet'!$E$14+1,1))-AVERAGE(OFFSET($H$3,0,0,'Données projet'!$E$14+1,1))</f>
        <v>315.12428188060306</v>
      </c>
      <c r="DU128" s="62">
        <f t="shared" si="98"/>
        <v>186.08400677811986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2.6282051282051269</v>
      </c>
      <c r="EJ128" s="13">
        <f>IF('Données projet'!$A$192&gt;35,EJ127+EI128-ER127,IF(A128&lt;'Données projet'!$A$192,$EG$205^A128,IF(A128='Données projet'!$A$192,'Données projet'!$B$192,EJ127+EI128-ER127)))</f>
        <v>325.96153846153788</v>
      </c>
      <c r="EK128" s="18">
        <f>EJ128*VLOOKUP('Données projet'!$B$15,Paramètres!$A$1:$I$89,3,0)*VLOOKUP('Données projet'!$B$15,Paramètres!$A$1:$I$89,5,0)</f>
        <v>340.69499999999942</v>
      </c>
      <c r="EL128" s="14">
        <f t="shared" si="99"/>
        <v>79.643520752331625</v>
      </c>
      <c r="EM128" s="22">
        <f t="shared" si="73"/>
        <v>732.08959031030997</v>
      </c>
      <c r="EN128" s="62">
        <f t="shared" si="74"/>
        <v>1015.1382086792785</v>
      </c>
      <c r="EO128" s="62">
        <f ca="1">AVERAGE(OFFSET($EN$3,0,0,'Données projet'!$E$15+1,1))-AVERAGE(OFFSET($H$3,0,0,'Données projet'!$E$15+1,1))</f>
        <v>530.77325763685963</v>
      </c>
      <c r="EP128" s="62">
        <f t="shared" si="100"/>
        <v>344.23100274990145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90.580021122303947</v>
      </c>
      <c r="T129" s="62">
        <f t="shared" si="88"/>
        <v>375.77399473907451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9.6800487811831193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8.3197766546887446E-16</v>
      </c>
      <c r="AC129" s="24">
        <f t="shared" si="57"/>
        <v>9.6800487811831193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87.3677313039193</v>
      </c>
      <c r="AO129" s="62">
        <f t="shared" si="90"/>
        <v>326.27342751542903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8.2693689151269929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8.2693689151269929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254.91239442958343</v>
      </c>
      <c r="BJ129" s="62">
        <f t="shared" si="92"/>
        <v>361.41009011468407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291.22079999999943</v>
      </c>
      <c r="CA129" s="14">
        <f t="shared" si="93"/>
        <v>69.33283666585649</v>
      </c>
      <c r="CB129" s="22">
        <f t="shared" si="64"/>
        <v>627.96425052636573</v>
      </c>
      <c r="CC129" s="62">
        <f t="shared" si="65"/>
        <v>911.19128570678799</v>
      </c>
      <c r="CD129" s="62">
        <f ca="1">AVERAGE(OFFSET($CC$3,0,0,'Données projet'!$E$12+1,1))-AVERAGE(OFFSET($H$3,0,0,'Données projet'!$E$12+1,1))</f>
        <v>516.30971934066179</v>
      </c>
      <c r="CE129" s="62">
        <f t="shared" si="94"/>
        <v>290.84286505723571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-1.7053025658242404E-13</v>
      </c>
      <c r="CU129" s="18">
        <f>CT129*VLOOKUP('Données projet'!$B$13,Paramètres!$A$1:$I$89,3,0)*VLOOKUP('Données projet'!$B$13,Paramètres!$A$1:$I$89,5,0)</f>
        <v>-1.4897523215040567E-13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226.76930997889059</v>
      </c>
      <c r="CZ129" s="62">
        <f t="shared" si="96"/>
        <v>236.36066378969329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6.1186256061773749E-14</v>
      </c>
      <c r="DQ129" s="14">
        <f t="shared" si="97"/>
        <v>9.7328366192051127E-13</v>
      </c>
      <c r="DR129" s="22">
        <f t="shared" si="70"/>
        <v>1.8017017738191463E-12</v>
      </c>
      <c r="DS129" s="62">
        <f t="shared" si="71"/>
        <v>283.22703518042402</v>
      </c>
      <c r="DT129" s="62">
        <f ca="1">AVERAGE(OFFSET($DS$3,0,0,'Données projet'!$E$14+1,1))-AVERAGE(OFFSET($H$3,0,0,'Données projet'!$E$14+1,1))</f>
        <v>315.12428188060306</v>
      </c>
      <c r="DU129" s="62">
        <f t="shared" si="98"/>
        <v>186.08400677811986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2.6282051282051269</v>
      </c>
      <c r="EJ129" s="13">
        <f>IF('Données projet'!$A$192&gt;35,EJ128+EI129-ER128,IF(A129&lt;'Données projet'!$A$192,$EG$205^A129,IF(A129='Données projet'!$A$192,'Données projet'!$B$192,EJ128+EI129-ER128)))</f>
        <v>328.58974358974302</v>
      </c>
      <c r="EK129" s="18">
        <f>EJ129*VLOOKUP('Données projet'!$B$15,Paramètres!$A$1:$I$89,3,0)*VLOOKUP('Données projet'!$B$15,Paramètres!$A$1:$I$89,5,0)</f>
        <v>343.44199999999944</v>
      </c>
      <c r="EL129" s="14">
        <f t="shared" si="99"/>
        <v>80.210667988811437</v>
      </c>
      <c r="EM129" s="22">
        <f t="shared" si="73"/>
        <v>737.86173008051219</v>
      </c>
      <c r="EN129" s="62">
        <f t="shared" si="74"/>
        <v>1021.0887652609345</v>
      </c>
      <c r="EO129" s="62">
        <f ca="1">AVERAGE(OFFSET($EN$3,0,0,'Données projet'!$E$15+1,1))-AVERAGE(OFFSET($H$3,0,0,'Données projet'!$E$15+1,1))</f>
        <v>530.77325763685963</v>
      </c>
      <c r="EP129" s="62">
        <f t="shared" si="100"/>
        <v>344.23100274990145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90.580021122303947</v>
      </c>
      <c r="T130" s="62">
        <f t="shared" si="88"/>
        <v>375.77399473907451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9.490228928830879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5.8829704904879404E-16</v>
      </c>
      <c r="AC130" s="24">
        <f t="shared" si="57"/>
        <v>9.490228928830879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87.3677313039193</v>
      </c>
      <c r="AO130" s="62">
        <f t="shared" si="90"/>
        <v>326.27342751542903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8.1072116345183556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8.1072116345183556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254.91239442958343</v>
      </c>
      <c r="BJ130" s="62">
        <f t="shared" si="92"/>
        <v>361.41009011468407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294.46559999999943</v>
      </c>
      <c r="CA130" s="14">
        <f t="shared" si="93"/>
        <v>70.0149863201041</v>
      </c>
      <c r="CB130" s="22">
        <f t="shared" si="64"/>
        <v>634.80368784084692</v>
      </c>
      <c r="CC130" s="62">
        <f t="shared" si="65"/>
        <v>918.2060446999244</v>
      </c>
      <c r="CD130" s="62">
        <f ca="1">AVERAGE(OFFSET($CC$3,0,0,'Données projet'!$E$12+1,1))-AVERAGE(OFFSET($H$3,0,0,'Données projet'!$E$12+1,1))</f>
        <v>516.30971934066179</v>
      </c>
      <c r="CE130" s="62">
        <f t="shared" si="94"/>
        <v>290.84286505723571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-1.7053025658242404E-13</v>
      </c>
      <c r="CU130" s="18">
        <f>CT130*VLOOKUP('Données projet'!$B$13,Paramètres!$A$1:$I$89,3,0)*VLOOKUP('Données projet'!$B$13,Paramètres!$A$1:$I$89,5,0)</f>
        <v>-1.4897523215040567E-13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226.76930997889059</v>
      </c>
      <c r="CZ130" s="62">
        <f t="shared" si="96"/>
        <v>236.36066378969329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6.1186256061773749E-14</v>
      </c>
      <c r="DQ130" s="14">
        <f t="shared" si="97"/>
        <v>9.7328366192051127E-13</v>
      </c>
      <c r="DR130" s="22">
        <f t="shared" si="70"/>
        <v>1.8017017738191463E-12</v>
      </c>
      <c r="DS130" s="62">
        <f t="shared" si="71"/>
        <v>283.40235685907925</v>
      </c>
      <c r="DT130" s="62">
        <f ca="1">AVERAGE(OFFSET($DS$3,0,0,'Données projet'!$E$14+1,1))-AVERAGE(OFFSET($H$3,0,0,'Données projet'!$E$14+1,1))</f>
        <v>315.12428188060306</v>
      </c>
      <c r="DU130" s="62">
        <f t="shared" si="98"/>
        <v>186.08400677811986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2.6282051282051269</v>
      </c>
      <c r="EJ130" s="13">
        <f>IF('Données projet'!$A$192&gt;35,EJ129+EI130-ER129,IF(A130&lt;'Données projet'!$A$192,$EG$205^A130,IF(A130='Données projet'!$A$192,'Données projet'!$B$192,EJ129+EI130-ER129)))</f>
        <v>331.21794871794816</v>
      </c>
      <c r="EK130" s="18">
        <f>EJ130*VLOOKUP('Données projet'!$B$15,Paramètres!$A$1:$I$89,3,0)*VLOOKUP('Données projet'!$B$15,Paramètres!$A$1:$I$89,5,0)</f>
        <v>346.18899999999945</v>
      </c>
      <c r="EL130" s="14">
        <f t="shared" si="99"/>
        <v>80.77728744058544</v>
      </c>
      <c r="EM130" s="22">
        <f t="shared" si="73"/>
        <v>743.63295062568523</v>
      </c>
      <c r="EN130" s="62">
        <f t="shared" si="74"/>
        <v>1027.0353074847626</v>
      </c>
      <c r="EO130" s="62">
        <f ca="1">AVERAGE(OFFSET($EN$3,0,0,'Données projet'!$E$15+1,1))-AVERAGE(OFFSET($H$3,0,0,'Données projet'!$E$15+1,1))</f>
        <v>530.77325763685963</v>
      </c>
      <c r="EP130" s="62">
        <f t="shared" si="100"/>
        <v>344.23100274990145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90.580021122303947</v>
      </c>
      <c r="T131" s="62">
        <f t="shared" si="88"/>
        <v>375.77399473907451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9.3041313280045888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4.1598883273443723E-16</v>
      </c>
      <c r="AC131" s="24">
        <f t="shared" si="57"/>
        <v>9.3041313280045888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87.3677313039193</v>
      </c>
      <c r="AO131" s="62">
        <f t="shared" si="90"/>
        <v>326.27342751542903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7.9482341592762786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7.9482341592762786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254.91239442958343</v>
      </c>
      <c r="BJ131" s="62">
        <f t="shared" si="92"/>
        <v>361.41009011468407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297.71039999999937</v>
      </c>
      <c r="CA131" s="14">
        <f t="shared" si="93"/>
        <v>70.696261560936534</v>
      </c>
      <c r="CB131" s="22">
        <f t="shared" si="64"/>
        <v>641.64160221862994</v>
      </c>
      <c r="CC131" s="62">
        <f t="shared" si="65"/>
        <v>925.21623931719841</v>
      </c>
      <c r="CD131" s="62">
        <f ca="1">AVERAGE(OFFSET($CC$3,0,0,'Données projet'!$E$12+1,1))-AVERAGE(OFFSET($H$3,0,0,'Données projet'!$E$12+1,1))</f>
        <v>516.30971934066179</v>
      </c>
      <c r="CE131" s="62">
        <f t="shared" si="94"/>
        <v>290.84286505723571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-1.7053025658242404E-13</v>
      </c>
      <c r="CU131" s="18">
        <f>CT131*VLOOKUP('Données projet'!$B$13,Paramètres!$A$1:$I$89,3,0)*VLOOKUP('Données projet'!$B$13,Paramètres!$A$1:$I$89,5,0)</f>
        <v>-1.4897523215040567E-13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226.76930997889059</v>
      </c>
      <c r="CZ131" s="62">
        <f t="shared" si="96"/>
        <v>236.36066378969329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6.1186256061773749E-14</v>
      </c>
      <c r="DQ131" s="14">
        <f t="shared" si="97"/>
        <v>9.7328366192051127E-13</v>
      </c>
      <c r="DR131" s="22">
        <f t="shared" si="70"/>
        <v>1.8017017738191463E-12</v>
      </c>
      <c r="DS131" s="62">
        <f t="shared" si="71"/>
        <v>283.57463709857035</v>
      </c>
      <c r="DT131" s="62">
        <f ca="1">AVERAGE(OFFSET($DS$3,0,0,'Données projet'!$E$14+1,1))-AVERAGE(OFFSET($H$3,0,0,'Données projet'!$E$14+1,1))</f>
        <v>315.12428188060306</v>
      </c>
      <c r="DU131" s="62">
        <f t="shared" si="98"/>
        <v>186.08400677811986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2.6282051282051269</v>
      </c>
      <c r="EJ131" s="13">
        <f>IF('Données projet'!$A$192&gt;35,EJ130+EI131-ER130,IF(A131&lt;'Données projet'!$A$192,$EG$205^A131,IF(A131='Données projet'!$A$192,'Données projet'!$B$192,EJ130+EI131-ER130)))</f>
        <v>333.8461538461533</v>
      </c>
      <c r="EK131" s="18">
        <f>EJ131*VLOOKUP('Données projet'!$B$15,Paramètres!$A$1:$I$89,3,0)*VLOOKUP('Données projet'!$B$15,Paramètres!$A$1:$I$89,5,0)</f>
        <v>348.93599999999947</v>
      </c>
      <c r="EL131" s="14">
        <f t="shared" si="99"/>
        <v>81.343383781028564</v>
      </c>
      <c r="EM131" s="22">
        <f t="shared" si="73"/>
        <v>749.40326008529053</v>
      </c>
      <c r="EN131" s="62">
        <f t="shared" si="74"/>
        <v>1032.9778971838591</v>
      </c>
      <c r="EO131" s="62">
        <f ca="1">AVERAGE(OFFSET($EN$3,0,0,'Données projet'!$E$15+1,1))-AVERAGE(OFFSET($H$3,0,0,'Données projet'!$E$15+1,1))</f>
        <v>530.77325763685963</v>
      </c>
      <c r="EP131" s="62">
        <f t="shared" si="100"/>
        <v>344.23100274990145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90.580021122303947</v>
      </c>
      <c r="T132" s="62">
        <f t="shared" si="88"/>
        <v>375.77399473907451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9.1216829876221723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2.9414852452439702E-16</v>
      </c>
      <c r="AC132" s="24">
        <f t="shared" ref="AC132:AC153" si="111">SUM(Z132:AB132)</f>
        <v>9.1216829876221723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87.3677313039193</v>
      </c>
      <c r="AO132" s="62">
        <f t="shared" si="90"/>
        <v>326.27342751542903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7.7923741353570133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7.7923741353570133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254.91239442958343</v>
      </c>
      <c r="BJ132" s="62">
        <f t="shared" si="92"/>
        <v>361.41009011468407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300.95519999999942</v>
      </c>
      <c r="CA132" s="14">
        <f t="shared" si="93"/>
        <v>71.376673021759657</v>
      </c>
      <c r="CB132" s="22">
        <f t="shared" ref="CB132:CB153" si="118">(BZ132+CA132)*0.475*44/12</f>
        <v>648.47801217956373</v>
      </c>
      <c r="CC132" s="62">
        <f t="shared" ref="CC132:CC195" si="119">CB132+(BT132+BU132)*44/12</f>
        <v>932.22194084062903</v>
      </c>
      <c r="CD132" s="62">
        <f ca="1">AVERAGE(OFFSET($CC$3,0,0,'Données projet'!$E$12+1,1))-AVERAGE(OFFSET($H$3,0,0,'Données projet'!$E$12+1,1))</f>
        <v>516.30971934066179</v>
      </c>
      <c r="CE132" s="62">
        <f t="shared" si="94"/>
        <v>290.84286505723571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-1.7053025658242404E-13</v>
      </c>
      <c r="CU132" s="18">
        <f>CT132*VLOOKUP('Données projet'!$B$13,Paramètres!$A$1:$I$89,3,0)*VLOOKUP('Données projet'!$B$13,Paramètres!$A$1:$I$89,5,0)</f>
        <v>-1.4897523215040567E-13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226.76930997889059</v>
      </c>
      <c r="CZ132" s="62">
        <f t="shared" si="96"/>
        <v>236.36066378969329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6.1186256061773749E-14</v>
      </c>
      <c r="DQ132" s="14">
        <f t="shared" si="97"/>
        <v>9.7328366192051127E-13</v>
      </c>
      <c r="DR132" s="22">
        <f t="shared" ref="DR132:DR153" si="124">(DP132+DQ132)*0.475*44/12</f>
        <v>1.8017017738191463E-12</v>
      </c>
      <c r="DS132" s="62">
        <f t="shared" ref="DS132:DS195" si="125">DR132+(DJ132+DK132)*44/12</f>
        <v>283.74392866106717</v>
      </c>
      <c r="DT132" s="62">
        <f ca="1">AVERAGE(OFFSET($DS$3,0,0,'Données projet'!$E$14+1,1))-AVERAGE(OFFSET($H$3,0,0,'Données projet'!$E$14+1,1))</f>
        <v>315.12428188060306</v>
      </c>
      <c r="DU132" s="62">
        <f t="shared" si="98"/>
        <v>186.08400677811986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2.6282051282051269</v>
      </c>
      <c r="EJ132" s="13">
        <f>IF('Données projet'!$A$192&gt;35,EJ131+EI132-ER131,IF(A132&lt;'Données projet'!$A$192,$EG$205^A132,IF(A132='Données projet'!$A$192,'Données projet'!$B$192,EJ131+EI132-ER131)))</f>
        <v>336.47435897435844</v>
      </c>
      <c r="EK132" s="18">
        <f>EJ132*VLOOKUP('Données projet'!$B$15,Paramètres!$A$1:$I$89,3,0)*VLOOKUP('Données projet'!$B$15,Paramètres!$A$1:$I$89,5,0)</f>
        <v>351.68299999999948</v>
      </c>
      <c r="EL132" s="14">
        <f t="shared" si="99"/>
        <v>81.908961605684084</v>
      </c>
      <c r="EM132" s="22">
        <f t="shared" ref="EM132:EM153" si="127">(EK132+EL132)*0.475*44/12</f>
        <v>755.17266646323208</v>
      </c>
      <c r="EN132" s="62">
        <f t="shared" ref="EN132:EN195" si="128">EM132+(EE132+EF132)*44/12</f>
        <v>1038.9165951242974</v>
      </c>
      <c r="EO132" s="62">
        <f ca="1">AVERAGE(OFFSET($EN$3,0,0,'Données projet'!$E$15+1,1))-AVERAGE(OFFSET($H$3,0,0,'Données projet'!$E$15+1,1))</f>
        <v>530.77325763685963</v>
      </c>
      <c r="EP132" s="62">
        <f t="shared" si="100"/>
        <v>344.23100274990145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90.580021122303947</v>
      </c>
      <c r="T133" s="62">
        <f t="shared" ref="T133:T196" si="142">$T$3</f>
        <v>375.77399473907451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8.942812347912156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2.0799441636721861E-16</v>
      </c>
      <c r="AC133" s="24">
        <f t="shared" si="111"/>
        <v>8.942812347912156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87.3677313039193</v>
      </c>
      <c r="AO133" s="62">
        <f t="shared" ref="AO133:AO196" si="144">$AO$3</f>
        <v>326.27342751542903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7.6395704314415767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7.6395704314415767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254.91239442958343</v>
      </c>
      <c r="BJ133" s="62">
        <f t="shared" ref="BJ133:BJ196" si="146">$BJ$3</f>
        <v>361.41009011468407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304.19999999999936</v>
      </c>
      <c r="CA133" s="14">
        <f t="shared" ref="CA133:CA153" si="147">EXP(-1.0587+0.8836*LN(BZ133)+0.284)</f>
        <v>72.056231093480946</v>
      </c>
      <c r="CB133" s="22">
        <f t="shared" si="118"/>
        <v>655.31293582114483</v>
      </c>
      <c r="CC133" s="62">
        <f t="shared" si="119"/>
        <v>939.22321921457694</v>
      </c>
      <c r="CD133" s="62">
        <f ca="1">AVERAGE(OFFSET($CC$3,0,0,'Données projet'!$E$12+1,1))-AVERAGE(OFFSET($H$3,0,0,'Données projet'!$E$12+1,1))</f>
        <v>516.30971934066179</v>
      </c>
      <c r="CE133" s="62">
        <f t="shared" ref="CE133:CE196" si="148">$CE$3</f>
        <v>290.84286505723571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-1.7053025658242404E-13</v>
      </c>
      <c r="CU133" s="18">
        <f>CT133*VLOOKUP('Données projet'!$B$13,Paramètres!$A$1:$I$89,3,0)*VLOOKUP('Données projet'!$B$13,Paramètres!$A$1:$I$89,5,0)</f>
        <v>-1.4897523215040567E-13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226.76930997889059</v>
      </c>
      <c r="CZ133" s="62">
        <f t="shared" ref="CZ133:CZ196" si="150">$CZ$3</f>
        <v>236.36066378969329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6.1186256061773749E-14</v>
      </c>
      <c r="DQ133" s="14">
        <f t="shared" ref="DQ133:DQ153" si="151">EXP(-1.0587+0.8836*LN(DP133)+0.284)</f>
        <v>9.7328366192051127E-13</v>
      </c>
      <c r="DR133" s="22">
        <f t="shared" si="124"/>
        <v>1.8017017738191463E-12</v>
      </c>
      <c r="DS133" s="62">
        <f t="shared" si="125"/>
        <v>283.91028339343393</v>
      </c>
      <c r="DT133" s="62">
        <f ca="1">AVERAGE(OFFSET($DS$3,0,0,'Données projet'!$E$14+1,1))-AVERAGE(OFFSET($H$3,0,0,'Données projet'!$E$14+1,1))</f>
        <v>315.12428188060306</v>
      </c>
      <c r="DU133" s="62">
        <f t="shared" ref="DU133:DU196" si="152">$DU$3</f>
        <v>186.08400677811986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339.10256410256409</v>
      </c>
      <c r="EH133" s="13">
        <f>VLOOKUP(A133,'Données projet'!$A$191:$I$211,9,0)</f>
        <v>2.6282051282051269</v>
      </c>
      <c r="EI133" s="13">
        <f t="array" ref="EI133">INDEX(EH:EH,MIN(IF(ISNUMBER(EH133:EH329),ROW(EH133:EH329),"")))</f>
        <v>2.6282051282051269</v>
      </c>
      <c r="EJ133" s="13">
        <f>IF('Données projet'!$A$192&gt;35,EJ132+EI133-ER132,IF(A133&lt;'Données projet'!$A$192,$EG$205^A133,IF(A133='Données projet'!$A$192,'Données projet'!$B$192,EJ132+EI133-ER132)))</f>
        <v>339.10256410256358</v>
      </c>
      <c r="EK133" s="18">
        <f>EJ133*VLOOKUP('Données projet'!$B$15,Paramètres!$A$1:$I$89,3,0)*VLOOKUP('Données projet'!$B$15,Paramètres!$A$1:$I$89,5,0)</f>
        <v>354.4299999999995</v>
      </c>
      <c r="EL133" s="14">
        <f t="shared" ref="EL133:EL153" si="153">EXP(-1.0587+0.8836*LN(EK133)+0.284)</f>
        <v>82.474025434157767</v>
      </c>
      <c r="EM133" s="22">
        <f t="shared" si="127"/>
        <v>760.94117763115719</v>
      </c>
      <c r="EN133" s="62">
        <f t="shared" si="128"/>
        <v>1044.8514610245893</v>
      </c>
      <c r="EO133" s="62">
        <f ca="1">AVERAGE(OFFSET($EN$3,0,0,'Données projet'!$E$15+1,1))-AVERAGE(OFFSET($H$3,0,0,'Données projet'!$E$15+1,1))</f>
        <v>530.77325763685963</v>
      </c>
      <c r="EP133" s="62">
        <f t="shared" ref="EP133:EP196" si="154">$EP$3</f>
        <v>344.23100274990145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339.10256410256409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90.580021122303947</v>
      </c>
      <c r="T134" s="62">
        <f t="shared" si="142"/>
        <v>375.77399473907451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8.7674492523465357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1.4707426226219851E-16</v>
      </c>
      <c r="AC134" s="24">
        <f t="shared" si="111"/>
        <v>8.7674492523465357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87.3677313039193</v>
      </c>
      <c r="AO134" s="62">
        <f t="shared" si="144"/>
        <v>326.27342751542903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7.4897631149588655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7.4897631149588655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254.91239442958343</v>
      </c>
      <c r="BJ134" s="62">
        <f t="shared" si="146"/>
        <v>361.41009011468407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275.50379999999939</v>
      </c>
      <c r="CA134" s="14">
        <f t="shared" si="147"/>
        <v>66.015939215007748</v>
      </c>
      <c r="CB134" s="22">
        <f t="shared" si="118"/>
        <v>594.81354579947072</v>
      </c>
      <c r="CC134" s="62">
        <f t="shared" si="119"/>
        <v>878.8872980425765</v>
      </c>
      <c r="CD134" s="62">
        <f ca="1">AVERAGE(OFFSET($CC$3,0,0,'Données projet'!$E$12+1,1))-AVERAGE(OFFSET($H$3,0,0,'Données projet'!$E$12+1,1))</f>
        <v>516.30971934066179</v>
      </c>
      <c r="CE134" s="62">
        <f t="shared" si="148"/>
        <v>290.84286505723571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-1.7053025658242404E-13</v>
      </c>
      <c r="CU134" s="18">
        <f>CT134*VLOOKUP('Données projet'!$B$13,Paramètres!$A$1:$I$89,3,0)*VLOOKUP('Données projet'!$B$13,Paramètres!$A$1:$I$89,5,0)</f>
        <v>-1.4897523215040567E-13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226.76930997889059</v>
      </c>
      <c r="CZ134" s="62">
        <f t="shared" si="150"/>
        <v>236.36066378969329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6.1186256061773749E-14</v>
      </c>
      <c r="DQ134" s="14">
        <f t="shared" si="151"/>
        <v>9.7328366192051127E-13</v>
      </c>
      <c r="DR134" s="22">
        <f t="shared" si="124"/>
        <v>1.8017017738191463E-12</v>
      </c>
      <c r="DS134" s="62">
        <f t="shared" si="125"/>
        <v>284.07375224310755</v>
      </c>
      <c r="DT134" s="62">
        <f ca="1">AVERAGE(OFFSET($DS$3,0,0,'Données projet'!$E$14+1,1))-AVERAGE(OFFSET($H$3,0,0,'Données projet'!$E$14+1,1))</f>
        <v>315.12428188060306</v>
      </c>
      <c r="DU134" s="62">
        <f t="shared" si="152"/>
        <v>186.08400677811986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-5.1159076974727213E-13</v>
      </c>
      <c r="EK134" s="18">
        <f>EJ134*VLOOKUP('Données projet'!$B$15,Paramètres!$A$1:$I$89,3,0)*VLOOKUP('Données projet'!$B$15,Paramètres!$A$1:$I$89,5,0)</f>
        <v>-5.3471467253984886E-13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530.77325763685963</v>
      </c>
      <c r="EP134" s="62">
        <f t="shared" si="154"/>
        <v>344.23100274990145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90.580021122303947</v>
      </c>
      <c r="T135" s="62">
        <f t="shared" si="142"/>
        <v>375.77399473907451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8.5955249201240314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1.0399720818360931E-16</v>
      </c>
      <c r="AC135" s="24">
        <f t="shared" si="111"/>
        <v>8.5955249201240314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87.3677313039193</v>
      </c>
      <c r="AO135" s="62">
        <f t="shared" si="144"/>
        <v>326.27342751542903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7.3428934285789396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7.3428934285789396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254.91239442958343</v>
      </c>
      <c r="BJ135" s="62">
        <f t="shared" si="146"/>
        <v>361.41009011468407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278.24159999999938</v>
      </c>
      <c r="CA135" s="14">
        <f t="shared" si="147"/>
        <v>66.595272276139625</v>
      </c>
      <c r="CB135" s="22">
        <f t="shared" si="118"/>
        <v>600.59088588094198</v>
      </c>
      <c r="CC135" s="62">
        <f t="shared" si="119"/>
        <v>884.82527115464109</v>
      </c>
      <c r="CD135" s="62">
        <f ca="1">AVERAGE(OFFSET($CC$3,0,0,'Données projet'!$E$12+1,1))-AVERAGE(OFFSET($H$3,0,0,'Données projet'!$E$12+1,1))</f>
        <v>516.30971934066179</v>
      </c>
      <c r="CE135" s="62">
        <f t="shared" si="148"/>
        <v>290.84286505723571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-1.7053025658242404E-13</v>
      </c>
      <c r="CU135" s="18">
        <f>CT135*VLOOKUP('Données projet'!$B$13,Paramètres!$A$1:$I$89,3,0)*VLOOKUP('Données projet'!$B$13,Paramètres!$A$1:$I$89,5,0)</f>
        <v>-1.4897523215040567E-13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226.76930997889059</v>
      </c>
      <c r="CZ135" s="62">
        <f t="shared" si="150"/>
        <v>236.36066378969329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6.1186256061773749E-14</v>
      </c>
      <c r="DQ135" s="14">
        <f t="shared" si="151"/>
        <v>9.7328366192051127E-13</v>
      </c>
      <c r="DR135" s="22">
        <f t="shared" si="124"/>
        <v>1.8017017738191463E-12</v>
      </c>
      <c r="DS135" s="62">
        <f t="shared" si="125"/>
        <v>284.23438527370098</v>
      </c>
      <c r="DT135" s="62">
        <f ca="1">AVERAGE(OFFSET($DS$3,0,0,'Données projet'!$E$14+1,1))-AVERAGE(OFFSET($H$3,0,0,'Données projet'!$E$14+1,1))</f>
        <v>315.12428188060306</v>
      </c>
      <c r="DU135" s="62">
        <f t="shared" si="152"/>
        <v>186.08400677811986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-5.1159076974727213E-13</v>
      </c>
      <c r="EK135" s="18">
        <f>EJ135*VLOOKUP('Données projet'!$B$15,Paramètres!$A$1:$I$89,3,0)*VLOOKUP('Données projet'!$B$15,Paramètres!$A$1:$I$89,5,0)</f>
        <v>-5.3471467253984886E-13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530.77325763685963</v>
      </c>
      <c r="EP135" s="62">
        <f t="shared" si="154"/>
        <v>344.23100274990145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90.580021122303947</v>
      </c>
      <c r="T136" s="62">
        <f t="shared" si="142"/>
        <v>375.77399473907451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8.4269719191929209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7.3537131131099255E-17</v>
      </c>
      <c r="AC136" s="24">
        <f t="shared" si="111"/>
        <v>8.4269719191929209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87.3677313039193</v>
      </c>
      <c r="AO136" s="62">
        <f t="shared" si="144"/>
        <v>326.27342751542903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7.1989037671672609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7.1989037671672609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254.91239442958343</v>
      </c>
      <c r="BJ136" s="62">
        <f t="shared" si="146"/>
        <v>361.41009011468407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280.97939999999937</v>
      </c>
      <c r="CA136" s="14">
        <f t="shared" si="147"/>
        <v>67.173942175199301</v>
      </c>
      <c r="CB136" s="22">
        <f t="shared" si="118"/>
        <v>606.36707095513759</v>
      </c>
      <c r="CC136" s="62">
        <f t="shared" si="119"/>
        <v>890.75930263547093</v>
      </c>
      <c r="CD136" s="62">
        <f ca="1">AVERAGE(OFFSET($CC$3,0,0,'Données projet'!$E$12+1,1))-AVERAGE(OFFSET($H$3,0,0,'Données projet'!$E$12+1,1))</f>
        <v>516.30971934066179</v>
      </c>
      <c r="CE136" s="62">
        <f t="shared" si="148"/>
        <v>290.84286505723571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-1.7053025658242404E-13</v>
      </c>
      <c r="CU136" s="18">
        <f>CT136*VLOOKUP('Données projet'!$B$13,Paramètres!$A$1:$I$89,3,0)*VLOOKUP('Données projet'!$B$13,Paramètres!$A$1:$I$89,5,0)</f>
        <v>-1.4897523215040567E-13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226.76930997889059</v>
      </c>
      <c r="CZ136" s="62">
        <f t="shared" si="150"/>
        <v>236.36066378969329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6.1186256061773749E-14</v>
      </c>
      <c r="DQ136" s="14">
        <f t="shared" si="151"/>
        <v>9.7328366192051127E-13</v>
      </c>
      <c r="DR136" s="22">
        <f t="shared" si="124"/>
        <v>1.8017017738191463E-12</v>
      </c>
      <c r="DS136" s="62">
        <f t="shared" si="125"/>
        <v>284.39223168033521</v>
      </c>
      <c r="DT136" s="62">
        <f ca="1">AVERAGE(OFFSET($DS$3,0,0,'Données projet'!$E$14+1,1))-AVERAGE(OFFSET($H$3,0,0,'Données projet'!$E$14+1,1))</f>
        <v>315.12428188060306</v>
      </c>
      <c r="DU136" s="62">
        <f t="shared" si="152"/>
        <v>186.08400677811986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-5.1159076974727213E-13</v>
      </c>
      <c r="EK136" s="18">
        <f>EJ136*VLOOKUP('Données projet'!$B$15,Paramètres!$A$1:$I$89,3,0)*VLOOKUP('Données projet'!$B$15,Paramètres!$A$1:$I$89,5,0)</f>
        <v>-5.3471467253984886E-13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530.77325763685963</v>
      </c>
      <c r="EP136" s="62">
        <f t="shared" si="154"/>
        <v>344.23100274990145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90.580021122303947</v>
      </c>
      <c r="T137" s="62">
        <f t="shared" si="142"/>
        <v>375.77399473907451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8.2617241398028902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5.1998604091804653E-17</v>
      </c>
      <c r="AC137" s="24">
        <f t="shared" si="111"/>
        <v>8.2617241398028902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87.3677313039193</v>
      </c>
      <c r="AO137" s="62">
        <f t="shared" si="144"/>
        <v>326.27342751542903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7.0577376551908433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7.0577376551908433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254.91239442958343</v>
      </c>
      <c r="BJ137" s="62">
        <f t="shared" si="146"/>
        <v>361.41009011468407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283.71719999999937</v>
      </c>
      <c r="CA137" s="14">
        <f t="shared" si="147"/>
        <v>67.751956122170526</v>
      </c>
      <c r="CB137" s="22">
        <f t="shared" si="118"/>
        <v>612.14211357944589</v>
      </c>
      <c r="CC137" s="62">
        <f t="shared" si="119"/>
        <v>896.68945338415017</v>
      </c>
      <c r="CD137" s="62">
        <f ca="1">AVERAGE(OFFSET($CC$3,0,0,'Données projet'!$E$12+1,1))-AVERAGE(OFFSET($H$3,0,0,'Données projet'!$E$12+1,1))</f>
        <v>516.30971934066179</v>
      </c>
      <c r="CE137" s="62">
        <f t="shared" si="148"/>
        <v>290.84286505723571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-1.7053025658242404E-13</v>
      </c>
      <c r="CU137" s="18">
        <f>CT137*VLOOKUP('Données projet'!$B$13,Paramètres!$A$1:$I$89,3,0)*VLOOKUP('Données projet'!$B$13,Paramètres!$A$1:$I$89,5,0)</f>
        <v>-1.4897523215040567E-13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226.76930997889059</v>
      </c>
      <c r="CZ137" s="62">
        <f t="shared" si="150"/>
        <v>236.36066378969329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6.1186256061773749E-14</v>
      </c>
      <c r="DQ137" s="14">
        <f t="shared" si="151"/>
        <v>9.7328366192051127E-13</v>
      </c>
      <c r="DR137" s="22">
        <f t="shared" si="124"/>
        <v>1.8017017738191463E-12</v>
      </c>
      <c r="DS137" s="62">
        <f t="shared" si="125"/>
        <v>284.5473398047061</v>
      </c>
      <c r="DT137" s="62">
        <f ca="1">AVERAGE(OFFSET($DS$3,0,0,'Données projet'!$E$14+1,1))-AVERAGE(OFFSET($H$3,0,0,'Données projet'!$E$14+1,1))</f>
        <v>315.12428188060306</v>
      </c>
      <c r="DU137" s="62">
        <f t="shared" si="152"/>
        <v>186.08400677811986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-5.1159076974727213E-13</v>
      </c>
      <c r="EK137" s="18">
        <f>EJ137*VLOOKUP('Données projet'!$B$15,Paramètres!$A$1:$I$89,3,0)*VLOOKUP('Données projet'!$B$15,Paramètres!$A$1:$I$89,5,0)</f>
        <v>-5.3471467253984886E-13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530.77325763685963</v>
      </c>
      <c r="EP137" s="62">
        <f t="shared" si="154"/>
        <v>344.23100274990145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90.580021122303947</v>
      </c>
      <c r="T138" s="62">
        <f t="shared" si="142"/>
        <v>375.77399473907451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8.0997167685755063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3.6768565565549627E-17</v>
      </c>
      <c r="AC138" s="24">
        <f t="shared" si="111"/>
        <v>8.0997167685755063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87.3677313039193</v>
      </c>
      <c r="AO138" s="62">
        <f t="shared" si="144"/>
        <v>326.27342751542903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6.9193397245674575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6.9193397245674575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254.91239442958343</v>
      </c>
      <c r="BJ138" s="62">
        <f t="shared" si="146"/>
        <v>361.41009011468407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286.45499999999936</v>
      </c>
      <c r="CA138" s="14">
        <f t="shared" si="147"/>
        <v>68.329321179865531</v>
      </c>
      <c r="CB138" s="22">
        <f t="shared" si="118"/>
        <v>617.91602605493142</v>
      </c>
      <c r="CC138" s="62">
        <f t="shared" si="119"/>
        <v>902.61578320481863</v>
      </c>
      <c r="CD138" s="62">
        <f ca="1">AVERAGE(OFFSET($CC$3,0,0,'Données projet'!$E$12+1,1))-AVERAGE(OFFSET($H$3,0,0,'Données projet'!$E$12+1,1))</f>
        <v>516.30971934066179</v>
      </c>
      <c r="CE138" s="62">
        <f t="shared" si="148"/>
        <v>290.84286505723571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-1.7053025658242404E-13</v>
      </c>
      <c r="CU138" s="18">
        <f>CT138*VLOOKUP('Données projet'!$B$13,Paramètres!$A$1:$I$89,3,0)*VLOOKUP('Données projet'!$B$13,Paramètres!$A$1:$I$89,5,0)</f>
        <v>-1.4897523215040567E-13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226.76930997889059</v>
      </c>
      <c r="CZ138" s="62">
        <f t="shared" si="150"/>
        <v>236.36066378969329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6.1186256061773749E-14</v>
      </c>
      <c r="DQ138" s="14">
        <f t="shared" si="151"/>
        <v>9.7328366192051127E-13</v>
      </c>
      <c r="DR138" s="22">
        <f t="shared" si="124"/>
        <v>1.8017017738191463E-12</v>
      </c>
      <c r="DS138" s="62">
        <f t="shared" si="125"/>
        <v>284.69975714988897</v>
      </c>
      <c r="DT138" s="62">
        <f ca="1">AVERAGE(OFFSET($DS$3,0,0,'Données projet'!$E$14+1,1))-AVERAGE(OFFSET($H$3,0,0,'Données projet'!$E$14+1,1))</f>
        <v>315.12428188060306</v>
      </c>
      <c r="DU138" s="62">
        <f t="shared" si="152"/>
        <v>186.08400677811986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-5.1159076974727213E-13</v>
      </c>
      <c r="EK138" s="18">
        <f>EJ138*VLOOKUP('Données projet'!$B$15,Paramètres!$A$1:$I$89,3,0)*VLOOKUP('Données projet'!$B$15,Paramètres!$A$1:$I$89,5,0)</f>
        <v>-5.3471467253984886E-13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530.77325763685963</v>
      </c>
      <c r="EP138" s="62">
        <f t="shared" si="154"/>
        <v>344.23100274990145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90.580021122303947</v>
      </c>
      <c r="T139" s="62">
        <f t="shared" si="142"/>
        <v>375.77399473907451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7.9408862630831516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2.5999302045902327E-17</v>
      </c>
      <c r="AC139" s="24">
        <f t="shared" si="111"/>
        <v>7.9408862630831516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87.3677313039193</v>
      </c>
      <c r="AO139" s="62">
        <f t="shared" si="144"/>
        <v>326.27342751542903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6.7836556929491936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6.7836556929491936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254.91239442958343</v>
      </c>
      <c r="BJ139" s="62">
        <f t="shared" si="146"/>
        <v>361.41009011468407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289.19279999999935</v>
      </c>
      <c r="CA139" s="14">
        <f t="shared" si="147"/>
        <v>68.906044268306161</v>
      </c>
      <c r="CB139" s="22">
        <f t="shared" si="118"/>
        <v>623.68882043396547</v>
      </c>
      <c r="CC139" s="62">
        <f t="shared" si="119"/>
        <v>908.53835082885075</v>
      </c>
      <c r="CD139" s="62">
        <f ca="1">AVERAGE(OFFSET($CC$3,0,0,'Données projet'!$E$12+1,1))-AVERAGE(OFFSET($H$3,0,0,'Données projet'!$E$12+1,1))</f>
        <v>516.30971934066179</v>
      </c>
      <c r="CE139" s="62">
        <f t="shared" si="148"/>
        <v>290.84286505723571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-1.7053025658242404E-13</v>
      </c>
      <c r="CU139" s="18">
        <f>CT139*VLOOKUP('Données projet'!$B$13,Paramètres!$A$1:$I$89,3,0)*VLOOKUP('Données projet'!$B$13,Paramètres!$A$1:$I$89,5,0)</f>
        <v>-1.4897523215040567E-13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226.76930997889059</v>
      </c>
      <c r="CZ139" s="62">
        <f t="shared" si="150"/>
        <v>236.36066378969329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6.1186256061773749E-14</v>
      </c>
      <c r="DQ139" s="14">
        <f t="shared" si="151"/>
        <v>9.7328366192051127E-13</v>
      </c>
      <c r="DR139" s="22">
        <f t="shared" si="124"/>
        <v>1.8017017738191463E-12</v>
      </c>
      <c r="DS139" s="62">
        <f t="shared" si="125"/>
        <v>284.84953039488704</v>
      </c>
      <c r="DT139" s="62">
        <f ca="1">AVERAGE(OFFSET($DS$3,0,0,'Données projet'!$E$14+1,1))-AVERAGE(OFFSET($H$3,0,0,'Données projet'!$E$14+1,1))</f>
        <v>315.12428188060306</v>
      </c>
      <c r="DU139" s="62">
        <f t="shared" si="152"/>
        <v>186.08400677811986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-5.1159076974727213E-13</v>
      </c>
      <c r="EK139" s="18">
        <f>EJ139*VLOOKUP('Données projet'!$B$15,Paramètres!$A$1:$I$89,3,0)*VLOOKUP('Données projet'!$B$15,Paramètres!$A$1:$I$89,5,0)</f>
        <v>-5.3471467253984886E-13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530.77325763685963</v>
      </c>
      <c r="EP139" s="62">
        <f t="shared" si="154"/>
        <v>344.23100274990145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90.580021122303947</v>
      </c>
      <c r="T140" s="62">
        <f t="shared" si="142"/>
        <v>375.77399473907451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7.7851703269264592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1.8384282782774814E-17</v>
      </c>
      <c r="AC140" s="24">
        <f t="shared" si="111"/>
        <v>7.7851703269264592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87.3677313039193</v>
      </c>
      <c r="AO140" s="62">
        <f t="shared" si="144"/>
        <v>326.27342751542903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6.6506323424318765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6.6506323424318765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254.91239442958343</v>
      </c>
      <c r="BJ140" s="62">
        <f t="shared" si="146"/>
        <v>361.41009011468407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291.93059999999929</v>
      </c>
      <c r="CA140" s="14">
        <f t="shared" si="147"/>
        <v>69.482132168934584</v>
      </c>
      <c r="CB140" s="22">
        <f t="shared" si="118"/>
        <v>629.4605085275598</v>
      </c>
      <c r="CC140" s="62">
        <f t="shared" si="119"/>
        <v>914.45721393648523</v>
      </c>
      <c r="CD140" s="62">
        <f ca="1">AVERAGE(OFFSET($CC$3,0,0,'Données projet'!$E$12+1,1))-AVERAGE(OFFSET($H$3,0,0,'Données projet'!$E$12+1,1))</f>
        <v>516.30971934066179</v>
      </c>
      <c r="CE140" s="62">
        <f t="shared" si="148"/>
        <v>290.84286505723571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-1.7053025658242404E-13</v>
      </c>
      <c r="CU140" s="18">
        <f>CT140*VLOOKUP('Données projet'!$B$13,Paramètres!$A$1:$I$89,3,0)*VLOOKUP('Données projet'!$B$13,Paramètres!$A$1:$I$89,5,0)</f>
        <v>-1.4897523215040567E-13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226.76930997889059</v>
      </c>
      <c r="CZ140" s="62">
        <f t="shared" si="150"/>
        <v>236.36066378969329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6.1186256061773749E-14</v>
      </c>
      <c r="DQ140" s="14">
        <f t="shared" si="151"/>
        <v>9.7328366192051127E-13</v>
      </c>
      <c r="DR140" s="22">
        <f t="shared" si="124"/>
        <v>1.8017017738191463E-12</v>
      </c>
      <c r="DS140" s="62">
        <f t="shared" si="125"/>
        <v>284.9967054089272</v>
      </c>
      <c r="DT140" s="62">
        <f ca="1">AVERAGE(OFFSET($DS$3,0,0,'Données projet'!$E$14+1,1))-AVERAGE(OFFSET($H$3,0,0,'Données projet'!$E$14+1,1))</f>
        <v>315.12428188060306</v>
      </c>
      <c r="DU140" s="62">
        <f t="shared" si="152"/>
        <v>186.08400677811986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-5.1159076974727213E-13</v>
      </c>
      <c r="EK140" s="18">
        <f>EJ140*VLOOKUP('Données projet'!$B$15,Paramètres!$A$1:$I$89,3,0)*VLOOKUP('Données projet'!$B$15,Paramètres!$A$1:$I$89,5,0)</f>
        <v>-5.3471467253984886E-13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530.77325763685963</v>
      </c>
      <c r="EP140" s="62">
        <f t="shared" si="154"/>
        <v>344.23100274990145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90.580021122303947</v>
      </c>
      <c r="T141" s="62">
        <f t="shared" si="142"/>
        <v>375.77399473907451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7.6325078853004564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1.2999651022951163E-17</v>
      </c>
      <c r="AC141" s="24">
        <f t="shared" si="111"/>
        <v>7.6325078853004564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87.3677313039193</v>
      </c>
      <c r="AO141" s="62">
        <f t="shared" si="144"/>
        <v>326.27342751542903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6.5202174986819719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6.5202174986819719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254.91239442958343</v>
      </c>
      <c r="BJ141" s="62">
        <f t="shared" si="146"/>
        <v>361.41009011468407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294.66839999999928</v>
      </c>
      <c r="CA141" s="14">
        <f t="shared" si="147"/>
        <v>70.057591528661433</v>
      </c>
      <c r="CB141" s="22">
        <f t="shared" si="118"/>
        <v>635.23110191241733</v>
      </c>
      <c r="CC141" s="62">
        <f t="shared" si="119"/>
        <v>920.37242917792332</v>
      </c>
      <c r="CD141" s="62">
        <f ca="1">AVERAGE(OFFSET($CC$3,0,0,'Données projet'!$E$12+1,1))-AVERAGE(OFFSET($H$3,0,0,'Données projet'!$E$12+1,1))</f>
        <v>516.30971934066179</v>
      </c>
      <c r="CE141" s="62">
        <f t="shared" si="148"/>
        <v>290.84286505723571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-1.7053025658242404E-13</v>
      </c>
      <c r="CU141" s="18">
        <f>CT141*VLOOKUP('Données projet'!$B$13,Paramètres!$A$1:$I$89,3,0)*VLOOKUP('Données projet'!$B$13,Paramètres!$A$1:$I$89,5,0)</f>
        <v>-1.4897523215040567E-13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226.76930997889059</v>
      </c>
      <c r="CZ141" s="62">
        <f t="shared" si="150"/>
        <v>236.36066378969329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6.1186256061773749E-14</v>
      </c>
      <c r="DQ141" s="14">
        <f t="shared" si="151"/>
        <v>9.7328366192051127E-13</v>
      </c>
      <c r="DR141" s="22">
        <f t="shared" si="124"/>
        <v>1.8017017738191463E-12</v>
      </c>
      <c r="DS141" s="62">
        <f t="shared" si="125"/>
        <v>285.14132726550775</v>
      </c>
      <c r="DT141" s="62">
        <f ca="1">AVERAGE(OFFSET($DS$3,0,0,'Données projet'!$E$14+1,1))-AVERAGE(OFFSET($H$3,0,0,'Données projet'!$E$14+1,1))</f>
        <v>315.12428188060306</v>
      </c>
      <c r="DU141" s="62">
        <f t="shared" si="152"/>
        <v>186.08400677811986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-5.1159076974727213E-13</v>
      </c>
      <c r="EK141" s="18">
        <f>EJ141*VLOOKUP('Données projet'!$B$15,Paramètres!$A$1:$I$89,3,0)*VLOOKUP('Données projet'!$B$15,Paramètres!$A$1:$I$89,5,0)</f>
        <v>-5.3471467253984886E-13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530.77325763685963</v>
      </c>
      <c r="EP141" s="62">
        <f t="shared" si="154"/>
        <v>344.23100274990145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90.580021122303947</v>
      </c>
      <c r="T142" s="62">
        <f t="shared" si="142"/>
        <v>375.77399473907451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7.4828390610398445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9.1921413913874068E-18</v>
      </c>
      <c r="AC142" s="24">
        <f t="shared" si="111"/>
        <v>7.4828390610398445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87.3677313039193</v>
      </c>
      <c r="AO142" s="62">
        <f t="shared" si="144"/>
        <v>326.27342751542903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6.3923600104728022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6.3923600104728022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254.91239442958343</v>
      </c>
      <c r="BJ142" s="62">
        <f t="shared" si="146"/>
        <v>361.41009011468407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297.40619999999927</v>
      </c>
      <c r="CA142" s="14">
        <f t="shared" si="147"/>
        <v>70.632428863759543</v>
      </c>
      <c r="CB142" s="22">
        <f t="shared" si="118"/>
        <v>641.0006119377133</v>
      </c>
      <c r="CC142" s="62">
        <f t="shared" si="119"/>
        <v>926.28405219391425</v>
      </c>
      <c r="CD142" s="62">
        <f ca="1">AVERAGE(OFFSET($CC$3,0,0,'Données projet'!$E$12+1,1))-AVERAGE(OFFSET($H$3,0,0,'Données projet'!$E$12+1,1))</f>
        <v>516.30971934066179</v>
      </c>
      <c r="CE142" s="62">
        <f t="shared" si="148"/>
        <v>290.84286505723571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-1.7053025658242404E-13</v>
      </c>
      <c r="CU142" s="18">
        <f>CT142*VLOOKUP('Données projet'!$B$13,Paramètres!$A$1:$I$89,3,0)*VLOOKUP('Données projet'!$B$13,Paramètres!$A$1:$I$89,5,0)</f>
        <v>-1.4897523215040567E-13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226.76930997889059</v>
      </c>
      <c r="CZ142" s="62">
        <f t="shared" si="150"/>
        <v>236.36066378969329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6.1186256061773749E-14</v>
      </c>
      <c r="DQ142" s="14">
        <f t="shared" si="151"/>
        <v>9.7328366192051127E-13</v>
      </c>
      <c r="DR142" s="22">
        <f t="shared" si="124"/>
        <v>1.8017017738191463E-12</v>
      </c>
      <c r="DS142" s="62">
        <f t="shared" si="125"/>
        <v>285.28344025620271</v>
      </c>
      <c r="DT142" s="62">
        <f ca="1">AVERAGE(OFFSET($DS$3,0,0,'Données projet'!$E$14+1,1))-AVERAGE(OFFSET($H$3,0,0,'Données projet'!$E$14+1,1))</f>
        <v>315.12428188060306</v>
      </c>
      <c r="DU142" s="62">
        <f t="shared" si="152"/>
        <v>186.08400677811986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-5.1159076974727213E-13</v>
      </c>
      <c r="EK142" s="18">
        <f>EJ142*VLOOKUP('Données projet'!$B$15,Paramètres!$A$1:$I$89,3,0)*VLOOKUP('Données projet'!$B$15,Paramètres!$A$1:$I$89,5,0)</f>
        <v>-5.3471467253984886E-13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530.77325763685963</v>
      </c>
      <c r="EP142" s="62">
        <f t="shared" si="154"/>
        <v>344.23100274990145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90.580021122303947</v>
      </c>
      <c r="T143" s="62">
        <f t="shared" si="142"/>
        <v>375.77399473907451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7.3361051511340145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6.4998255114755817E-18</v>
      </c>
      <c r="AC143" s="24">
        <f t="shared" si="111"/>
        <v>7.3361051511340145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87.3677313039193</v>
      </c>
      <c r="AO143" s="62">
        <f t="shared" si="144"/>
        <v>326.27342751542903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6.2670097296220471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6.2670097296220471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254.91239442958343</v>
      </c>
      <c r="BJ143" s="62">
        <f t="shared" si="146"/>
        <v>361.41009011468407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300.14399999999927</v>
      </c>
      <c r="CA143" s="14">
        <f t="shared" si="147"/>
        <v>71.206650563609728</v>
      </c>
      <c r="CB143" s="22">
        <f t="shared" si="118"/>
        <v>646.76904973161891</v>
      </c>
      <c r="CC143" s="62">
        <f t="shared" si="119"/>
        <v>932.19213763584321</v>
      </c>
      <c r="CD143" s="62">
        <f ca="1">AVERAGE(OFFSET($CC$3,0,0,'Données projet'!$E$12+1,1))-AVERAGE(OFFSET($H$3,0,0,'Données projet'!$E$12+1,1))</f>
        <v>516.30971934066179</v>
      </c>
      <c r="CE143" s="62">
        <f t="shared" si="148"/>
        <v>290.84286505723571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-1.7053025658242404E-13</v>
      </c>
      <c r="CU143" s="18">
        <f>CT143*VLOOKUP('Données projet'!$B$13,Paramètres!$A$1:$I$89,3,0)*VLOOKUP('Données projet'!$B$13,Paramètres!$A$1:$I$89,5,0)</f>
        <v>-1.4897523215040567E-13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226.76930997889059</v>
      </c>
      <c r="CZ143" s="62">
        <f t="shared" si="150"/>
        <v>236.36066378969329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6.1186256061773749E-14</v>
      </c>
      <c r="DQ143" s="14">
        <f t="shared" si="151"/>
        <v>9.7328366192051127E-13</v>
      </c>
      <c r="DR143" s="22">
        <f t="shared" si="124"/>
        <v>1.8017017738191463E-12</v>
      </c>
      <c r="DS143" s="62">
        <f t="shared" si="125"/>
        <v>285.42308790422618</v>
      </c>
      <c r="DT143" s="62">
        <f ca="1">AVERAGE(OFFSET($DS$3,0,0,'Données projet'!$E$14+1,1))-AVERAGE(OFFSET($H$3,0,0,'Données projet'!$E$14+1,1))</f>
        <v>315.12428188060306</v>
      </c>
      <c r="DU143" s="62">
        <f t="shared" si="152"/>
        <v>186.08400677811986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-5.1159076974727213E-13</v>
      </c>
      <c r="EK143" s="18">
        <f>EJ143*VLOOKUP('Données projet'!$B$15,Paramètres!$A$1:$I$89,3,0)*VLOOKUP('Données projet'!$B$15,Paramètres!$A$1:$I$89,5,0)</f>
        <v>-5.3471467253984886E-13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530.77325763685963</v>
      </c>
      <c r="EP143" s="62">
        <f t="shared" si="154"/>
        <v>344.23100274990145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90.580021122303947</v>
      </c>
      <c r="T144" s="62">
        <f t="shared" si="142"/>
        <v>375.77399473907451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7.1922486037025903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4.5960706956937034E-18</v>
      </c>
      <c r="AC144" s="24">
        <f t="shared" si="111"/>
        <v>7.1922486037025903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87.3677313039193</v>
      </c>
      <c r="AO144" s="62">
        <f t="shared" si="144"/>
        <v>326.27342751542903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6.1441174913226533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6.1441174913226533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254.91239442958343</v>
      </c>
      <c r="BJ144" s="62">
        <f t="shared" si="146"/>
        <v>361.41009011468407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275.19959999999924</v>
      </c>
      <c r="CA144" s="14">
        <f t="shared" si="147"/>
        <v>65.951527620662489</v>
      </c>
      <c r="CB144" s="22">
        <f t="shared" si="118"/>
        <v>594.17154727265245</v>
      </c>
      <c r="CC144" s="62">
        <f t="shared" si="119"/>
        <v>879.73186025041241</v>
      </c>
      <c r="CD144" s="62">
        <f ca="1">AVERAGE(OFFSET($CC$3,0,0,'Données projet'!$E$12+1,1))-AVERAGE(OFFSET($H$3,0,0,'Données projet'!$E$12+1,1))</f>
        <v>516.30971934066179</v>
      </c>
      <c r="CE144" s="62">
        <f t="shared" si="148"/>
        <v>290.84286505723571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-1.7053025658242404E-13</v>
      </c>
      <c r="CU144" s="18">
        <f>CT144*VLOOKUP('Données projet'!$B$13,Paramètres!$A$1:$I$89,3,0)*VLOOKUP('Données projet'!$B$13,Paramètres!$A$1:$I$89,5,0)</f>
        <v>-1.4897523215040567E-13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226.76930997889059</v>
      </c>
      <c r="CZ144" s="62">
        <f t="shared" si="150"/>
        <v>236.36066378969329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6.1186256061773749E-14</v>
      </c>
      <c r="DQ144" s="14">
        <f t="shared" si="151"/>
        <v>9.7328366192051127E-13</v>
      </c>
      <c r="DR144" s="22">
        <f t="shared" si="124"/>
        <v>1.8017017738191463E-12</v>
      </c>
      <c r="DS144" s="62">
        <f t="shared" si="125"/>
        <v>285.56031297776184</v>
      </c>
      <c r="DT144" s="62">
        <f ca="1">AVERAGE(OFFSET($DS$3,0,0,'Données projet'!$E$14+1,1))-AVERAGE(OFFSET($H$3,0,0,'Données projet'!$E$14+1,1))</f>
        <v>315.12428188060306</v>
      </c>
      <c r="DU144" s="62">
        <f t="shared" si="152"/>
        <v>186.08400677811986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-5.1159076974727213E-13</v>
      </c>
      <c r="EK144" s="18">
        <f>EJ144*VLOOKUP('Données projet'!$B$15,Paramètres!$A$1:$I$89,3,0)*VLOOKUP('Données projet'!$B$15,Paramètres!$A$1:$I$89,5,0)</f>
        <v>-5.3471467253984886E-13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530.77325763685963</v>
      </c>
      <c r="EP144" s="62">
        <f t="shared" si="154"/>
        <v>344.23100274990145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90.580021122303947</v>
      </c>
      <c r="T145" s="62">
        <f t="shared" si="142"/>
        <v>375.77399473907451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7.0512129954224667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3.2499127557377908E-18</v>
      </c>
      <c r="AC145" s="24">
        <f t="shared" si="111"/>
        <v>7.0512129954224667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87.3677313039193</v>
      </c>
      <c r="AO145" s="62">
        <f t="shared" si="144"/>
        <v>326.27342751542903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6.023635094859447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6.023635094859447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254.91239442958343</v>
      </c>
      <c r="BJ145" s="62">
        <f t="shared" si="146"/>
        <v>361.41009011468407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277.63319999999919</v>
      </c>
      <c r="CA145" s="14">
        <f t="shared" si="147"/>
        <v>66.466589162975524</v>
      </c>
      <c r="CB145" s="22">
        <f t="shared" si="118"/>
        <v>599.30713279218094</v>
      </c>
      <c r="CC145" s="62">
        <f t="shared" si="119"/>
        <v>885.00229029524007</v>
      </c>
      <c r="CD145" s="62">
        <f ca="1">AVERAGE(OFFSET($CC$3,0,0,'Données projet'!$E$12+1,1))-AVERAGE(OFFSET($H$3,0,0,'Données projet'!$E$12+1,1))</f>
        <v>516.30971934066179</v>
      </c>
      <c r="CE145" s="62">
        <f t="shared" si="148"/>
        <v>290.84286505723571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-1.7053025658242404E-13</v>
      </c>
      <c r="CU145" s="18">
        <f>CT145*VLOOKUP('Données projet'!$B$13,Paramètres!$A$1:$I$89,3,0)*VLOOKUP('Données projet'!$B$13,Paramètres!$A$1:$I$89,5,0)</f>
        <v>-1.4897523215040567E-13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226.76930997889059</v>
      </c>
      <c r="CZ145" s="62">
        <f t="shared" si="150"/>
        <v>236.36066378969329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6.1186256061773749E-14</v>
      </c>
      <c r="DQ145" s="14">
        <f t="shared" si="151"/>
        <v>9.7328366192051127E-13</v>
      </c>
      <c r="DR145" s="22">
        <f t="shared" si="124"/>
        <v>1.8017017738191463E-12</v>
      </c>
      <c r="DS145" s="62">
        <f t="shared" si="125"/>
        <v>285.6951575030609</v>
      </c>
      <c r="DT145" s="62">
        <f ca="1">AVERAGE(OFFSET($DS$3,0,0,'Données projet'!$E$14+1,1))-AVERAGE(OFFSET($H$3,0,0,'Données projet'!$E$14+1,1))</f>
        <v>315.12428188060306</v>
      </c>
      <c r="DU145" s="62">
        <f t="shared" si="152"/>
        <v>186.08400677811986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-5.1159076974727213E-13</v>
      </c>
      <c r="EK145" s="18">
        <f>EJ145*VLOOKUP('Données projet'!$B$15,Paramètres!$A$1:$I$89,3,0)*VLOOKUP('Données projet'!$B$15,Paramètres!$A$1:$I$89,5,0)</f>
        <v>-5.3471467253984886E-13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530.77325763685963</v>
      </c>
      <c r="EP145" s="62">
        <f t="shared" si="154"/>
        <v>344.23100274990145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90.580021122303947</v>
      </c>
      <c r="T146" s="62">
        <f t="shared" si="142"/>
        <v>375.77399473907451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6.9129430093974893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2.2980353478468517E-18</v>
      </c>
      <c r="AC146" s="24">
        <f t="shared" si="111"/>
        <v>6.9129430093974893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87.3677313039193</v>
      </c>
      <c r="AO146" s="62">
        <f t="shared" si="144"/>
        <v>326.27342751542903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5.9055152847038785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5.9055152847038785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254.91239442958343</v>
      </c>
      <c r="BJ146" s="62">
        <f t="shared" si="146"/>
        <v>361.41009011468407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280.0667999999992</v>
      </c>
      <c r="CA146" s="14">
        <f t="shared" si="147"/>
        <v>66.981125445388756</v>
      </c>
      <c r="CB146" s="22">
        <f t="shared" si="118"/>
        <v>604.44180348405064</v>
      </c>
      <c r="CC146" s="62">
        <f t="shared" si="119"/>
        <v>890.26946626136214</v>
      </c>
      <c r="CD146" s="62">
        <f ca="1">AVERAGE(OFFSET($CC$3,0,0,'Données projet'!$E$12+1,1))-AVERAGE(OFFSET($H$3,0,0,'Données projet'!$E$12+1,1))</f>
        <v>516.30971934066179</v>
      </c>
      <c r="CE146" s="62">
        <f t="shared" si="148"/>
        <v>290.84286505723571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-1.7053025658242404E-13</v>
      </c>
      <c r="CU146" s="18">
        <f>CT146*VLOOKUP('Données projet'!$B$13,Paramètres!$A$1:$I$89,3,0)*VLOOKUP('Données projet'!$B$13,Paramètres!$A$1:$I$89,5,0)</f>
        <v>-1.4897523215040567E-13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226.76930997889059</v>
      </c>
      <c r="CZ146" s="62">
        <f t="shared" si="150"/>
        <v>236.36066378969329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6.1186256061773749E-14</v>
      </c>
      <c r="DQ146" s="14">
        <f t="shared" si="151"/>
        <v>9.7328366192051127E-13</v>
      </c>
      <c r="DR146" s="22">
        <f t="shared" si="124"/>
        <v>1.8017017738191463E-12</v>
      </c>
      <c r="DS146" s="62">
        <f t="shared" si="125"/>
        <v>285.82766277731326</v>
      </c>
      <c r="DT146" s="62">
        <f ca="1">AVERAGE(OFFSET($DS$3,0,0,'Données projet'!$E$14+1,1))-AVERAGE(OFFSET($H$3,0,0,'Données projet'!$E$14+1,1))</f>
        <v>315.12428188060306</v>
      </c>
      <c r="DU146" s="62">
        <f t="shared" si="152"/>
        <v>186.08400677811986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-5.1159076974727213E-13</v>
      </c>
      <c r="EK146" s="18">
        <f>EJ146*VLOOKUP('Données projet'!$B$15,Paramètres!$A$1:$I$89,3,0)*VLOOKUP('Données projet'!$B$15,Paramètres!$A$1:$I$89,5,0)</f>
        <v>-5.3471467253984886E-13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530.77325763685963</v>
      </c>
      <c r="EP146" s="62">
        <f t="shared" si="154"/>
        <v>344.23100274990145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90.580021122303947</v>
      </c>
      <c r="T147" s="62">
        <f t="shared" si="142"/>
        <v>375.77399473907451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6.777384413462098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1.6249563778688954E-18</v>
      </c>
      <c r="AC147" s="24">
        <f t="shared" si="111"/>
        <v>6.777384413462098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87.3677313039193</v>
      </c>
      <c r="AO147" s="62">
        <f t="shared" si="144"/>
        <v>326.27342751542903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5.78971173197949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5.78971173197949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254.91239442958343</v>
      </c>
      <c r="BJ147" s="62">
        <f t="shared" si="146"/>
        <v>361.41009011468407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282.50039999999916</v>
      </c>
      <c r="CA147" s="14">
        <f t="shared" si="147"/>
        <v>67.495141560894254</v>
      </c>
      <c r="CB147" s="22">
        <f t="shared" si="118"/>
        <v>609.57556821855599</v>
      </c>
      <c r="CC147" s="62">
        <f t="shared" si="119"/>
        <v>895.53343759984887</v>
      </c>
      <c r="CD147" s="62">
        <f ca="1">AVERAGE(OFFSET($CC$3,0,0,'Données projet'!$E$12+1,1))-AVERAGE(OFFSET($H$3,0,0,'Données projet'!$E$12+1,1))</f>
        <v>516.30971934066179</v>
      </c>
      <c r="CE147" s="62">
        <f t="shared" si="148"/>
        <v>290.84286505723571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-1.7053025658242404E-13</v>
      </c>
      <c r="CU147" s="18">
        <f>CT147*VLOOKUP('Données projet'!$B$13,Paramètres!$A$1:$I$89,3,0)*VLOOKUP('Données projet'!$B$13,Paramètres!$A$1:$I$89,5,0)</f>
        <v>-1.4897523215040567E-13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226.76930997889059</v>
      </c>
      <c r="CZ147" s="62">
        <f t="shared" si="150"/>
        <v>236.36066378969329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6.1186256061773749E-14</v>
      </c>
      <c r="DQ147" s="14">
        <f t="shared" si="151"/>
        <v>9.7328366192051127E-13</v>
      </c>
      <c r="DR147" s="22">
        <f t="shared" si="124"/>
        <v>1.8017017738191463E-12</v>
      </c>
      <c r="DS147" s="62">
        <f t="shared" si="125"/>
        <v>285.9578693812947</v>
      </c>
      <c r="DT147" s="62">
        <f ca="1">AVERAGE(OFFSET($DS$3,0,0,'Données projet'!$E$14+1,1))-AVERAGE(OFFSET($H$3,0,0,'Données projet'!$E$14+1,1))</f>
        <v>315.12428188060306</v>
      </c>
      <c r="DU147" s="62">
        <f t="shared" si="152"/>
        <v>186.08400677811986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-5.1159076974727213E-13</v>
      </c>
      <c r="EK147" s="18">
        <f>EJ147*VLOOKUP('Données projet'!$B$15,Paramètres!$A$1:$I$89,3,0)*VLOOKUP('Données projet'!$B$15,Paramètres!$A$1:$I$89,5,0)</f>
        <v>-5.3471467253984886E-13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530.77325763685963</v>
      </c>
      <c r="EP147" s="62">
        <f t="shared" si="154"/>
        <v>344.23100274990145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90.580021122303947</v>
      </c>
      <c r="T148" s="62">
        <f t="shared" si="142"/>
        <v>375.77399473907451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6.6444840389104201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1.1490176739234259E-18</v>
      </c>
      <c r="AC148" s="24">
        <f t="shared" si="111"/>
        <v>6.6444840389104201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87.3677313039193</v>
      </c>
      <c r="AO148" s="62">
        <f t="shared" si="144"/>
        <v>326.27342751542903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5.6761790162908339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5.6761790162908339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254.91239442958343</v>
      </c>
      <c r="BJ148" s="62">
        <f t="shared" si="146"/>
        <v>361.41009011468407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284.93399999999917</v>
      </c>
      <c r="CA148" s="14">
        <f t="shared" si="147"/>
        <v>68.008642509673109</v>
      </c>
      <c r="CB148" s="22">
        <f t="shared" si="118"/>
        <v>614.7084357043459</v>
      </c>
      <c r="CC148" s="62">
        <f t="shared" si="119"/>
        <v>900.79425289613948</v>
      </c>
      <c r="CD148" s="62">
        <f ca="1">AVERAGE(OFFSET($CC$3,0,0,'Données projet'!$E$12+1,1))-AVERAGE(OFFSET($H$3,0,0,'Données projet'!$E$12+1,1))</f>
        <v>516.30971934066179</v>
      </c>
      <c r="CE148" s="62">
        <f t="shared" si="148"/>
        <v>290.84286505723571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-1.7053025658242404E-13</v>
      </c>
      <c r="CU148" s="18">
        <f>CT148*VLOOKUP('Données projet'!$B$13,Paramètres!$A$1:$I$89,3,0)*VLOOKUP('Données projet'!$B$13,Paramètres!$A$1:$I$89,5,0)</f>
        <v>-1.4897523215040567E-13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226.76930997889059</v>
      </c>
      <c r="CZ148" s="62">
        <f t="shared" si="150"/>
        <v>236.36066378969329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6.1186256061773749E-14</v>
      </c>
      <c r="DQ148" s="14">
        <f t="shared" si="151"/>
        <v>9.7328366192051127E-13</v>
      </c>
      <c r="DR148" s="22">
        <f t="shared" si="124"/>
        <v>1.8017017738191463E-12</v>
      </c>
      <c r="DS148" s="62">
        <f t="shared" si="125"/>
        <v>286.0858171917954</v>
      </c>
      <c r="DT148" s="62">
        <f ca="1">AVERAGE(OFFSET($DS$3,0,0,'Données projet'!$E$14+1,1))-AVERAGE(OFFSET($H$3,0,0,'Données projet'!$E$14+1,1))</f>
        <v>315.12428188060306</v>
      </c>
      <c r="DU148" s="62">
        <f t="shared" si="152"/>
        <v>186.08400677811986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-5.1159076974727213E-13</v>
      </c>
      <c r="EK148" s="18">
        <f>EJ148*VLOOKUP('Données projet'!$B$15,Paramètres!$A$1:$I$89,3,0)*VLOOKUP('Données projet'!$B$15,Paramètres!$A$1:$I$89,5,0)</f>
        <v>-5.3471467253984886E-13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530.77325763685963</v>
      </c>
      <c r="EP148" s="62">
        <f t="shared" si="154"/>
        <v>344.23100274990145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90.580021122303947</v>
      </c>
      <c r="T149" s="62">
        <f t="shared" si="142"/>
        <v>375.77399473907451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6.514189759642476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8.1247818893444771E-19</v>
      </c>
      <c r="AC149" s="24">
        <f t="shared" si="111"/>
        <v>6.514189759642476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87.3677313039193</v>
      </c>
      <c r="AO149" s="62">
        <f t="shared" si="144"/>
        <v>326.27342751542903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5.5648726079087139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5.5648726079087139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254.91239442958343</v>
      </c>
      <c r="BJ149" s="62">
        <f t="shared" si="146"/>
        <v>361.41009011468407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287.36759999999913</v>
      </c>
      <c r="CA149" s="14">
        <f t="shared" si="147"/>
        <v>68.521633201564995</v>
      </c>
      <c r="CB149" s="22">
        <f t="shared" si="118"/>
        <v>619.84041449272411</v>
      </c>
      <c r="CC149" s="62">
        <f t="shared" si="119"/>
        <v>906.05195988655476</v>
      </c>
      <c r="CD149" s="62">
        <f ca="1">AVERAGE(OFFSET($CC$3,0,0,'Données projet'!$E$12+1,1))-AVERAGE(OFFSET($H$3,0,0,'Données projet'!$E$12+1,1))</f>
        <v>516.30971934066179</v>
      </c>
      <c r="CE149" s="62">
        <f t="shared" si="148"/>
        <v>290.84286505723571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-1.7053025658242404E-13</v>
      </c>
      <c r="CU149" s="18">
        <f>CT149*VLOOKUP('Données projet'!$B$13,Paramètres!$A$1:$I$89,3,0)*VLOOKUP('Données projet'!$B$13,Paramètres!$A$1:$I$89,5,0)</f>
        <v>-1.4897523215040567E-13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226.76930997889059</v>
      </c>
      <c r="CZ149" s="62">
        <f t="shared" si="150"/>
        <v>236.36066378969329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6.1186256061773749E-14</v>
      </c>
      <c r="DQ149" s="14">
        <f t="shared" si="151"/>
        <v>9.7328366192051127E-13</v>
      </c>
      <c r="DR149" s="22">
        <f t="shared" si="124"/>
        <v>1.8017017738191463E-12</v>
      </c>
      <c r="DS149" s="62">
        <f t="shared" si="125"/>
        <v>286.21154539383247</v>
      </c>
      <c r="DT149" s="62">
        <f ca="1">AVERAGE(OFFSET($DS$3,0,0,'Données projet'!$E$14+1,1))-AVERAGE(OFFSET($H$3,0,0,'Données projet'!$E$14+1,1))</f>
        <v>315.12428188060306</v>
      </c>
      <c r="DU149" s="62">
        <f t="shared" si="152"/>
        <v>186.08400677811986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-5.1159076974727213E-13</v>
      </c>
      <c r="EK149" s="18">
        <f>EJ149*VLOOKUP('Données projet'!$B$15,Paramètres!$A$1:$I$89,3,0)*VLOOKUP('Données projet'!$B$15,Paramètres!$A$1:$I$89,5,0)</f>
        <v>-5.3471467253984886E-13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530.77325763685963</v>
      </c>
      <c r="EP149" s="62">
        <f t="shared" si="154"/>
        <v>344.23100274990145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90.580021122303947</v>
      </c>
      <c r="T150" s="62">
        <f t="shared" si="142"/>
        <v>375.77399473907451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6.3864504717193133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5.7450883696171293E-19</v>
      </c>
      <c r="AC150" s="24">
        <f t="shared" si="111"/>
        <v>6.3864504717193133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87.3677313039193</v>
      </c>
      <c r="AO150" s="62">
        <f t="shared" si="144"/>
        <v>326.27342751542903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5.4557488503047615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5.4557488503047615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254.91239442958343</v>
      </c>
      <c r="BJ150" s="62">
        <f t="shared" si="146"/>
        <v>361.41009011468407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289.80119999999908</v>
      </c>
      <c r="CA150" s="14">
        <f t="shared" si="147"/>
        <v>69.034118458450664</v>
      </c>
      <c r="CB150" s="22">
        <f t="shared" si="118"/>
        <v>624.97151298179995</v>
      </c>
      <c r="CC150" s="62">
        <f t="shared" si="119"/>
        <v>911.30660547444836</v>
      </c>
      <c r="CD150" s="62">
        <f ca="1">AVERAGE(OFFSET($CC$3,0,0,'Données projet'!$E$12+1,1))-AVERAGE(OFFSET($H$3,0,0,'Données projet'!$E$12+1,1))</f>
        <v>516.30971934066179</v>
      </c>
      <c r="CE150" s="62">
        <f t="shared" si="148"/>
        <v>290.84286505723571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-1.7053025658242404E-13</v>
      </c>
      <c r="CU150" s="18">
        <f>CT150*VLOOKUP('Données projet'!$B$13,Paramètres!$A$1:$I$89,3,0)*VLOOKUP('Données projet'!$B$13,Paramètres!$A$1:$I$89,5,0)</f>
        <v>-1.4897523215040567E-13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226.76930997889059</v>
      </c>
      <c r="CZ150" s="62">
        <f t="shared" si="150"/>
        <v>236.36066378969329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6.1186256061773749E-14</v>
      </c>
      <c r="DQ150" s="14">
        <f t="shared" si="151"/>
        <v>9.7328366192051127E-13</v>
      </c>
      <c r="DR150" s="22">
        <f t="shared" si="124"/>
        <v>1.8017017738191463E-12</v>
      </c>
      <c r="DS150" s="62">
        <f t="shared" si="125"/>
        <v>286.33509249265023</v>
      </c>
      <c r="DT150" s="62">
        <f ca="1">AVERAGE(OFFSET($DS$3,0,0,'Données projet'!$E$14+1,1))-AVERAGE(OFFSET($H$3,0,0,'Données projet'!$E$14+1,1))</f>
        <v>315.12428188060306</v>
      </c>
      <c r="DU150" s="62">
        <f t="shared" si="152"/>
        <v>186.08400677811986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-5.1159076974727213E-13</v>
      </c>
      <c r="EK150" s="18">
        <f>EJ150*VLOOKUP('Données projet'!$B$15,Paramètres!$A$1:$I$89,3,0)*VLOOKUP('Données projet'!$B$15,Paramètres!$A$1:$I$89,5,0)</f>
        <v>-5.3471467253984886E-13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530.77325763685963</v>
      </c>
      <c r="EP150" s="62">
        <f t="shared" si="154"/>
        <v>344.23100274990145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90.580021122303947</v>
      </c>
      <c r="T151" s="62">
        <f t="shared" si="142"/>
        <v>375.77399473907451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6.2612160733190514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4.0623909446722386E-19</v>
      </c>
      <c r="AC151" s="24">
        <f t="shared" si="111"/>
        <v>6.2612160733190514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87.3677313039193</v>
      </c>
      <c r="AO151" s="62">
        <f t="shared" si="144"/>
        <v>326.27342751542903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5.3487649430285025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5.3487649430285025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254.91239442958343</v>
      </c>
      <c r="BJ151" s="62">
        <f t="shared" si="146"/>
        <v>361.41009011468407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292.2347999999991</v>
      </c>
      <c r="CA151" s="14">
        <f t="shared" si="147"/>
        <v>69.546103016553573</v>
      </c>
      <c r="CB151" s="22">
        <f t="shared" si="118"/>
        <v>630.10173942049585</v>
      </c>
      <c r="CC151" s="62">
        <f t="shared" si="119"/>
        <v>916.55823574600754</v>
      </c>
      <c r="CD151" s="62">
        <f ca="1">AVERAGE(OFFSET($CC$3,0,0,'Données projet'!$E$12+1,1))-AVERAGE(OFFSET($H$3,0,0,'Données projet'!$E$12+1,1))</f>
        <v>516.30971934066179</v>
      </c>
      <c r="CE151" s="62">
        <f t="shared" si="148"/>
        <v>290.84286505723571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-1.7053025658242404E-13</v>
      </c>
      <c r="CU151" s="18">
        <f>CT151*VLOOKUP('Données projet'!$B$13,Paramètres!$A$1:$I$89,3,0)*VLOOKUP('Données projet'!$B$13,Paramètres!$A$1:$I$89,5,0)</f>
        <v>-1.4897523215040567E-13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226.76930997889059</v>
      </c>
      <c r="CZ151" s="62">
        <f t="shared" si="150"/>
        <v>236.36066378969329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6.1186256061773749E-14</v>
      </c>
      <c r="DQ151" s="14">
        <f t="shared" si="151"/>
        <v>9.7328366192051127E-13</v>
      </c>
      <c r="DR151" s="22">
        <f t="shared" si="124"/>
        <v>1.8017017738191463E-12</v>
      </c>
      <c r="DS151" s="62">
        <f t="shared" si="125"/>
        <v>286.45649632551351</v>
      </c>
      <c r="DT151" s="62">
        <f ca="1">AVERAGE(OFFSET($DS$3,0,0,'Données projet'!$E$14+1,1))-AVERAGE(OFFSET($H$3,0,0,'Données projet'!$E$14+1,1))</f>
        <v>315.12428188060306</v>
      </c>
      <c r="DU151" s="62">
        <f t="shared" si="152"/>
        <v>186.08400677811986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-5.1159076974727213E-13</v>
      </c>
      <c r="EK151" s="18">
        <f>EJ151*VLOOKUP('Données projet'!$B$15,Paramètres!$A$1:$I$89,3,0)*VLOOKUP('Données projet'!$B$15,Paramètres!$A$1:$I$89,5,0)</f>
        <v>-5.3471467253984886E-13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530.77325763685963</v>
      </c>
      <c r="EP151" s="62">
        <f t="shared" si="154"/>
        <v>344.23100274990145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90.580021122303947</v>
      </c>
      <c r="T152" s="62">
        <f t="shared" si="142"/>
        <v>375.77399473907451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6.1384374450859784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2.8725441848085646E-19</v>
      </c>
      <c r="AC152" s="24">
        <f t="shared" si="111"/>
        <v>6.1384374450859784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87.3677313039193</v>
      </c>
      <c r="AO152" s="62">
        <f t="shared" si="144"/>
        <v>326.27342751542903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5.2438789249201907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5.2438789249201907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254.91239442958343</v>
      </c>
      <c r="BJ152" s="62">
        <f t="shared" si="146"/>
        <v>361.41009011468407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294.66839999999905</v>
      </c>
      <c r="CA152" s="14">
        <f t="shared" si="147"/>
        <v>70.057591528661362</v>
      </c>
      <c r="CB152" s="22">
        <f t="shared" si="118"/>
        <v>635.23110191241688</v>
      </c>
      <c r="CC152" s="62">
        <f t="shared" si="119"/>
        <v>921.80689598570996</v>
      </c>
      <c r="CD152" s="62">
        <f ca="1">AVERAGE(OFFSET($CC$3,0,0,'Données projet'!$E$12+1,1))-AVERAGE(OFFSET($H$3,0,0,'Données projet'!$E$12+1,1))</f>
        <v>516.30971934066179</v>
      </c>
      <c r="CE152" s="62">
        <f t="shared" si="148"/>
        <v>290.84286505723571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-1.7053025658242404E-13</v>
      </c>
      <c r="CU152" s="18">
        <f>CT152*VLOOKUP('Données projet'!$B$13,Paramètres!$A$1:$I$89,3,0)*VLOOKUP('Données projet'!$B$13,Paramètres!$A$1:$I$89,5,0)</f>
        <v>-1.4897523215040567E-13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226.76930997889059</v>
      </c>
      <c r="CZ152" s="62">
        <f t="shared" si="150"/>
        <v>236.36066378969329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6.1186256061773749E-14</v>
      </c>
      <c r="DQ152" s="14">
        <f t="shared" si="151"/>
        <v>9.7328366192051127E-13</v>
      </c>
      <c r="DR152" s="22">
        <f t="shared" si="124"/>
        <v>1.8017017738191463E-12</v>
      </c>
      <c r="DS152" s="62">
        <f t="shared" si="125"/>
        <v>286.5757940732949</v>
      </c>
      <c r="DT152" s="62">
        <f ca="1">AVERAGE(OFFSET($DS$3,0,0,'Données projet'!$E$14+1,1))-AVERAGE(OFFSET($H$3,0,0,'Données projet'!$E$14+1,1))</f>
        <v>315.12428188060306</v>
      </c>
      <c r="DU152" s="62">
        <f t="shared" si="152"/>
        <v>186.08400677811986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-5.1159076974727213E-13</v>
      </c>
      <c r="EK152" s="18">
        <f>EJ152*VLOOKUP('Données projet'!$B$15,Paramètres!$A$1:$I$89,3,0)*VLOOKUP('Données projet'!$B$15,Paramètres!$A$1:$I$89,5,0)</f>
        <v>-5.3471467253984886E-13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530.77325763685963</v>
      </c>
      <c r="EP152" s="62">
        <f t="shared" si="154"/>
        <v>344.23100274990145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90.580021122303947</v>
      </c>
      <c r="T153" s="62">
        <f t="shared" si="142"/>
        <v>375.77399473907451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6.0180664308649874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2.0311954723361193E-19</v>
      </c>
      <c r="AC153" s="24">
        <f t="shared" si="111"/>
        <v>6.0180664308649874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87.3677313039193</v>
      </c>
      <c r="AO153" s="62">
        <f t="shared" si="144"/>
        <v>326.27342751542903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5.1410496576528288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5.1410496576528288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254.91239442958343</v>
      </c>
      <c r="BJ153" s="62">
        <f t="shared" si="146"/>
        <v>361.41009011468407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297.10199999999907</v>
      </c>
      <c r="CA153" s="14">
        <f t="shared" si="147"/>
        <v>70.568588566272624</v>
      </c>
      <c r="CB153" s="22">
        <f t="shared" si="118"/>
        <v>640.3596084195899</v>
      </c>
      <c r="CC153" s="62">
        <f t="shared" si="119"/>
        <v>927.0526306914503</v>
      </c>
      <c r="CD153" s="62">
        <f ca="1">AVERAGE(OFFSET($CC$3,0,0,'Données projet'!$E$12+1,1))-AVERAGE(OFFSET($H$3,0,0,'Données projet'!$E$12+1,1))</f>
        <v>516.30971934066179</v>
      </c>
      <c r="CE153" s="62">
        <f t="shared" si="148"/>
        <v>290.84286505723571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-1.7053025658242404E-13</v>
      </c>
      <c r="CU153" s="18">
        <f>CT153*VLOOKUP('Données projet'!$B$13,Paramètres!$A$1:$I$89,3,0)*VLOOKUP('Données projet'!$B$13,Paramètres!$A$1:$I$89,5,0)</f>
        <v>-1.4897523215040567E-13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226.76930997889059</v>
      </c>
      <c r="CZ153" s="62">
        <f t="shared" si="150"/>
        <v>236.36066378969329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6.1186256061773749E-14</v>
      </c>
      <c r="DQ153" s="14">
        <f t="shared" si="151"/>
        <v>9.7328366192051127E-13</v>
      </c>
      <c r="DR153" s="22">
        <f t="shared" si="124"/>
        <v>1.8017017738191463E-12</v>
      </c>
      <c r="DS153" s="62">
        <f t="shared" si="125"/>
        <v>286.69302227186216</v>
      </c>
      <c r="DT153" s="62">
        <f ca="1">AVERAGE(OFFSET($DS$3,0,0,'Données projet'!$E$14+1,1))-AVERAGE(OFFSET($H$3,0,0,'Données projet'!$E$14+1,1))</f>
        <v>315.12428188060306</v>
      </c>
      <c r="DU153" s="62">
        <f t="shared" si="152"/>
        <v>186.08400677811986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-5.1159076974727213E-13</v>
      </c>
      <c r="EK153" s="18">
        <f>EJ153*VLOOKUP('Données projet'!$B$15,Paramètres!$A$1:$I$89,3,0)*VLOOKUP('Données projet'!$B$15,Paramètres!$A$1:$I$89,5,0)</f>
        <v>-5.3471467253984886E-13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530.77325763685963</v>
      </c>
      <c r="EP153" s="62">
        <f t="shared" si="154"/>
        <v>344.23100274990145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90.580021122303947</v>
      </c>
      <c r="T154" s="62">
        <f t="shared" si="142"/>
        <v>375.77399473907451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5.9000558188138008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1.4362720924042823E-19</v>
      </c>
      <c r="AC154" s="24">
        <f t="shared" ref="AC154:AC203" si="163">SUM(Z154:AB154)</f>
        <v>5.9000558188138008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87.3677313039193</v>
      </c>
      <c r="AO154" s="62">
        <f t="shared" si="144"/>
        <v>326.27342751542903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5.0402368095969203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5.0402368095969203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254.91239442958343</v>
      </c>
      <c r="BJ154" s="62">
        <f t="shared" si="146"/>
        <v>361.41009011468407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-9.7986685432260874E-13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516.30971934066179</v>
      </c>
      <c r="CE154" s="62">
        <f t="shared" si="148"/>
        <v>290.84286505723571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-1.7053025658242404E-13</v>
      </c>
      <c r="CU154" s="18">
        <f>CT154*VLOOKUP('Données projet'!$B$13,Paramètres!$A$1:$I$89,3,0)*VLOOKUP('Données projet'!$B$13,Paramètres!$A$1:$I$89,5,0)</f>
        <v>-1.4897523215040567E-13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226.76930997889059</v>
      </c>
      <c r="CZ154" s="62">
        <f t="shared" si="150"/>
        <v>236.36066378969329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6.1186256061773749E-14</v>
      </c>
      <c r="DQ154" s="14">
        <f t="shared" ref="DQ154:DQ203" si="176">EXP(-1.0587+0.8836*LN(DP154)+0.284)</f>
        <v>9.7328366192051127E-13</v>
      </c>
      <c r="DR154" s="22">
        <f t="shared" ref="DR154:DR203" si="177">(DP154+DQ154)*0.475*44/12</f>
        <v>1.8017017738191463E-12</v>
      </c>
      <c r="DS154" s="62">
        <f t="shared" si="125"/>
        <v>286.80821682326717</v>
      </c>
      <c r="DT154" s="62">
        <f ca="1">AVERAGE(OFFSET($DS$3,0,0,'Données projet'!$E$14+1,1))-AVERAGE(OFFSET($H$3,0,0,'Données projet'!$E$14+1,1))</f>
        <v>315.12428188060306</v>
      </c>
      <c r="DU154" s="62">
        <f t="shared" si="152"/>
        <v>186.08400677811986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-5.1159076974727213E-13</v>
      </c>
      <c r="EK154" s="18">
        <f>EJ154*VLOOKUP('Données projet'!$B$15,Paramètres!$A$1:$I$89,3,0)*VLOOKUP('Données projet'!$B$15,Paramètres!$A$1:$I$89,5,0)</f>
        <v>-5.3471467253984886E-13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530.77325763685963</v>
      </c>
      <c r="EP154" s="62">
        <f t="shared" si="154"/>
        <v>344.23100274990145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90.580021122303947</v>
      </c>
      <c r="T155" s="62">
        <f t="shared" si="142"/>
        <v>375.77399473907451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5.7843593228855719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1.0155977361680596E-19</v>
      </c>
      <c r="AC155" s="24">
        <f t="shared" si="163"/>
        <v>5.7843593228855719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87.3677313039193</v>
      </c>
      <c r="AO155" s="62">
        <f t="shared" si="144"/>
        <v>326.27342751542903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4.9414008400016227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4.9414008400016227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254.91239442958343</v>
      </c>
      <c r="BJ155" s="62">
        <f t="shared" si="146"/>
        <v>361.41009011468407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-9.7986685432260874E-13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516.30971934066179</v>
      </c>
      <c r="CE155" s="62">
        <f t="shared" si="148"/>
        <v>290.84286505723571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-1.7053025658242404E-13</v>
      </c>
      <c r="CU155" s="18">
        <f>CT155*VLOOKUP('Données projet'!$B$13,Paramètres!$A$1:$I$89,3,0)*VLOOKUP('Données projet'!$B$13,Paramètres!$A$1:$I$89,5,0)</f>
        <v>-1.4897523215040567E-13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226.76930997889059</v>
      </c>
      <c r="CZ155" s="62">
        <f t="shared" si="150"/>
        <v>236.36066378969329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6.1186256061773749E-14</v>
      </c>
      <c r="DQ155" s="14">
        <f t="shared" si="176"/>
        <v>9.7328366192051127E-13</v>
      </c>
      <c r="DR155" s="22">
        <f t="shared" si="177"/>
        <v>1.8017017738191463E-12</v>
      </c>
      <c r="DS155" s="62">
        <f t="shared" si="125"/>
        <v>286.92141300674172</v>
      </c>
      <c r="DT155" s="62">
        <f ca="1">AVERAGE(OFFSET($DS$3,0,0,'Données projet'!$E$14+1,1))-AVERAGE(OFFSET($H$3,0,0,'Données projet'!$E$14+1,1))</f>
        <v>315.12428188060306</v>
      </c>
      <c r="DU155" s="62">
        <f t="shared" si="152"/>
        <v>186.08400677811986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-5.1159076974727213E-13</v>
      </c>
      <c r="EK155" s="18">
        <f>EJ155*VLOOKUP('Données projet'!$B$15,Paramètres!$A$1:$I$89,3,0)*VLOOKUP('Données projet'!$B$15,Paramètres!$A$1:$I$89,5,0)</f>
        <v>-5.3471467253984886E-13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530.77325763685963</v>
      </c>
      <c r="EP155" s="62">
        <f t="shared" si="154"/>
        <v>344.23100274990145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90.580021122303947</v>
      </c>
      <c r="T156" s="62">
        <f t="shared" si="142"/>
        <v>375.77399473907451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5.6709315646746008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7.1813604620214116E-20</v>
      </c>
      <c r="AC156" s="24">
        <f t="shared" si="163"/>
        <v>5.6709315646746008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87.3677313039193</v>
      </c>
      <c r="AO156" s="62">
        <f t="shared" si="144"/>
        <v>326.27342751542903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4.8445029834861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4.8445029834861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254.91239442958343</v>
      </c>
      <c r="BJ156" s="62">
        <f t="shared" si="146"/>
        <v>361.41009011468407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-9.7986685432260874E-13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516.30971934066179</v>
      </c>
      <c r="CE156" s="62">
        <f t="shared" si="148"/>
        <v>290.84286505723571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-1.7053025658242404E-13</v>
      </c>
      <c r="CU156" s="18">
        <f>CT156*VLOOKUP('Données projet'!$B$13,Paramètres!$A$1:$I$89,3,0)*VLOOKUP('Données projet'!$B$13,Paramètres!$A$1:$I$89,5,0)</f>
        <v>-1.4897523215040567E-13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226.76930997889059</v>
      </c>
      <c r="CZ156" s="62">
        <f t="shared" si="150"/>
        <v>236.36066378969329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6.1186256061773749E-14</v>
      </c>
      <c r="DQ156" s="14">
        <f t="shared" si="176"/>
        <v>9.7328366192051127E-13</v>
      </c>
      <c r="DR156" s="22">
        <f t="shared" si="177"/>
        <v>1.8017017738191463E-12</v>
      </c>
      <c r="DS156" s="62">
        <f t="shared" si="125"/>
        <v>287.03264548950182</v>
      </c>
      <c r="DT156" s="62">
        <f ca="1">AVERAGE(OFFSET($DS$3,0,0,'Données projet'!$E$14+1,1))-AVERAGE(OFFSET($H$3,0,0,'Données projet'!$E$14+1,1))</f>
        <v>315.12428188060306</v>
      </c>
      <c r="DU156" s="62">
        <f t="shared" si="152"/>
        <v>186.08400677811986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-5.1159076974727213E-13</v>
      </c>
      <c r="EK156" s="18">
        <f>EJ156*VLOOKUP('Données projet'!$B$15,Paramètres!$A$1:$I$89,3,0)*VLOOKUP('Données projet'!$B$15,Paramètres!$A$1:$I$89,5,0)</f>
        <v>-5.3471467253984886E-13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530.77325763685963</v>
      </c>
      <c r="EP156" s="62">
        <f t="shared" si="154"/>
        <v>344.23100274990145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90.580021122303947</v>
      </c>
      <c r="T157" s="62">
        <f t="shared" si="142"/>
        <v>375.77399473907451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5.5597280556180459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5.0779886808402982E-20</v>
      </c>
      <c r="AC157" s="24">
        <f t="shared" si="163"/>
        <v>5.5597280556180459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87.3677313039193</v>
      </c>
      <c r="AO157" s="62">
        <f t="shared" si="144"/>
        <v>326.27342751542903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4.7495052348349898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4.7495052348349898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254.91239442958343</v>
      </c>
      <c r="BJ157" s="62">
        <f t="shared" si="146"/>
        <v>361.41009011468407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-9.7986685432260874E-13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516.30971934066179</v>
      </c>
      <c r="CE157" s="62">
        <f t="shared" si="148"/>
        <v>290.84286505723571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-1.7053025658242404E-13</v>
      </c>
      <c r="CU157" s="18">
        <f>CT157*VLOOKUP('Données projet'!$B$13,Paramètres!$A$1:$I$89,3,0)*VLOOKUP('Données projet'!$B$13,Paramètres!$A$1:$I$89,5,0)</f>
        <v>-1.4897523215040567E-13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226.76930997889059</v>
      </c>
      <c r="CZ157" s="62">
        <f t="shared" si="150"/>
        <v>236.36066378969329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6.1186256061773749E-14</v>
      </c>
      <c r="DQ157" s="14">
        <f t="shared" si="176"/>
        <v>9.7328366192051127E-13</v>
      </c>
      <c r="DR157" s="22">
        <f t="shared" si="177"/>
        <v>1.8017017738191463E-12</v>
      </c>
      <c r="DS157" s="62">
        <f t="shared" si="125"/>
        <v>287.14194833736457</v>
      </c>
      <c r="DT157" s="62">
        <f ca="1">AVERAGE(OFFSET($DS$3,0,0,'Données projet'!$E$14+1,1))-AVERAGE(OFFSET($H$3,0,0,'Données projet'!$E$14+1,1))</f>
        <v>315.12428188060306</v>
      </c>
      <c r="DU157" s="62">
        <f t="shared" si="152"/>
        <v>186.08400677811986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-5.1159076974727213E-13</v>
      </c>
      <c r="EK157" s="18">
        <f>EJ157*VLOOKUP('Données projet'!$B$15,Paramètres!$A$1:$I$89,3,0)*VLOOKUP('Données projet'!$B$15,Paramètres!$A$1:$I$89,5,0)</f>
        <v>-5.3471467253984886E-13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530.77325763685963</v>
      </c>
      <c r="EP157" s="62">
        <f t="shared" si="154"/>
        <v>344.23100274990145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90.580021122303947</v>
      </c>
      <c r="T158" s="62">
        <f t="shared" si="142"/>
        <v>375.77399473907451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5.450705179546647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3.5906802310107058E-20</v>
      </c>
      <c r="AC158" s="24">
        <f t="shared" si="163"/>
        <v>5.450705179546647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87.3677313039193</v>
      </c>
      <c r="AO158" s="62">
        <f t="shared" si="144"/>
        <v>326.27342751542903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4.6563703340920224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4.6563703340920224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254.91239442958343</v>
      </c>
      <c r="BJ158" s="62">
        <f t="shared" si="146"/>
        <v>361.41009011468407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-9.7986685432260874E-13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516.30971934066179</v>
      </c>
      <c r="CE158" s="62">
        <f t="shared" si="148"/>
        <v>290.84286505723571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-1.7053025658242404E-13</v>
      </c>
      <c r="CU158" s="18">
        <f>CT158*VLOOKUP('Données projet'!$B$13,Paramètres!$A$1:$I$89,3,0)*VLOOKUP('Données projet'!$B$13,Paramètres!$A$1:$I$89,5,0)</f>
        <v>-1.4897523215040567E-13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226.76930997889059</v>
      </c>
      <c r="CZ158" s="62">
        <f t="shared" si="150"/>
        <v>236.36066378969329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6.1186256061773749E-14</v>
      </c>
      <c r="DQ158" s="14">
        <f t="shared" si="176"/>
        <v>9.7328366192051127E-13</v>
      </c>
      <c r="DR158" s="22">
        <f t="shared" si="177"/>
        <v>1.8017017738191463E-12</v>
      </c>
      <c r="DS158" s="62">
        <f t="shared" si="125"/>
        <v>287.2493550251815</v>
      </c>
      <c r="DT158" s="62">
        <f ca="1">AVERAGE(OFFSET($DS$3,0,0,'Données projet'!$E$14+1,1))-AVERAGE(OFFSET($H$3,0,0,'Données projet'!$E$14+1,1))</f>
        <v>315.12428188060306</v>
      </c>
      <c r="DU158" s="62">
        <f t="shared" si="152"/>
        <v>186.08400677811986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-5.1159076974727213E-13</v>
      </c>
      <c r="EK158" s="18">
        <f>EJ158*VLOOKUP('Données projet'!$B$15,Paramètres!$A$1:$I$89,3,0)*VLOOKUP('Données projet'!$B$15,Paramètres!$A$1:$I$89,5,0)</f>
        <v>-5.3471467253984886E-13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530.77325763685963</v>
      </c>
      <c r="EP158" s="62">
        <f t="shared" si="154"/>
        <v>344.23100274990145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90.580021122303947</v>
      </c>
      <c r="T159" s="62">
        <f t="shared" si="142"/>
        <v>375.77399473907451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5.34382017557762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2.5389943404201491E-20</v>
      </c>
      <c r="AC159" s="24">
        <f t="shared" si="163"/>
        <v>5.34382017557762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87.3677313039193</v>
      </c>
      <c r="AO159" s="62">
        <f t="shared" si="144"/>
        <v>326.27342751542903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4.5650617519459447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4.5650617519459447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254.91239442958343</v>
      </c>
      <c r="BJ159" s="62">
        <f t="shared" si="146"/>
        <v>361.41009011468407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-9.7986685432260874E-13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516.30971934066179</v>
      </c>
      <c r="CE159" s="62">
        <f t="shared" si="148"/>
        <v>290.84286505723571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-1.7053025658242404E-13</v>
      </c>
      <c r="CU159" s="18">
        <f>CT159*VLOOKUP('Données projet'!$B$13,Paramètres!$A$1:$I$89,3,0)*VLOOKUP('Données projet'!$B$13,Paramètres!$A$1:$I$89,5,0)</f>
        <v>-1.4897523215040567E-13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226.76930997889059</v>
      </c>
      <c r="CZ159" s="62">
        <f t="shared" si="150"/>
        <v>236.36066378969329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6.1186256061773749E-14</v>
      </c>
      <c r="DQ159" s="14">
        <f t="shared" si="176"/>
        <v>9.7328366192051127E-13</v>
      </c>
      <c r="DR159" s="22">
        <f t="shared" si="177"/>
        <v>1.8017017738191463E-12</v>
      </c>
      <c r="DS159" s="62">
        <f t="shared" si="125"/>
        <v>287.35489844709014</v>
      </c>
      <c r="DT159" s="62">
        <f ca="1">AVERAGE(OFFSET($DS$3,0,0,'Données projet'!$E$14+1,1))-AVERAGE(OFFSET($H$3,0,0,'Données projet'!$E$14+1,1))</f>
        <v>315.12428188060306</v>
      </c>
      <c r="DU159" s="62">
        <f t="shared" si="152"/>
        <v>186.08400677811986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-5.1159076974727213E-13</v>
      </c>
      <c r="EK159" s="18">
        <f>EJ159*VLOOKUP('Données projet'!$B$15,Paramètres!$A$1:$I$89,3,0)*VLOOKUP('Données projet'!$B$15,Paramètres!$A$1:$I$89,5,0)</f>
        <v>-5.3471467253984886E-13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530.77325763685963</v>
      </c>
      <c r="EP159" s="62">
        <f t="shared" si="154"/>
        <v>344.23100274990145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90.580021122303947</v>
      </c>
      <c r="T160" s="62">
        <f t="shared" si="142"/>
        <v>375.77399473907451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5.2390311213430101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1.7953401155053529E-20</v>
      </c>
      <c r="AC160" s="24">
        <f t="shared" si="163"/>
        <v>5.2390311213430101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87.3677313039193</v>
      </c>
      <c r="AO160" s="62">
        <f t="shared" si="144"/>
        <v>326.27342751542903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4.4755436754030153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4.4755436754030153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254.91239442958343</v>
      </c>
      <c r="BJ160" s="62">
        <f t="shared" si="146"/>
        <v>361.41009011468407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-9.7986685432260874E-13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516.30971934066179</v>
      </c>
      <c r="CE160" s="62">
        <f t="shared" si="148"/>
        <v>290.84286505723571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-1.7053025658242404E-13</v>
      </c>
      <c r="CU160" s="18">
        <f>CT160*VLOOKUP('Données projet'!$B$13,Paramètres!$A$1:$I$89,3,0)*VLOOKUP('Données projet'!$B$13,Paramètres!$A$1:$I$89,5,0)</f>
        <v>-1.4897523215040567E-13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226.76930997889059</v>
      </c>
      <c r="CZ160" s="62">
        <f t="shared" si="150"/>
        <v>236.36066378969329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6.1186256061773749E-14</v>
      </c>
      <c r="DQ160" s="14">
        <f t="shared" si="176"/>
        <v>9.7328366192051127E-13</v>
      </c>
      <c r="DR160" s="22">
        <f t="shared" si="177"/>
        <v>1.8017017738191463E-12</v>
      </c>
      <c r="DS160" s="62">
        <f t="shared" si="125"/>
        <v>287.45861092658839</v>
      </c>
      <c r="DT160" s="62">
        <f ca="1">AVERAGE(OFFSET($DS$3,0,0,'Données projet'!$E$14+1,1))-AVERAGE(OFFSET($H$3,0,0,'Données projet'!$E$14+1,1))</f>
        <v>315.12428188060306</v>
      </c>
      <c r="DU160" s="62">
        <f t="shared" si="152"/>
        <v>186.08400677811986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-5.1159076974727213E-13</v>
      </c>
      <c r="EK160" s="18">
        <f>EJ160*VLOOKUP('Données projet'!$B$15,Paramètres!$A$1:$I$89,3,0)*VLOOKUP('Données projet'!$B$15,Paramètres!$A$1:$I$89,5,0)</f>
        <v>-5.3471467253984886E-13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530.77325763685963</v>
      </c>
      <c r="EP160" s="62">
        <f t="shared" si="154"/>
        <v>344.23100274990145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90.580021122303947</v>
      </c>
      <c r="T161" s="62">
        <f t="shared" si="142"/>
        <v>375.77399473907451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5.1362969165469288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1.2694971702100745E-20</v>
      </c>
      <c r="AC161" s="24">
        <f t="shared" si="163"/>
        <v>5.1362969165469288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87.3677313039193</v>
      </c>
      <c r="AO161" s="62">
        <f t="shared" si="144"/>
        <v>326.27342751542903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4.3877809937404573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4.3877809937404573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254.91239442958343</v>
      </c>
      <c r="BJ161" s="62">
        <f t="shared" si="146"/>
        <v>361.41009011468407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-9.7986685432260874E-13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516.30971934066179</v>
      </c>
      <c r="CE161" s="62">
        <f t="shared" si="148"/>
        <v>290.84286505723571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-1.7053025658242404E-13</v>
      </c>
      <c r="CU161" s="18">
        <f>CT161*VLOOKUP('Données projet'!$B$13,Paramètres!$A$1:$I$89,3,0)*VLOOKUP('Données projet'!$B$13,Paramètres!$A$1:$I$89,5,0)</f>
        <v>-1.4897523215040567E-13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226.76930997889059</v>
      </c>
      <c r="CZ161" s="62">
        <f t="shared" si="150"/>
        <v>236.36066378969329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6.1186256061773749E-14</v>
      </c>
      <c r="DQ161" s="14">
        <f t="shared" si="176"/>
        <v>9.7328366192051127E-13</v>
      </c>
      <c r="DR161" s="22">
        <f t="shared" si="177"/>
        <v>1.8017017738191463E-12</v>
      </c>
      <c r="DS161" s="62">
        <f t="shared" si="125"/>
        <v>287.56052422643381</v>
      </c>
      <c r="DT161" s="62">
        <f ca="1">AVERAGE(OFFSET($DS$3,0,0,'Données projet'!$E$14+1,1))-AVERAGE(OFFSET($H$3,0,0,'Données projet'!$E$14+1,1))</f>
        <v>315.12428188060306</v>
      </c>
      <c r="DU161" s="62">
        <f t="shared" si="152"/>
        <v>186.08400677811986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-5.1159076974727213E-13</v>
      </c>
      <c r="EK161" s="18">
        <f>EJ161*VLOOKUP('Données projet'!$B$15,Paramètres!$A$1:$I$89,3,0)*VLOOKUP('Données projet'!$B$15,Paramètres!$A$1:$I$89,5,0)</f>
        <v>-5.3471467253984886E-13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530.77325763685963</v>
      </c>
      <c r="EP161" s="62">
        <f t="shared" si="154"/>
        <v>344.23100274990145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90.580021122303947</v>
      </c>
      <c r="T162" s="62">
        <f t="shared" si="142"/>
        <v>375.77399473907451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5.0355772668452214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8.9767005775267645E-21</v>
      </c>
      <c r="AC162" s="24">
        <f t="shared" si="163"/>
        <v>5.0355772668452214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87.3677313039193</v>
      </c>
      <c r="AO162" s="62">
        <f t="shared" si="144"/>
        <v>326.27342751542903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4.3017392847353522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4.3017392847353522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254.91239442958343</v>
      </c>
      <c r="BJ162" s="62">
        <f t="shared" si="146"/>
        <v>361.41009011468407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-9.7986685432260874E-13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516.30971934066179</v>
      </c>
      <c r="CE162" s="62">
        <f t="shared" si="148"/>
        <v>290.84286505723571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-1.7053025658242404E-13</v>
      </c>
      <c r="CU162" s="18">
        <f>CT162*VLOOKUP('Données projet'!$B$13,Paramètres!$A$1:$I$89,3,0)*VLOOKUP('Données projet'!$B$13,Paramètres!$A$1:$I$89,5,0)</f>
        <v>-1.4897523215040567E-13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226.76930997889059</v>
      </c>
      <c r="CZ162" s="62">
        <f t="shared" si="150"/>
        <v>236.36066378969329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6.1186256061773749E-14</v>
      </c>
      <c r="DQ162" s="14">
        <f t="shared" si="176"/>
        <v>9.7328366192051127E-13</v>
      </c>
      <c r="DR162" s="22">
        <f t="shared" si="177"/>
        <v>1.8017017738191463E-12</v>
      </c>
      <c r="DS162" s="62">
        <f t="shared" si="125"/>
        <v>287.66066955837078</v>
      </c>
      <c r="DT162" s="62">
        <f ca="1">AVERAGE(OFFSET($DS$3,0,0,'Données projet'!$E$14+1,1))-AVERAGE(OFFSET($H$3,0,0,'Données projet'!$E$14+1,1))</f>
        <v>315.12428188060306</v>
      </c>
      <c r="DU162" s="62">
        <f t="shared" si="152"/>
        <v>186.08400677811986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-5.1159076974727213E-13</v>
      </c>
      <c r="EK162" s="18">
        <f>EJ162*VLOOKUP('Données projet'!$B$15,Paramètres!$A$1:$I$89,3,0)*VLOOKUP('Données projet'!$B$15,Paramètres!$A$1:$I$89,5,0)</f>
        <v>-5.3471467253984886E-13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530.77325763685963</v>
      </c>
      <c r="EP162" s="62">
        <f t="shared" si="154"/>
        <v>344.23100274990145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90.580021122303947</v>
      </c>
      <c r="T163" s="62">
        <f t="shared" si="142"/>
        <v>375.77399473907451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4.9368326680412435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6.3474858510503727E-21</v>
      </c>
      <c r="AC163" s="24">
        <f t="shared" si="163"/>
        <v>4.9368326680412435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87.3677313039193</v>
      </c>
      <c r="AO163" s="62">
        <f t="shared" si="144"/>
        <v>326.27342751542903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4.2173848011635764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4.2173848011635764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254.91239442958343</v>
      </c>
      <c r="BJ163" s="62">
        <f t="shared" si="146"/>
        <v>361.41009011468407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-9.7986685432260874E-13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516.30971934066179</v>
      </c>
      <c r="CE163" s="62">
        <f t="shared" si="148"/>
        <v>290.84286505723571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-1.7053025658242404E-13</v>
      </c>
      <c r="CU163" s="18">
        <f>CT163*VLOOKUP('Données projet'!$B$13,Paramètres!$A$1:$I$89,3,0)*VLOOKUP('Données projet'!$B$13,Paramètres!$A$1:$I$89,5,0)</f>
        <v>-1.4897523215040567E-13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226.76930997889059</v>
      </c>
      <c r="CZ163" s="62">
        <f t="shared" si="150"/>
        <v>236.36066378969329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6.1186256061773749E-14</v>
      </c>
      <c r="DQ163" s="14">
        <f t="shared" si="176"/>
        <v>9.7328366192051127E-13</v>
      </c>
      <c r="DR163" s="22">
        <f t="shared" si="177"/>
        <v>1.8017017738191463E-12</v>
      </c>
      <c r="DS163" s="62">
        <f t="shared" si="125"/>
        <v>287.75907759269018</v>
      </c>
      <c r="DT163" s="62">
        <f ca="1">AVERAGE(OFFSET($DS$3,0,0,'Données projet'!$E$14+1,1))-AVERAGE(OFFSET($H$3,0,0,'Données projet'!$E$14+1,1))</f>
        <v>315.12428188060306</v>
      </c>
      <c r="DU163" s="62">
        <f t="shared" si="152"/>
        <v>186.08400677811986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-5.1159076974727213E-13</v>
      </c>
      <c r="EK163" s="18">
        <f>EJ163*VLOOKUP('Données projet'!$B$15,Paramètres!$A$1:$I$89,3,0)*VLOOKUP('Données projet'!$B$15,Paramètres!$A$1:$I$89,5,0)</f>
        <v>-5.3471467253984886E-13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530.77325763685963</v>
      </c>
      <c r="EP163" s="62">
        <f t="shared" si="154"/>
        <v>344.23100274990145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90.580021122303947</v>
      </c>
      <c r="T164" s="62">
        <f t="shared" si="142"/>
        <v>375.77399473907451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4.8400243905915534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4.4883502887633822E-21</v>
      </c>
      <c r="AC164" s="24">
        <f t="shared" si="163"/>
        <v>4.8400243905915534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87.3677313039193</v>
      </c>
      <c r="AO164" s="62">
        <f t="shared" si="144"/>
        <v>326.27342751542903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4.1346844575634885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4.1346844575634885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254.91239442958343</v>
      </c>
      <c r="BJ164" s="62">
        <f t="shared" si="146"/>
        <v>361.41009011468407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-9.7986685432260874E-13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516.30971934066179</v>
      </c>
      <c r="CE164" s="62">
        <f t="shared" si="148"/>
        <v>290.84286505723571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-1.7053025658242404E-13</v>
      </c>
      <c r="CU164" s="18">
        <f>CT164*VLOOKUP('Données projet'!$B$13,Paramètres!$A$1:$I$89,3,0)*VLOOKUP('Données projet'!$B$13,Paramètres!$A$1:$I$89,5,0)</f>
        <v>-1.4897523215040567E-13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226.76930997889059</v>
      </c>
      <c r="CZ164" s="62">
        <f t="shared" si="150"/>
        <v>236.36066378969329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6.1186256061773749E-14</v>
      </c>
      <c r="DQ164" s="14">
        <f t="shared" si="176"/>
        <v>9.7328366192051127E-13</v>
      </c>
      <c r="DR164" s="22">
        <f t="shared" si="177"/>
        <v>1.8017017738191463E-12</v>
      </c>
      <c r="DS164" s="62">
        <f t="shared" si="125"/>
        <v>287.85577846762152</v>
      </c>
      <c r="DT164" s="62">
        <f ca="1">AVERAGE(OFFSET($DS$3,0,0,'Données projet'!$E$14+1,1))-AVERAGE(OFFSET($H$3,0,0,'Données projet'!$E$14+1,1))</f>
        <v>315.12428188060306</v>
      </c>
      <c r="DU164" s="62">
        <f t="shared" si="152"/>
        <v>186.08400677811986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-5.1159076974727213E-13</v>
      </c>
      <c r="EK164" s="18">
        <f>EJ164*VLOOKUP('Données projet'!$B$15,Paramètres!$A$1:$I$89,3,0)*VLOOKUP('Données projet'!$B$15,Paramètres!$A$1:$I$89,5,0)</f>
        <v>-5.3471467253984886E-13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530.77325763685963</v>
      </c>
      <c r="EP164" s="62">
        <f t="shared" si="154"/>
        <v>344.23100274990145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90.580021122303947</v>
      </c>
      <c r="T165" s="62">
        <f t="shared" si="142"/>
        <v>375.77399473907451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4.7451144644154333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3.1737429255251864E-21</v>
      </c>
      <c r="AC165" s="24">
        <f t="shared" si="163"/>
        <v>4.7451144644154333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87.3677313039193</v>
      </c>
      <c r="AO165" s="62">
        <f t="shared" si="144"/>
        <v>326.27342751542903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4.0536058172591698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4.0536058172591698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254.91239442958343</v>
      </c>
      <c r="BJ165" s="62">
        <f t="shared" si="146"/>
        <v>361.41009011468407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-9.7986685432260874E-13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516.30971934066179</v>
      </c>
      <c r="CE165" s="62">
        <f t="shared" si="148"/>
        <v>290.84286505723571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-1.7053025658242404E-13</v>
      </c>
      <c r="CU165" s="18">
        <f>CT165*VLOOKUP('Données projet'!$B$13,Paramètres!$A$1:$I$89,3,0)*VLOOKUP('Données projet'!$B$13,Paramètres!$A$1:$I$89,5,0)</f>
        <v>-1.4897523215040567E-13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226.76930997889059</v>
      </c>
      <c r="CZ165" s="62">
        <f t="shared" si="150"/>
        <v>236.36066378969329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6.1186256061773749E-14</v>
      </c>
      <c r="DQ165" s="14">
        <f t="shared" si="176"/>
        <v>9.7328366192051127E-13</v>
      </c>
      <c r="DR165" s="22">
        <f t="shared" si="177"/>
        <v>1.8017017738191463E-12</v>
      </c>
      <c r="DS165" s="62">
        <f t="shared" si="125"/>
        <v>287.95080179856353</v>
      </c>
      <c r="DT165" s="62">
        <f ca="1">AVERAGE(OFFSET($DS$3,0,0,'Données projet'!$E$14+1,1))-AVERAGE(OFFSET($H$3,0,0,'Données projet'!$E$14+1,1))</f>
        <v>315.12428188060306</v>
      </c>
      <c r="DU165" s="62">
        <f t="shared" si="152"/>
        <v>186.08400677811986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-5.1159076974727213E-13</v>
      </c>
      <c r="EK165" s="18">
        <f>EJ165*VLOOKUP('Données projet'!$B$15,Paramètres!$A$1:$I$89,3,0)*VLOOKUP('Données projet'!$B$15,Paramètres!$A$1:$I$89,5,0)</f>
        <v>-5.3471467253984886E-13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530.77325763685963</v>
      </c>
      <c r="EP165" s="62">
        <f t="shared" si="154"/>
        <v>344.23100274990145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90.580021122303947</v>
      </c>
      <c r="T166" s="62">
        <f t="shared" si="142"/>
        <v>375.77399473907451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4.6520656640022882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2.2441751443816911E-21</v>
      </c>
      <c r="AC166" s="24">
        <f t="shared" si="163"/>
        <v>4.6520656640022882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87.3677313039193</v>
      </c>
      <c r="AO166" s="62">
        <f t="shared" si="144"/>
        <v>326.27342751542903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3.9741170796381313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3.9741170796381313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254.91239442958343</v>
      </c>
      <c r="BJ166" s="62">
        <f t="shared" si="146"/>
        <v>361.41009011468407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-9.7986685432260874E-13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516.30971934066179</v>
      </c>
      <c r="CE166" s="62">
        <f t="shared" si="148"/>
        <v>290.84286505723571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-1.7053025658242404E-13</v>
      </c>
      <c r="CU166" s="18">
        <f>CT166*VLOOKUP('Données projet'!$B$13,Paramètres!$A$1:$I$89,3,0)*VLOOKUP('Données projet'!$B$13,Paramètres!$A$1:$I$89,5,0)</f>
        <v>-1.4897523215040567E-13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226.76930997889059</v>
      </c>
      <c r="CZ166" s="62">
        <f t="shared" si="150"/>
        <v>236.36066378969329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6.1186256061773749E-14</v>
      </c>
      <c r="DQ166" s="14">
        <f t="shared" si="176"/>
        <v>9.7328366192051127E-13</v>
      </c>
      <c r="DR166" s="22">
        <f t="shared" si="177"/>
        <v>1.8017017738191463E-12</v>
      </c>
      <c r="DS166" s="62">
        <f t="shared" si="125"/>
        <v>288.04417668715405</v>
      </c>
      <c r="DT166" s="62">
        <f ca="1">AVERAGE(OFFSET($DS$3,0,0,'Données projet'!$E$14+1,1))-AVERAGE(OFFSET($H$3,0,0,'Données projet'!$E$14+1,1))</f>
        <v>315.12428188060306</v>
      </c>
      <c r="DU166" s="62">
        <f t="shared" si="152"/>
        <v>186.08400677811986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-5.1159076974727213E-13</v>
      </c>
      <c r="EK166" s="18">
        <f>EJ166*VLOOKUP('Données projet'!$B$15,Paramètres!$A$1:$I$89,3,0)*VLOOKUP('Données projet'!$B$15,Paramètres!$A$1:$I$89,5,0)</f>
        <v>-5.3471467253984886E-13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530.77325763685963</v>
      </c>
      <c r="EP166" s="62">
        <f t="shared" si="154"/>
        <v>344.23100274990145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90.580021122303947</v>
      </c>
      <c r="T167" s="62">
        <f t="shared" si="142"/>
        <v>375.77399473907451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4.5608414938110808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1.5868714627625932E-21</v>
      </c>
      <c r="AC167" s="24">
        <f t="shared" si="163"/>
        <v>4.5608414938110808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87.3677313039193</v>
      </c>
      <c r="AO167" s="62">
        <f t="shared" si="144"/>
        <v>326.27342751542903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3.8961870676784987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3.8961870676784987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254.91239442958343</v>
      </c>
      <c r="BJ167" s="62">
        <f t="shared" si="146"/>
        <v>361.41009011468407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-9.7986685432260874E-13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516.30971934066179</v>
      </c>
      <c r="CE167" s="62">
        <f t="shared" si="148"/>
        <v>290.84286505723571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-1.7053025658242404E-13</v>
      </c>
      <c r="CU167" s="18">
        <f>CT167*VLOOKUP('Données projet'!$B$13,Paramètres!$A$1:$I$89,3,0)*VLOOKUP('Données projet'!$B$13,Paramètres!$A$1:$I$89,5,0)</f>
        <v>-1.4897523215040567E-13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226.76930997889059</v>
      </c>
      <c r="CZ167" s="62">
        <f t="shared" si="150"/>
        <v>236.36066378969329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6.1186256061773749E-14</v>
      </c>
      <c r="DQ167" s="14">
        <f t="shared" si="176"/>
        <v>9.7328366192051127E-13</v>
      </c>
      <c r="DR167" s="22">
        <f t="shared" si="177"/>
        <v>1.8017017738191463E-12</v>
      </c>
      <c r="DS167" s="62">
        <f t="shared" si="125"/>
        <v>288.13593173018251</v>
      </c>
      <c r="DT167" s="62">
        <f ca="1">AVERAGE(OFFSET($DS$3,0,0,'Données projet'!$E$14+1,1))-AVERAGE(OFFSET($H$3,0,0,'Données projet'!$E$14+1,1))</f>
        <v>315.12428188060306</v>
      </c>
      <c r="DU167" s="62">
        <f t="shared" si="152"/>
        <v>186.08400677811986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-5.1159076974727213E-13</v>
      </c>
      <c r="EK167" s="18">
        <f>EJ167*VLOOKUP('Données projet'!$B$15,Paramètres!$A$1:$I$89,3,0)*VLOOKUP('Données projet'!$B$15,Paramètres!$A$1:$I$89,5,0)</f>
        <v>-5.3471467253984886E-13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530.77325763685963</v>
      </c>
      <c r="EP167" s="62">
        <f t="shared" si="154"/>
        <v>344.23100274990145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90.580021122303947</v>
      </c>
      <c r="T168" s="62">
        <f t="shared" si="142"/>
        <v>375.77399473907451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4.4714061739560726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1.1220875721908456E-21</v>
      </c>
      <c r="AC168" s="24">
        <f t="shared" si="163"/>
        <v>4.4714061739560726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87.3677313039193</v>
      </c>
      <c r="AO168" s="62">
        <f t="shared" si="144"/>
        <v>326.27342751542903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3.8197852157207808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3.8197852157207808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254.91239442958343</v>
      </c>
      <c r="BJ168" s="62">
        <f t="shared" si="146"/>
        <v>361.41009011468407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-9.7986685432260874E-13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516.30971934066179</v>
      </c>
      <c r="CE168" s="62">
        <f t="shared" si="148"/>
        <v>290.84286505723571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-1.7053025658242404E-13</v>
      </c>
      <c r="CU168" s="18">
        <f>CT168*VLOOKUP('Données projet'!$B$13,Paramètres!$A$1:$I$89,3,0)*VLOOKUP('Données projet'!$B$13,Paramètres!$A$1:$I$89,5,0)</f>
        <v>-1.4897523215040567E-13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226.76930997889059</v>
      </c>
      <c r="CZ168" s="62">
        <f t="shared" si="150"/>
        <v>236.36066378969329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6.1186256061773749E-14</v>
      </c>
      <c r="DQ168" s="14">
        <f t="shared" si="176"/>
        <v>9.7328366192051127E-13</v>
      </c>
      <c r="DR168" s="22">
        <f t="shared" si="177"/>
        <v>1.8017017738191463E-12</v>
      </c>
      <c r="DS168" s="62">
        <f t="shared" si="125"/>
        <v>288.22609502834797</v>
      </c>
      <c r="DT168" s="62">
        <f ca="1">AVERAGE(OFFSET($DS$3,0,0,'Données projet'!$E$14+1,1))-AVERAGE(OFFSET($H$3,0,0,'Données projet'!$E$14+1,1))</f>
        <v>315.12428188060306</v>
      </c>
      <c r="DU168" s="62">
        <f t="shared" si="152"/>
        <v>186.08400677811986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-5.1159076974727213E-13</v>
      </c>
      <c r="EK168" s="18">
        <f>EJ168*VLOOKUP('Données projet'!$B$15,Paramètres!$A$1:$I$89,3,0)*VLOOKUP('Données projet'!$B$15,Paramètres!$A$1:$I$89,5,0)</f>
        <v>-5.3471467253984886E-13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530.77325763685963</v>
      </c>
      <c r="EP168" s="62">
        <f t="shared" si="154"/>
        <v>344.23100274990145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90.580021122303947</v>
      </c>
      <c r="T169" s="62">
        <f t="shared" si="142"/>
        <v>375.77399473907451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4.3837246261732625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7.9343573138129659E-22</v>
      </c>
      <c r="AC169" s="24">
        <f t="shared" si="163"/>
        <v>4.3837246261732625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87.3677313039193</v>
      </c>
      <c r="AO169" s="62">
        <f t="shared" si="144"/>
        <v>326.27342751542903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3.7448815574794252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3.7448815574794252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254.91239442958343</v>
      </c>
      <c r="BJ169" s="62">
        <f t="shared" si="146"/>
        <v>361.41009011468407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-9.7986685432260874E-13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516.30971934066179</v>
      </c>
      <c r="CE169" s="62">
        <f t="shared" si="148"/>
        <v>290.84286505723571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-1.7053025658242404E-13</v>
      </c>
      <c r="CU169" s="18">
        <f>CT169*VLOOKUP('Données projet'!$B$13,Paramètres!$A$1:$I$89,3,0)*VLOOKUP('Données projet'!$B$13,Paramètres!$A$1:$I$89,5,0)</f>
        <v>-1.4897523215040567E-13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226.76930997889059</v>
      </c>
      <c r="CZ169" s="62">
        <f t="shared" si="150"/>
        <v>236.36066378969329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6.1186256061773749E-14</v>
      </c>
      <c r="DQ169" s="14">
        <f t="shared" si="176"/>
        <v>9.7328366192051127E-13</v>
      </c>
      <c r="DR169" s="22">
        <f t="shared" si="177"/>
        <v>1.8017017738191463E-12</v>
      </c>
      <c r="DS169" s="62">
        <f t="shared" si="125"/>
        <v>288.31469419486524</v>
      </c>
      <c r="DT169" s="62">
        <f ca="1">AVERAGE(OFFSET($DS$3,0,0,'Données projet'!$E$14+1,1))-AVERAGE(OFFSET($H$3,0,0,'Données projet'!$E$14+1,1))</f>
        <v>315.12428188060306</v>
      </c>
      <c r="DU169" s="62">
        <f t="shared" si="152"/>
        <v>186.08400677811986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-5.1159076974727213E-13</v>
      </c>
      <c r="EK169" s="18">
        <f>EJ169*VLOOKUP('Données projet'!$B$15,Paramètres!$A$1:$I$89,3,0)*VLOOKUP('Données projet'!$B$15,Paramètres!$A$1:$I$89,5,0)</f>
        <v>-5.3471467253984886E-13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530.77325763685963</v>
      </c>
      <c r="EP169" s="62">
        <f t="shared" si="154"/>
        <v>344.23100274990145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90.580021122303947</v>
      </c>
      <c r="T170" s="62">
        <f t="shared" si="142"/>
        <v>375.77399473907451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4.2977624600620103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5.6104378609542278E-22</v>
      </c>
      <c r="AC170" s="24">
        <f t="shared" si="163"/>
        <v>4.2977624600620103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87.3677313039193</v>
      </c>
      <c r="AO170" s="62">
        <f t="shared" si="144"/>
        <v>326.27342751542903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3.6714467142894622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3.6714467142894622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254.91239442958343</v>
      </c>
      <c r="BJ170" s="62">
        <f t="shared" si="146"/>
        <v>361.41009011468407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-9.7986685432260874E-13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516.30971934066179</v>
      </c>
      <c r="CE170" s="62">
        <f t="shared" si="148"/>
        <v>290.84286505723571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-1.7053025658242404E-13</v>
      </c>
      <c r="CU170" s="18">
        <f>CT170*VLOOKUP('Données projet'!$B$13,Paramètres!$A$1:$I$89,3,0)*VLOOKUP('Données projet'!$B$13,Paramètres!$A$1:$I$89,5,0)</f>
        <v>-1.4897523215040567E-13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226.76930997889059</v>
      </c>
      <c r="CZ170" s="62">
        <f t="shared" si="150"/>
        <v>236.36066378969329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6.1186256061773749E-14</v>
      </c>
      <c r="DQ170" s="14">
        <f t="shared" si="176"/>
        <v>9.7328366192051127E-13</v>
      </c>
      <c r="DR170" s="22">
        <f t="shared" si="177"/>
        <v>1.8017017738191463E-12</v>
      </c>
      <c r="DS170" s="62">
        <f t="shared" si="125"/>
        <v>288.40175636392144</v>
      </c>
      <c r="DT170" s="62">
        <f ca="1">AVERAGE(OFFSET($DS$3,0,0,'Données projet'!$E$14+1,1))-AVERAGE(OFFSET($H$3,0,0,'Données projet'!$E$14+1,1))</f>
        <v>315.12428188060306</v>
      </c>
      <c r="DU170" s="62">
        <f t="shared" si="152"/>
        <v>186.08400677811986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-5.1159076974727213E-13</v>
      </c>
      <c r="EK170" s="18">
        <f>EJ170*VLOOKUP('Données projet'!$B$15,Paramètres!$A$1:$I$89,3,0)*VLOOKUP('Données projet'!$B$15,Paramètres!$A$1:$I$89,5,0)</f>
        <v>-5.3471467253984886E-13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530.77325763685963</v>
      </c>
      <c r="EP170" s="62">
        <f t="shared" si="154"/>
        <v>344.23100274990145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90.580021122303947</v>
      </c>
      <c r="T171" s="62">
        <f t="shared" si="142"/>
        <v>375.77399473907451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4.213485959596456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3.967178656906483E-22</v>
      </c>
      <c r="AC171" s="24">
        <f t="shared" si="163"/>
        <v>4.213485959596456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87.3677313039193</v>
      </c>
      <c r="AO171" s="62">
        <f t="shared" si="144"/>
        <v>326.27342751542903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3.5994518835836229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3.5994518835836229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254.91239442958343</v>
      </c>
      <c r="BJ171" s="62">
        <f t="shared" si="146"/>
        <v>361.41009011468407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-9.7986685432260874E-13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516.30971934066179</v>
      </c>
      <c r="CE171" s="62">
        <f t="shared" si="148"/>
        <v>290.84286505723571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-1.7053025658242404E-13</v>
      </c>
      <c r="CU171" s="18">
        <f>CT171*VLOOKUP('Données projet'!$B$13,Paramètres!$A$1:$I$89,3,0)*VLOOKUP('Données projet'!$B$13,Paramètres!$A$1:$I$89,5,0)</f>
        <v>-1.4897523215040567E-13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226.76930997889059</v>
      </c>
      <c r="CZ171" s="62">
        <f t="shared" si="150"/>
        <v>236.36066378969329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6.1186256061773749E-14</v>
      </c>
      <c r="DQ171" s="14">
        <f t="shared" si="176"/>
        <v>9.7328366192051127E-13</v>
      </c>
      <c r="DR171" s="22">
        <f t="shared" si="177"/>
        <v>1.8017017738191463E-12</v>
      </c>
      <c r="DS171" s="62">
        <f t="shared" si="125"/>
        <v>288.48730819898634</v>
      </c>
      <c r="DT171" s="62">
        <f ca="1">AVERAGE(OFFSET($DS$3,0,0,'Données projet'!$E$14+1,1))-AVERAGE(OFFSET($H$3,0,0,'Données projet'!$E$14+1,1))</f>
        <v>315.12428188060306</v>
      </c>
      <c r="DU171" s="62">
        <f t="shared" si="152"/>
        <v>186.08400677811986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-5.1159076974727213E-13</v>
      </c>
      <c r="EK171" s="18">
        <f>EJ171*VLOOKUP('Données projet'!$B$15,Paramètres!$A$1:$I$89,3,0)*VLOOKUP('Données projet'!$B$15,Paramètres!$A$1:$I$89,5,0)</f>
        <v>-5.3471467253984886E-13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530.77325763685963</v>
      </c>
      <c r="EP171" s="62">
        <f t="shared" si="154"/>
        <v>344.23100274990145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90.580021122303947</v>
      </c>
      <c r="T172" s="62">
        <f t="shared" si="142"/>
        <v>375.77399473907451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4.1308620699014416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2.8052189304771139E-22</v>
      </c>
      <c r="AC172" s="24">
        <f t="shared" si="163"/>
        <v>4.1308620699014416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87.3677313039193</v>
      </c>
      <c r="AO172" s="62">
        <f t="shared" si="144"/>
        <v>326.27342751542903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3.5288688275954145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3.5288688275954145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254.91239442958343</v>
      </c>
      <c r="BJ172" s="62">
        <f t="shared" si="146"/>
        <v>361.41009011468407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-9.7986685432260874E-13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516.30971934066179</v>
      </c>
      <c r="CE172" s="62">
        <f t="shared" si="148"/>
        <v>290.84286505723571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-1.7053025658242404E-13</v>
      </c>
      <c r="CU172" s="18">
        <f>CT172*VLOOKUP('Données projet'!$B$13,Paramètres!$A$1:$I$89,3,0)*VLOOKUP('Données projet'!$B$13,Paramètres!$A$1:$I$89,5,0)</f>
        <v>-1.4897523215040567E-13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226.76930997889059</v>
      </c>
      <c r="CZ172" s="62">
        <f t="shared" si="150"/>
        <v>236.36066378969329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6.1186256061773749E-14</v>
      </c>
      <c r="DQ172" s="14">
        <f t="shared" si="176"/>
        <v>9.7328366192051127E-13</v>
      </c>
      <c r="DR172" s="22">
        <f t="shared" si="177"/>
        <v>1.8017017738191463E-12</v>
      </c>
      <c r="DS172" s="62">
        <f t="shared" si="125"/>
        <v>288.57137590097824</v>
      </c>
      <c r="DT172" s="62">
        <f ca="1">AVERAGE(OFFSET($DS$3,0,0,'Données projet'!$E$14+1,1))-AVERAGE(OFFSET($H$3,0,0,'Données projet'!$E$14+1,1))</f>
        <v>315.12428188060306</v>
      </c>
      <c r="DU172" s="62">
        <f t="shared" si="152"/>
        <v>186.08400677811986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-5.1159076974727213E-13</v>
      </c>
      <c r="EK172" s="18">
        <f>EJ172*VLOOKUP('Données projet'!$B$15,Paramètres!$A$1:$I$89,3,0)*VLOOKUP('Données projet'!$B$15,Paramètres!$A$1:$I$89,5,0)</f>
        <v>-5.3471467253984886E-13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530.77325763685963</v>
      </c>
      <c r="EP172" s="62">
        <f t="shared" si="154"/>
        <v>344.23100274990145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90.580021122303947</v>
      </c>
      <c r="T173" s="62">
        <f t="shared" si="142"/>
        <v>375.77399473907451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4.0498583842877496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1.9835893284532415E-22</v>
      </c>
      <c r="AC173" s="24">
        <f t="shared" si="163"/>
        <v>4.0498583842877496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87.3677313039193</v>
      </c>
      <c r="AO173" s="62">
        <f t="shared" si="144"/>
        <v>326.27342751542903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3.4596698622837216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3.4596698622837216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254.91239442958343</v>
      </c>
      <c r="BJ173" s="62">
        <f t="shared" si="146"/>
        <v>361.41009011468407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-9.7986685432260874E-13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516.30971934066179</v>
      </c>
      <c r="CE173" s="62">
        <f t="shared" si="148"/>
        <v>290.84286505723571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-1.7053025658242404E-13</v>
      </c>
      <c r="CU173" s="18">
        <f>CT173*VLOOKUP('Données projet'!$B$13,Paramètres!$A$1:$I$89,3,0)*VLOOKUP('Données projet'!$B$13,Paramètres!$A$1:$I$89,5,0)</f>
        <v>-1.4897523215040567E-13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226.76930997889059</v>
      </c>
      <c r="CZ173" s="62">
        <f t="shared" si="150"/>
        <v>236.36066378969329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6.1186256061773749E-14</v>
      </c>
      <c r="DQ173" s="14">
        <f t="shared" si="176"/>
        <v>9.7328366192051127E-13</v>
      </c>
      <c r="DR173" s="22">
        <f t="shared" si="177"/>
        <v>1.8017017738191463E-12</v>
      </c>
      <c r="DS173" s="62">
        <f t="shared" si="125"/>
        <v>288.65398521628771</v>
      </c>
      <c r="DT173" s="62">
        <f ca="1">AVERAGE(OFFSET($DS$3,0,0,'Données projet'!$E$14+1,1))-AVERAGE(OFFSET($H$3,0,0,'Données projet'!$E$14+1,1))</f>
        <v>315.12428188060306</v>
      </c>
      <c r="DU173" s="62">
        <f t="shared" si="152"/>
        <v>186.08400677811986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-5.1159076974727213E-13</v>
      </c>
      <c r="EK173" s="18">
        <f>EJ173*VLOOKUP('Données projet'!$B$15,Paramètres!$A$1:$I$89,3,0)*VLOOKUP('Données projet'!$B$15,Paramètres!$A$1:$I$89,5,0)</f>
        <v>-5.3471467253984886E-13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530.77325763685963</v>
      </c>
      <c r="EP173" s="62">
        <f t="shared" si="154"/>
        <v>344.23100274990145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90.580021122303947</v>
      </c>
      <c r="T174" s="62">
        <f t="shared" si="142"/>
        <v>375.77399473907451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3.9704431315415722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1.402609465238557E-22</v>
      </c>
      <c r="AC174" s="24">
        <f t="shared" si="163"/>
        <v>3.9704431315415722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87.3677313039193</v>
      </c>
      <c r="AO174" s="62">
        <f t="shared" si="144"/>
        <v>326.27342751542903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3.3918278464745897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3.3918278464745897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254.91239442958343</v>
      </c>
      <c r="BJ174" s="62">
        <f t="shared" si="146"/>
        <v>361.41009011468407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-9.7986685432260874E-13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516.30971934066179</v>
      </c>
      <c r="CE174" s="62">
        <f t="shared" si="148"/>
        <v>290.84286505723571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-1.7053025658242404E-13</v>
      </c>
      <c r="CU174" s="18">
        <f>CT174*VLOOKUP('Données projet'!$B$13,Paramètres!$A$1:$I$89,3,0)*VLOOKUP('Données projet'!$B$13,Paramètres!$A$1:$I$89,5,0)</f>
        <v>-1.4897523215040567E-13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226.76930997889059</v>
      </c>
      <c r="CZ174" s="62">
        <f t="shared" si="150"/>
        <v>236.36066378969329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6.1186256061773749E-14</v>
      </c>
      <c r="DQ174" s="14">
        <f t="shared" si="176"/>
        <v>9.7328366192051127E-13</v>
      </c>
      <c r="DR174" s="22">
        <f t="shared" si="177"/>
        <v>1.8017017738191463E-12</v>
      </c>
      <c r="DS174" s="62">
        <f t="shared" si="125"/>
        <v>288.73516144466333</v>
      </c>
      <c r="DT174" s="62">
        <f ca="1">AVERAGE(OFFSET($DS$3,0,0,'Données projet'!$E$14+1,1))-AVERAGE(OFFSET($H$3,0,0,'Données projet'!$E$14+1,1))</f>
        <v>315.12428188060306</v>
      </c>
      <c r="DU174" s="62">
        <f t="shared" si="152"/>
        <v>186.08400677811986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-5.1159076974727213E-13</v>
      </c>
      <c r="EK174" s="18">
        <f>EJ174*VLOOKUP('Données projet'!$B$15,Paramètres!$A$1:$I$89,3,0)*VLOOKUP('Données projet'!$B$15,Paramètres!$A$1:$I$89,5,0)</f>
        <v>-5.3471467253984886E-13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530.77325763685963</v>
      </c>
      <c r="EP174" s="62">
        <f t="shared" si="154"/>
        <v>344.23100274990145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90.580021122303947</v>
      </c>
      <c r="T175" s="62">
        <f t="shared" si="142"/>
        <v>375.77399473907451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3.892585163463226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9.9179466422662074E-23</v>
      </c>
      <c r="AC175" s="24">
        <f t="shared" si="163"/>
        <v>3.892585163463226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87.3677313039193</v>
      </c>
      <c r="AO175" s="62">
        <f t="shared" si="144"/>
        <v>326.27342751542903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3.3253161712159311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3.3253161712159311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254.91239442958343</v>
      </c>
      <c r="BJ175" s="62">
        <f t="shared" si="146"/>
        <v>361.41009011468407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-9.7986685432260874E-13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516.30971934066179</v>
      </c>
      <c r="CE175" s="62">
        <f t="shared" si="148"/>
        <v>290.84286505723571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-1.7053025658242404E-13</v>
      </c>
      <c r="CU175" s="18">
        <f>CT175*VLOOKUP('Données projet'!$B$13,Paramètres!$A$1:$I$89,3,0)*VLOOKUP('Données projet'!$B$13,Paramètres!$A$1:$I$89,5,0)</f>
        <v>-1.4897523215040567E-13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226.76930997889059</v>
      </c>
      <c r="CZ175" s="62">
        <f t="shared" si="150"/>
        <v>236.36066378969329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6.1186256061773749E-14</v>
      </c>
      <c r="DQ175" s="14">
        <f t="shared" si="176"/>
        <v>9.7328366192051127E-13</v>
      </c>
      <c r="DR175" s="22">
        <f t="shared" si="177"/>
        <v>1.8017017738191463E-12</v>
      </c>
      <c r="DS175" s="62">
        <f t="shared" si="125"/>
        <v>288.81492944695947</v>
      </c>
      <c r="DT175" s="62">
        <f ca="1">AVERAGE(OFFSET($DS$3,0,0,'Données projet'!$E$14+1,1))-AVERAGE(OFFSET($H$3,0,0,'Données projet'!$E$14+1,1))</f>
        <v>315.12428188060306</v>
      </c>
      <c r="DU175" s="62">
        <f t="shared" si="152"/>
        <v>186.08400677811986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-5.1159076974727213E-13</v>
      </c>
      <c r="EK175" s="18">
        <f>EJ175*VLOOKUP('Données projet'!$B$15,Paramètres!$A$1:$I$89,3,0)*VLOOKUP('Données projet'!$B$15,Paramètres!$A$1:$I$89,5,0)</f>
        <v>-5.3471467253984886E-13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530.77325763685963</v>
      </c>
      <c r="EP175" s="62">
        <f t="shared" si="154"/>
        <v>344.23100274990145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90.580021122303947</v>
      </c>
      <c r="T176" s="62">
        <f t="shared" si="142"/>
        <v>375.77399473907451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3.8162539426502251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7.0130473261927848E-23</v>
      </c>
      <c r="AC176" s="24">
        <f t="shared" si="163"/>
        <v>3.8162539426502251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87.3677313039193</v>
      </c>
      <c r="AO176" s="62">
        <f t="shared" si="144"/>
        <v>326.27342751542903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3.2601087493409788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3.2601087493409788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254.91239442958343</v>
      </c>
      <c r="BJ176" s="62">
        <f t="shared" si="146"/>
        <v>361.41009011468407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-9.7986685432260874E-13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516.30971934066179</v>
      </c>
      <c r="CE176" s="62">
        <f t="shared" si="148"/>
        <v>290.84286505723571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-1.7053025658242404E-13</v>
      </c>
      <c r="CU176" s="18">
        <f>CT176*VLOOKUP('Données projet'!$B$13,Paramètres!$A$1:$I$89,3,0)*VLOOKUP('Données projet'!$B$13,Paramètres!$A$1:$I$89,5,0)</f>
        <v>-1.4897523215040567E-13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226.76930997889059</v>
      </c>
      <c r="CZ176" s="62">
        <f t="shared" si="150"/>
        <v>236.36066378969329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6.1186256061773749E-14</v>
      </c>
      <c r="DQ176" s="14">
        <f t="shared" si="176"/>
        <v>9.7328366192051127E-13</v>
      </c>
      <c r="DR176" s="22">
        <f t="shared" si="177"/>
        <v>1.8017017738191463E-12</v>
      </c>
      <c r="DS176" s="62">
        <f t="shared" si="125"/>
        <v>288.89331365275029</v>
      </c>
      <c r="DT176" s="62">
        <f ca="1">AVERAGE(OFFSET($DS$3,0,0,'Données projet'!$E$14+1,1))-AVERAGE(OFFSET($H$3,0,0,'Données projet'!$E$14+1,1))</f>
        <v>315.12428188060306</v>
      </c>
      <c r="DU176" s="62">
        <f t="shared" si="152"/>
        <v>186.08400677811986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-5.1159076974727213E-13</v>
      </c>
      <c r="EK176" s="18">
        <f>EJ176*VLOOKUP('Données projet'!$B$15,Paramètres!$A$1:$I$89,3,0)*VLOOKUP('Données projet'!$B$15,Paramètres!$A$1:$I$89,5,0)</f>
        <v>-5.3471467253984886E-13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530.77325763685963</v>
      </c>
      <c r="EP176" s="62">
        <f t="shared" si="154"/>
        <v>344.23100274990145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90.580021122303947</v>
      </c>
      <c r="T177" s="62">
        <f t="shared" si="142"/>
        <v>375.77399473907451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3.7414195305199196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4.9589733211331037E-23</v>
      </c>
      <c r="AC177" s="24">
        <f t="shared" si="163"/>
        <v>3.7414195305199196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87.3677313039193</v>
      </c>
      <c r="AO177" s="62">
        <f t="shared" si="144"/>
        <v>326.27342751542903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3.1961800052363945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3.1961800052363945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254.91239442958343</v>
      </c>
      <c r="BJ177" s="62">
        <f t="shared" si="146"/>
        <v>361.41009011468407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-9.7986685432260874E-13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516.30971934066179</v>
      </c>
      <c r="CE177" s="62">
        <f t="shared" si="148"/>
        <v>290.84286505723571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-1.7053025658242404E-13</v>
      </c>
      <c r="CU177" s="18">
        <f>CT177*VLOOKUP('Données projet'!$B$13,Paramètres!$A$1:$I$89,3,0)*VLOOKUP('Données projet'!$B$13,Paramètres!$A$1:$I$89,5,0)</f>
        <v>-1.4897523215040567E-13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226.76930997889059</v>
      </c>
      <c r="CZ177" s="62">
        <f t="shared" si="150"/>
        <v>236.36066378969329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6.1186256061773749E-14</v>
      </c>
      <c r="DQ177" s="14">
        <f t="shared" si="176"/>
        <v>9.7328366192051127E-13</v>
      </c>
      <c r="DR177" s="22">
        <f t="shared" si="177"/>
        <v>1.8017017738191463E-12</v>
      </c>
      <c r="DS177" s="62">
        <f t="shared" si="125"/>
        <v>288.97033806781155</v>
      </c>
      <c r="DT177" s="62">
        <f ca="1">AVERAGE(OFFSET($DS$3,0,0,'Données projet'!$E$14+1,1))-AVERAGE(OFFSET($H$3,0,0,'Données projet'!$E$14+1,1))</f>
        <v>315.12428188060306</v>
      </c>
      <c r="DU177" s="62">
        <f t="shared" si="152"/>
        <v>186.08400677811986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-5.1159076974727213E-13</v>
      </c>
      <c r="EK177" s="18">
        <f>EJ177*VLOOKUP('Données projet'!$B$15,Paramètres!$A$1:$I$89,3,0)*VLOOKUP('Données projet'!$B$15,Paramètres!$A$1:$I$89,5,0)</f>
        <v>-5.3471467253984886E-13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530.77325763685963</v>
      </c>
      <c r="EP177" s="62">
        <f t="shared" si="154"/>
        <v>344.23100274990145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90.580021122303947</v>
      </c>
      <c r="T178" s="62">
        <f t="shared" si="142"/>
        <v>375.77399473907451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3.6680525755670046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3.5065236630963924E-23</v>
      </c>
      <c r="AC178" s="24">
        <f t="shared" si="163"/>
        <v>3.6680525755670046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87.3677313039193</v>
      </c>
      <c r="AO178" s="62">
        <f t="shared" si="144"/>
        <v>326.27342751542903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3.1335048648110169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3.1335048648110169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254.91239442958343</v>
      </c>
      <c r="BJ178" s="62">
        <f t="shared" si="146"/>
        <v>361.41009011468407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-9.7986685432260874E-13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516.30971934066179</v>
      </c>
      <c r="CE178" s="62">
        <f t="shared" si="148"/>
        <v>290.84286505723571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-1.7053025658242404E-13</v>
      </c>
      <c r="CU178" s="18">
        <f>CT178*VLOOKUP('Données projet'!$B$13,Paramètres!$A$1:$I$89,3,0)*VLOOKUP('Données projet'!$B$13,Paramètres!$A$1:$I$89,5,0)</f>
        <v>-1.4897523215040567E-13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226.76930997889059</v>
      </c>
      <c r="CZ178" s="62">
        <f t="shared" si="150"/>
        <v>236.36066378969329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6.1186256061773749E-14</v>
      </c>
      <c r="DQ178" s="14">
        <f t="shared" si="176"/>
        <v>9.7328366192051127E-13</v>
      </c>
      <c r="DR178" s="22">
        <f t="shared" si="177"/>
        <v>1.8017017738191463E-12</v>
      </c>
      <c r="DS178" s="62">
        <f t="shared" si="125"/>
        <v>289.04602628147222</v>
      </c>
      <c r="DT178" s="62">
        <f ca="1">AVERAGE(OFFSET($DS$3,0,0,'Données projet'!$E$14+1,1))-AVERAGE(OFFSET($H$3,0,0,'Données projet'!$E$14+1,1))</f>
        <v>315.12428188060306</v>
      </c>
      <c r="DU178" s="62">
        <f t="shared" si="152"/>
        <v>186.08400677811986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-5.1159076974727213E-13</v>
      </c>
      <c r="EK178" s="18">
        <f>EJ178*VLOOKUP('Données projet'!$B$15,Paramètres!$A$1:$I$89,3,0)*VLOOKUP('Données projet'!$B$15,Paramètres!$A$1:$I$89,5,0)</f>
        <v>-5.3471467253984886E-13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530.77325763685963</v>
      </c>
      <c r="EP178" s="62">
        <f t="shared" si="154"/>
        <v>344.23100274990145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90.580021122303947</v>
      </c>
      <c r="T179" s="62">
        <f t="shared" si="142"/>
        <v>375.77399473907451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3.5961243018512925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2.4794866605665519E-23</v>
      </c>
      <c r="AC179" s="24">
        <f t="shared" si="163"/>
        <v>3.5961243018512925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87.3677313039193</v>
      </c>
      <c r="AO179" s="62">
        <f t="shared" si="144"/>
        <v>326.27342751542903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3.07205874566132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3.07205874566132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254.91239442958343</v>
      </c>
      <c r="BJ179" s="62">
        <f t="shared" si="146"/>
        <v>361.41009011468407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-9.7986685432260874E-13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516.30971934066179</v>
      </c>
      <c r="CE179" s="62">
        <f t="shared" si="148"/>
        <v>290.84286505723571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-1.7053025658242404E-13</v>
      </c>
      <c r="CU179" s="18">
        <f>CT179*VLOOKUP('Données projet'!$B$13,Paramètres!$A$1:$I$89,3,0)*VLOOKUP('Données projet'!$B$13,Paramètres!$A$1:$I$89,5,0)</f>
        <v>-1.4897523215040567E-13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226.76930997889059</v>
      </c>
      <c r="CZ179" s="62">
        <f t="shared" si="150"/>
        <v>236.36066378969329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6.1186256061773749E-14</v>
      </c>
      <c r="DQ179" s="14">
        <f t="shared" si="176"/>
        <v>9.7328366192051127E-13</v>
      </c>
      <c r="DR179" s="22">
        <f t="shared" si="177"/>
        <v>1.8017017738191463E-12</v>
      </c>
      <c r="DS179" s="62">
        <f t="shared" si="125"/>
        <v>289.12040147383942</v>
      </c>
      <c r="DT179" s="62">
        <f ca="1">AVERAGE(OFFSET($DS$3,0,0,'Données projet'!$E$14+1,1))-AVERAGE(OFFSET($H$3,0,0,'Données projet'!$E$14+1,1))</f>
        <v>315.12428188060306</v>
      </c>
      <c r="DU179" s="62">
        <f t="shared" si="152"/>
        <v>186.08400677811986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-5.1159076974727213E-13</v>
      </c>
      <c r="EK179" s="18">
        <f>EJ179*VLOOKUP('Données projet'!$B$15,Paramètres!$A$1:$I$89,3,0)*VLOOKUP('Données projet'!$B$15,Paramètres!$A$1:$I$89,5,0)</f>
        <v>-5.3471467253984886E-13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530.77325763685963</v>
      </c>
      <c r="EP179" s="62">
        <f t="shared" si="154"/>
        <v>344.23100274990145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90.580021122303947</v>
      </c>
      <c r="T180" s="62">
        <f t="shared" si="142"/>
        <v>375.77399473907451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3.5256064977112307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1.7532618315481962E-23</v>
      </c>
      <c r="AC180" s="24">
        <f t="shared" si="163"/>
        <v>3.5256064977112307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87.3677313039193</v>
      </c>
      <c r="AO180" s="62">
        <f t="shared" si="144"/>
        <v>326.27342751542903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3.0118175474297169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3.0118175474297169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254.91239442958343</v>
      </c>
      <c r="BJ180" s="62">
        <f t="shared" si="146"/>
        <v>361.41009011468407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-9.7986685432260874E-13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516.30971934066179</v>
      </c>
      <c r="CE180" s="62">
        <f t="shared" si="148"/>
        <v>290.84286505723571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-1.7053025658242404E-13</v>
      </c>
      <c r="CU180" s="18">
        <f>CT180*VLOOKUP('Données projet'!$B$13,Paramètres!$A$1:$I$89,3,0)*VLOOKUP('Données projet'!$B$13,Paramètres!$A$1:$I$89,5,0)</f>
        <v>-1.4897523215040567E-13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226.76930997889059</v>
      </c>
      <c r="CZ180" s="62">
        <f t="shared" si="150"/>
        <v>236.36066378969329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6.1186256061773749E-14</v>
      </c>
      <c r="DQ180" s="14">
        <f t="shared" si="176"/>
        <v>9.7328366192051127E-13</v>
      </c>
      <c r="DR180" s="22">
        <f t="shared" si="177"/>
        <v>1.8017017738191463E-12</v>
      </c>
      <c r="DS180" s="62">
        <f t="shared" si="125"/>
        <v>289.19348642289708</v>
      </c>
      <c r="DT180" s="62">
        <f ca="1">AVERAGE(OFFSET($DS$3,0,0,'Données projet'!$E$14+1,1))-AVERAGE(OFFSET($H$3,0,0,'Données projet'!$E$14+1,1))</f>
        <v>315.12428188060306</v>
      </c>
      <c r="DU180" s="62">
        <f t="shared" si="152"/>
        <v>186.08400677811986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-5.1159076974727213E-13</v>
      </c>
      <c r="EK180" s="18">
        <f>EJ180*VLOOKUP('Données projet'!$B$15,Paramètres!$A$1:$I$89,3,0)*VLOOKUP('Données projet'!$B$15,Paramètres!$A$1:$I$89,5,0)</f>
        <v>-5.3471467253984886E-13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530.77325763685963</v>
      </c>
      <c r="EP180" s="62">
        <f t="shared" si="154"/>
        <v>344.23100274990145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90.580021122303947</v>
      </c>
      <c r="T181" s="62">
        <f t="shared" si="142"/>
        <v>375.77399473907451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3.456471504698742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1.2397433302832759E-23</v>
      </c>
      <c r="AC181" s="24">
        <f t="shared" si="163"/>
        <v>3.456471504698742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87.3677313039193</v>
      </c>
      <c r="AO181" s="62">
        <f t="shared" si="144"/>
        <v>326.27342751542903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2.9527576423519326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2.9527576423519326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254.91239442958343</v>
      </c>
      <c r="BJ181" s="62">
        <f t="shared" si="146"/>
        <v>361.41009011468407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-9.7986685432260874E-13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516.30971934066179</v>
      </c>
      <c r="CE181" s="62">
        <f t="shared" si="148"/>
        <v>290.84286505723571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-1.7053025658242404E-13</v>
      </c>
      <c r="CU181" s="18">
        <f>CT181*VLOOKUP('Données projet'!$B$13,Paramètres!$A$1:$I$89,3,0)*VLOOKUP('Données projet'!$B$13,Paramètres!$A$1:$I$89,5,0)</f>
        <v>-1.4897523215040567E-13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226.76930997889059</v>
      </c>
      <c r="CZ181" s="62">
        <f t="shared" si="150"/>
        <v>236.36066378969329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6.1186256061773749E-14</v>
      </c>
      <c r="DQ181" s="14">
        <f t="shared" si="176"/>
        <v>9.7328366192051127E-13</v>
      </c>
      <c r="DR181" s="22">
        <f t="shared" si="177"/>
        <v>1.8017017738191463E-12</v>
      </c>
      <c r="DS181" s="62">
        <f t="shared" si="125"/>
        <v>289.26530351148199</v>
      </c>
      <c r="DT181" s="62">
        <f ca="1">AVERAGE(OFFSET($DS$3,0,0,'Données projet'!$E$14+1,1))-AVERAGE(OFFSET($H$3,0,0,'Données projet'!$E$14+1,1))</f>
        <v>315.12428188060306</v>
      </c>
      <c r="DU181" s="62">
        <f t="shared" si="152"/>
        <v>186.08400677811986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-5.1159076974727213E-13</v>
      </c>
      <c r="EK181" s="18">
        <f>EJ181*VLOOKUP('Données projet'!$B$15,Paramètres!$A$1:$I$89,3,0)*VLOOKUP('Données projet'!$B$15,Paramètres!$A$1:$I$89,5,0)</f>
        <v>-5.3471467253984886E-13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530.77325763685963</v>
      </c>
      <c r="EP181" s="62">
        <f t="shared" si="154"/>
        <v>344.23100274990145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90.580021122303947</v>
      </c>
      <c r="T182" s="62">
        <f t="shared" si="142"/>
        <v>375.77399473907451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3.3886922067310463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8.766309157740981E-24</v>
      </c>
      <c r="AC182" s="24">
        <f t="shared" si="163"/>
        <v>3.3886922067310463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87.3677313039193</v>
      </c>
      <c r="AO182" s="62">
        <f t="shared" si="144"/>
        <v>326.27342751542903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2.8948558659897388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2.8948558659897388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254.91239442958343</v>
      </c>
      <c r="BJ182" s="62">
        <f t="shared" si="146"/>
        <v>361.41009011468407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-9.7986685432260874E-13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516.30971934066179</v>
      </c>
      <c r="CE182" s="62">
        <f t="shared" si="148"/>
        <v>290.84286505723571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-1.7053025658242404E-13</v>
      </c>
      <c r="CU182" s="18">
        <f>CT182*VLOOKUP('Données projet'!$B$13,Paramètres!$A$1:$I$89,3,0)*VLOOKUP('Données projet'!$B$13,Paramètres!$A$1:$I$89,5,0)</f>
        <v>-1.4897523215040567E-13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226.76930997889059</v>
      </c>
      <c r="CZ182" s="62">
        <f t="shared" si="150"/>
        <v>236.36066378969329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6.1186256061773749E-14</v>
      </c>
      <c r="DQ182" s="14">
        <f t="shared" si="176"/>
        <v>9.7328366192051127E-13</v>
      </c>
      <c r="DR182" s="22">
        <f t="shared" si="177"/>
        <v>1.8017017738191463E-12</v>
      </c>
      <c r="DS182" s="62">
        <f t="shared" si="125"/>
        <v>289.33587473413894</v>
      </c>
      <c r="DT182" s="62">
        <f ca="1">AVERAGE(OFFSET($DS$3,0,0,'Données projet'!$E$14+1,1))-AVERAGE(OFFSET($H$3,0,0,'Données projet'!$E$14+1,1))</f>
        <v>315.12428188060306</v>
      </c>
      <c r="DU182" s="62">
        <f t="shared" si="152"/>
        <v>186.08400677811986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-5.1159076974727213E-13</v>
      </c>
      <c r="EK182" s="18">
        <f>EJ182*VLOOKUP('Données projet'!$B$15,Paramètres!$A$1:$I$89,3,0)*VLOOKUP('Données projet'!$B$15,Paramètres!$A$1:$I$89,5,0)</f>
        <v>-5.3471467253984886E-13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530.77325763685963</v>
      </c>
      <c r="EP182" s="62">
        <f t="shared" si="154"/>
        <v>344.23100274990145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90.580021122303947</v>
      </c>
      <c r="T183" s="62">
        <f t="shared" si="142"/>
        <v>375.77399473907451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3.3222420194552074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6.1987166514163796E-24</v>
      </c>
      <c r="AC183" s="24">
        <f t="shared" si="163"/>
        <v>3.3222420194552074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87.3677313039193</v>
      </c>
      <c r="AO183" s="62">
        <f t="shared" si="144"/>
        <v>326.27342751542903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2.8380895081454112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2.8380895081454112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254.91239442958343</v>
      </c>
      <c r="BJ183" s="62">
        <f t="shared" si="146"/>
        <v>361.41009011468407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-9.7986685432260874E-13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516.30971934066179</v>
      </c>
      <c r="CE183" s="62">
        <f t="shared" si="148"/>
        <v>290.84286505723571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-1.7053025658242404E-13</v>
      </c>
      <c r="CU183" s="18">
        <f>CT183*VLOOKUP('Données projet'!$B$13,Paramètres!$A$1:$I$89,3,0)*VLOOKUP('Données projet'!$B$13,Paramètres!$A$1:$I$89,5,0)</f>
        <v>-1.4897523215040567E-13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226.76930997889059</v>
      </c>
      <c r="CZ183" s="62">
        <f t="shared" si="150"/>
        <v>236.36066378969329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6.1186256061773749E-14</v>
      </c>
      <c r="DQ183" s="14">
        <f t="shared" si="176"/>
        <v>9.7328366192051127E-13</v>
      </c>
      <c r="DR183" s="22">
        <f t="shared" si="177"/>
        <v>1.8017017738191463E-12</v>
      </c>
      <c r="DS183" s="62">
        <f t="shared" si="125"/>
        <v>289.40522170385645</v>
      </c>
      <c r="DT183" s="62">
        <f ca="1">AVERAGE(OFFSET($DS$3,0,0,'Données projet'!$E$14+1,1))-AVERAGE(OFFSET($H$3,0,0,'Données projet'!$E$14+1,1))</f>
        <v>315.12428188060306</v>
      </c>
      <c r="DU183" s="62">
        <f t="shared" si="152"/>
        <v>186.08400677811986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-5.1159076974727213E-13</v>
      </c>
      <c r="EK183" s="18">
        <f>EJ183*VLOOKUP('Données projet'!$B$15,Paramètres!$A$1:$I$89,3,0)*VLOOKUP('Données projet'!$B$15,Paramètres!$A$1:$I$89,5,0)</f>
        <v>-5.3471467253984886E-13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530.77325763685963</v>
      </c>
      <c r="EP183" s="62">
        <f t="shared" si="154"/>
        <v>344.23100274990145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90.580021122303947</v>
      </c>
      <c r="T184" s="62">
        <f t="shared" si="142"/>
        <v>375.77399473907451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3.2570948798212354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4.3831545788704905E-24</v>
      </c>
      <c r="AC184" s="24">
        <f t="shared" si="163"/>
        <v>3.2570948798212354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87.3677313039193</v>
      </c>
      <c r="AO184" s="62">
        <f t="shared" si="144"/>
        <v>326.27342751542903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2.7824363039543512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2.7824363039543512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254.91239442958343</v>
      </c>
      <c r="BJ184" s="62">
        <f t="shared" si="146"/>
        <v>361.41009011468407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-9.7986685432260874E-13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516.30971934066179</v>
      </c>
      <c r="CE184" s="62">
        <f t="shared" si="148"/>
        <v>290.84286505723571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-1.7053025658242404E-13</v>
      </c>
      <c r="CU184" s="18">
        <f>CT184*VLOOKUP('Données projet'!$B$13,Paramètres!$A$1:$I$89,3,0)*VLOOKUP('Données projet'!$B$13,Paramètres!$A$1:$I$89,5,0)</f>
        <v>-1.4897523215040567E-13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226.76930997889059</v>
      </c>
      <c r="CZ184" s="62">
        <f t="shared" si="150"/>
        <v>236.36066378969329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6.1186256061773749E-14</v>
      </c>
      <c r="DQ184" s="14">
        <f t="shared" si="176"/>
        <v>9.7328366192051127E-13</v>
      </c>
      <c r="DR184" s="22">
        <f t="shared" si="177"/>
        <v>1.8017017738191463E-12</v>
      </c>
      <c r="DS184" s="62">
        <f t="shared" si="125"/>
        <v>289.47336565868591</v>
      </c>
      <c r="DT184" s="62">
        <f ca="1">AVERAGE(OFFSET($DS$3,0,0,'Données projet'!$E$14+1,1))-AVERAGE(OFFSET($H$3,0,0,'Données projet'!$E$14+1,1))</f>
        <v>315.12428188060306</v>
      </c>
      <c r="DU184" s="62">
        <f t="shared" si="152"/>
        <v>186.08400677811986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-5.1159076974727213E-13</v>
      </c>
      <c r="EK184" s="18">
        <f>EJ184*VLOOKUP('Données projet'!$B$15,Paramètres!$A$1:$I$89,3,0)*VLOOKUP('Données projet'!$B$15,Paramètres!$A$1:$I$89,5,0)</f>
        <v>-5.3471467253984886E-13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530.77325763685963</v>
      </c>
      <c r="EP184" s="62">
        <f t="shared" si="154"/>
        <v>344.23100274990145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90.580021122303947</v>
      </c>
      <c r="T185" s="62">
        <f t="shared" si="142"/>
        <v>375.77399473907451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3.193225235859654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3.0993583257081898E-24</v>
      </c>
      <c r="AC185" s="24">
        <f t="shared" si="163"/>
        <v>3.193225235859654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87.3677313039193</v>
      </c>
      <c r="AO185" s="62">
        <f t="shared" si="144"/>
        <v>326.27342751542903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2.727874425152375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2.727874425152375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254.91239442958343</v>
      </c>
      <c r="BJ185" s="62">
        <f t="shared" si="146"/>
        <v>361.41009011468407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-9.7986685432260874E-13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516.30971934066179</v>
      </c>
      <c r="CE185" s="62">
        <f t="shared" si="148"/>
        <v>290.84286505723571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-1.7053025658242404E-13</v>
      </c>
      <c r="CU185" s="18">
        <f>CT185*VLOOKUP('Données projet'!$B$13,Paramètres!$A$1:$I$89,3,0)*VLOOKUP('Données projet'!$B$13,Paramètres!$A$1:$I$89,5,0)</f>
        <v>-1.4897523215040567E-13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226.76930997889059</v>
      </c>
      <c r="CZ185" s="62">
        <f t="shared" si="150"/>
        <v>236.36066378969329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6.1186256061773749E-14</v>
      </c>
      <c r="DQ185" s="14">
        <f t="shared" si="176"/>
        <v>9.7328366192051127E-13</v>
      </c>
      <c r="DR185" s="22">
        <f t="shared" si="177"/>
        <v>1.8017017738191463E-12</v>
      </c>
      <c r="DS185" s="62">
        <f t="shared" si="125"/>
        <v>289.54032746824623</v>
      </c>
      <c r="DT185" s="62">
        <f ca="1">AVERAGE(OFFSET($DS$3,0,0,'Données projet'!$E$14+1,1))-AVERAGE(OFFSET($H$3,0,0,'Données projet'!$E$14+1,1))</f>
        <v>315.12428188060306</v>
      </c>
      <c r="DU185" s="62">
        <f t="shared" si="152"/>
        <v>186.08400677811986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-5.1159076974727213E-13</v>
      </c>
      <c r="EK185" s="18">
        <f>EJ185*VLOOKUP('Données projet'!$B$15,Paramètres!$A$1:$I$89,3,0)*VLOOKUP('Données projet'!$B$15,Paramètres!$A$1:$I$89,5,0)</f>
        <v>-5.3471467253984886E-13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530.77325763685963</v>
      </c>
      <c r="EP185" s="62">
        <f t="shared" si="154"/>
        <v>344.23100274990145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90.580021122303947</v>
      </c>
      <c r="T186" s="62">
        <f t="shared" si="142"/>
        <v>375.77399473907451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3.130608036659523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2.1915772894352452E-24</v>
      </c>
      <c r="AC186" s="24">
        <f t="shared" si="163"/>
        <v>3.130608036659523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87.3677313039193</v>
      </c>
      <c r="AO186" s="62">
        <f t="shared" si="144"/>
        <v>326.27342751542903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2.6743824715142459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2.6743824715142459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254.91239442958343</v>
      </c>
      <c r="BJ186" s="62">
        <f t="shared" si="146"/>
        <v>361.41009011468407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-9.7986685432260874E-13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516.30971934066179</v>
      </c>
      <c r="CE186" s="62">
        <f t="shared" si="148"/>
        <v>290.84286505723571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-1.7053025658242404E-13</v>
      </c>
      <c r="CU186" s="18">
        <f>CT186*VLOOKUP('Données projet'!$B$13,Paramètres!$A$1:$I$89,3,0)*VLOOKUP('Données projet'!$B$13,Paramètres!$A$1:$I$89,5,0)</f>
        <v>-1.4897523215040567E-13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226.76930997889059</v>
      </c>
      <c r="CZ186" s="62">
        <f t="shared" si="150"/>
        <v>236.36066378969329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6.1186256061773749E-14</v>
      </c>
      <c r="DQ186" s="14">
        <f t="shared" si="176"/>
        <v>9.7328366192051127E-13</v>
      </c>
      <c r="DR186" s="22">
        <f t="shared" si="177"/>
        <v>1.8017017738191463E-12</v>
      </c>
      <c r="DS186" s="62">
        <f t="shared" si="125"/>
        <v>289.60612764011478</v>
      </c>
      <c r="DT186" s="62">
        <f ca="1">AVERAGE(OFFSET($DS$3,0,0,'Données projet'!$E$14+1,1))-AVERAGE(OFFSET($H$3,0,0,'Données projet'!$E$14+1,1))</f>
        <v>315.12428188060306</v>
      </c>
      <c r="DU186" s="62">
        <f t="shared" si="152"/>
        <v>186.08400677811986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-5.1159076974727213E-13</v>
      </c>
      <c r="EK186" s="18">
        <f>EJ186*VLOOKUP('Données projet'!$B$15,Paramètres!$A$1:$I$89,3,0)*VLOOKUP('Données projet'!$B$15,Paramètres!$A$1:$I$89,5,0)</f>
        <v>-5.3471467253984886E-13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530.77325763685963</v>
      </c>
      <c r="EP186" s="62">
        <f t="shared" si="154"/>
        <v>344.23100274990145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90.580021122303947</v>
      </c>
      <c r="T187" s="62">
        <f t="shared" si="142"/>
        <v>375.77399473907451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3.0692187225429866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1.5496791628540949E-24</v>
      </c>
      <c r="AC187" s="24">
        <f t="shared" si="163"/>
        <v>3.0692187225429866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87.3677313039193</v>
      </c>
      <c r="AO187" s="62">
        <f t="shared" si="144"/>
        <v>326.27342751542903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2.6219394624600905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2.6219394624600905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254.91239442958343</v>
      </c>
      <c r="BJ187" s="62">
        <f t="shared" si="146"/>
        <v>361.41009011468407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-9.7986685432260874E-13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516.30971934066179</v>
      </c>
      <c r="CE187" s="62">
        <f t="shared" si="148"/>
        <v>290.84286505723571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-1.7053025658242404E-13</v>
      </c>
      <c r="CU187" s="18">
        <f>CT187*VLOOKUP('Données projet'!$B$13,Paramètres!$A$1:$I$89,3,0)*VLOOKUP('Données projet'!$B$13,Paramètres!$A$1:$I$89,5,0)</f>
        <v>-1.4897523215040567E-13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226.76930997889059</v>
      </c>
      <c r="CZ187" s="62">
        <f t="shared" si="150"/>
        <v>236.36066378969329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6.1186256061773749E-14</v>
      </c>
      <c r="DQ187" s="14">
        <f t="shared" si="176"/>
        <v>9.7328366192051127E-13</v>
      </c>
      <c r="DR187" s="22">
        <f t="shared" si="177"/>
        <v>1.8017017738191463E-12</v>
      </c>
      <c r="DS187" s="62">
        <f t="shared" si="125"/>
        <v>289.67078632610855</v>
      </c>
      <c r="DT187" s="62">
        <f ca="1">AVERAGE(OFFSET($DS$3,0,0,'Données projet'!$E$14+1,1))-AVERAGE(OFFSET($H$3,0,0,'Données projet'!$E$14+1,1))</f>
        <v>315.12428188060306</v>
      </c>
      <c r="DU187" s="62">
        <f t="shared" si="152"/>
        <v>186.08400677811986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-5.1159076974727213E-13</v>
      </c>
      <c r="EK187" s="18">
        <f>EJ187*VLOOKUP('Données projet'!$B$15,Paramètres!$A$1:$I$89,3,0)*VLOOKUP('Données projet'!$B$15,Paramètres!$A$1:$I$89,5,0)</f>
        <v>-5.3471467253984886E-13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530.77325763685963</v>
      </c>
      <c r="EP187" s="62">
        <f t="shared" si="154"/>
        <v>344.23100274990145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90.580021122303947</v>
      </c>
      <c r="T188" s="62">
        <f t="shared" si="142"/>
        <v>375.77399473907451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3.009033215432491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1.0957886447176226E-24</v>
      </c>
      <c r="AC188" s="24">
        <f t="shared" si="163"/>
        <v>3.009033215432491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87.3677313039193</v>
      </c>
      <c r="AO188" s="62">
        <f t="shared" si="144"/>
        <v>326.27342751542903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2.57052482882641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2.57052482882641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254.91239442958343</v>
      </c>
      <c r="BJ188" s="62">
        <f t="shared" si="146"/>
        <v>361.41009011468407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-9.7986685432260874E-13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516.30971934066179</v>
      </c>
      <c r="CE188" s="62">
        <f t="shared" si="148"/>
        <v>290.84286505723571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-1.7053025658242404E-13</v>
      </c>
      <c r="CU188" s="18">
        <f>CT188*VLOOKUP('Données projet'!$B$13,Paramètres!$A$1:$I$89,3,0)*VLOOKUP('Données projet'!$B$13,Paramètres!$A$1:$I$89,5,0)</f>
        <v>-1.4897523215040567E-13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226.76930997889059</v>
      </c>
      <c r="CZ188" s="62">
        <f t="shared" si="150"/>
        <v>236.36066378969329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6.1186256061773749E-14</v>
      </c>
      <c r="DQ188" s="14">
        <f t="shared" si="176"/>
        <v>9.7328366192051127E-13</v>
      </c>
      <c r="DR188" s="22">
        <f t="shared" si="177"/>
        <v>1.8017017738191463E-12</v>
      </c>
      <c r="DS188" s="62">
        <f t="shared" si="125"/>
        <v>289.73432332845556</v>
      </c>
      <c r="DT188" s="62">
        <f ca="1">AVERAGE(OFFSET($DS$3,0,0,'Données projet'!$E$14+1,1))-AVERAGE(OFFSET($H$3,0,0,'Données projet'!$E$14+1,1))</f>
        <v>315.12428188060306</v>
      </c>
      <c r="DU188" s="62">
        <f t="shared" si="152"/>
        <v>186.08400677811986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-5.1159076974727213E-13</v>
      </c>
      <c r="EK188" s="18">
        <f>EJ188*VLOOKUP('Données projet'!$B$15,Paramètres!$A$1:$I$89,3,0)*VLOOKUP('Données projet'!$B$15,Paramètres!$A$1:$I$89,5,0)</f>
        <v>-5.3471467253984886E-13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530.77325763685963</v>
      </c>
      <c r="EP188" s="62">
        <f t="shared" si="154"/>
        <v>344.23100274990145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90.580021122303947</v>
      </c>
      <c r="T189" s="62">
        <f t="shared" si="142"/>
        <v>375.77399473907451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2.9500279094068977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7.7483958142704745E-25</v>
      </c>
      <c r="AC189" s="24">
        <f t="shared" si="163"/>
        <v>2.9500279094068977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87.3677313039193</v>
      </c>
      <c r="AO189" s="62">
        <f t="shared" si="144"/>
        <v>326.27342751542903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2.5201184047984557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2.5201184047984557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254.91239442958343</v>
      </c>
      <c r="BJ189" s="62">
        <f t="shared" si="146"/>
        <v>361.41009011468407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-9.7986685432260874E-13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516.30971934066179</v>
      </c>
      <c r="CE189" s="62">
        <f t="shared" si="148"/>
        <v>290.84286505723571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-1.7053025658242404E-13</v>
      </c>
      <c r="CU189" s="18">
        <f>CT189*VLOOKUP('Données projet'!$B$13,Paramètres!$A$1:$I$89,3,0)*VLOOKUP('Données projet'!$B$13,Paramètres!$A$1:$I$89,5,0)</f>
        <v>-1.4897523215040567E-13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226.76930997889059</v>
      </c>
      <c r="CZ189" s="62">
        <f t="shared" si="150"/>
        <v>236.36066378969329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6.1186256061773749E-14</v>
      </c>
      <c r="DQ189" s="14">
        <f t="shared" si="176"/>
        <v>9.7328366192051127E-13</v>
      </c>
      <c r="DR189" s="22">
        <f t="shared" si="177"/>
        <v>1.8017017738191463E-12</v>
      </c>
      <c r="DS189" s="62">
        <f t="shared" si="125"/>
        <v>289.79675810585923</v>
      </c>
      <c r="DT189" s="62">
        <f ca="1">AVERAGE(OFFSET($DS$3,0,0,'Données projet'!$E$14+1,1))-AVERAGE(OFFSET($H$3,0,0,'Données projet'!$E$14+1,1))</f>
        <v>315.12428188060306</v>
      </c>
      <c r="DU189" s="62">
        <f t="shared" si="152"/>
        <v>186.08400677811986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-5.1159076974727213E-13</v>
      </c>
      <c r="EK189" s="18">
        <f>EJ189*VLOOKUP('Données projet'!$B$15,Paramètres!$A$1:$I$89,3,0)*VLOOKUP('Données projet'!$B$15,Paramètres!$A$1:$I$89,5,0)</f>
        <v>-5.3471467253984886E-13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530.77325763685963</v>
      </c>
      <c r="EP189" s="62">
        <f t="shared" si="154"/>
        <v>344.23100274990145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90.580021122303947</v>
      </c>
      <c r="T190" s="62">
        <f t="shared" si="142"/>
        <v>375.77399473907451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2.8921796614427833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5.4789432235881131E-25</v>
      </c>
      <c r="AC190" s="24">
        <f t="shared" si="163"/>
        <v>2.8921796614427833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87.3677313039193</v>
      </c>
      <c r="AO190" s="62">
        <f t="shared" si="144"/>
        <v>326.27342751542903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2.4707004200008069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2.4707004200008069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254.91239442958343</v>
      </c>
      <c r="BJ190" s="62">
        <f t="shared" si="146"/>
        <v>361.41009011468407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-9.7986685432260874E-13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516.30971934066179</v>
      </c>
      <c r="CE190" s="62">
        <f t="shared" si="148"/>
        <v>290.84286505723571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-1.7053025658242404E-13</v>
      </c>
      <c r="CU190" s="18">
        <f>CT190*VLOOKUP('Données projet'!$B$13,Paramètres!$A$1:$I$89,3,0)*VLOOKUP('Données projet'!$B$13,Paramètres!$A$1:$I$89,5,0)</f>
        <v>-1.4897523215040567E-13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226.76930997889059</v>
      </c>
      <c r="CZ190" s="62">
        <f t="shared" si="150"/>
        <v>236.36066378969329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6.1186256061773749E-14</v>
      </c>
      <c r="DQ190" s="14">
        <f t="shared" si="176"/>
        <v>9.7328366192051127E-13</v>
      </c>
      <c r="DR190" s="22">
        <f t="shared" si="177"/>
        <v>1.8017017738191463E-12</v>
      </c>
      <c r="DS190" s="62">
        <f t="shared" si="125"/>
        <v>289.85810977945823</v>
      </c>
      <c r="DT190" s="62">
        <f ca="1">AVERAGE(OFFSET($DS$3,0,0,'Données projet'!$E$14+1,1))-AVERAGE(OFFSET($H$3,0,0,'Données projet'!$E$14+1,1))</f>
        <v>315.12428188060306</v>
      </c>
      <c r="DU190" s="62">
        <f t="shared" si="152"/>
        <v>186.08400677811986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-5.1159076974727213E-13</v>
      </c>
      <c r="EK190" s="18">
        <f>EJ190*VLOOKUP('Données projet'!$B$15,Paramètres!$A$1:$I$89,3,0)*VLOOKUP('Données projet'!$B$15,Paramètres!$A$1:$I$89,5,0)</f>
        <v>-5.3471467253984886E-13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530.77325763685963</v>
      </c>
      <c r="EP190" s="62">
        <f t="shared" si="154"/>
        <v>344.23100274990145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90.580021122303947</v>
      </c>
      <c r="T191" s="62">
        <f t="shared" si="142"/>
        <v>375.77399473907451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2.8354657823372977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3.8741979071352373E-25</v>
      </c>
      <c r="AC191" s="24">
        <f t="shared" si="163"/>
        <v>2.8354657823372977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87.3677313039193</v>
      </c>
      <c r="AO191" s="62">
        <f t="shared" si="144"/>
        <v>326.27342751542903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2.4222514917430455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2.4222514917430455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254.91239442958343</v>
      </c>
      <c r="BJ191" s="62">
        <f t="shared" si="146"/>
        <v>361.41009011468407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-9.7986685432260874E-13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516.30971934066179</v>
      </c>
      <c r="CE191" s="62">
        <f t="shared" si="148"/>
        <v>290.84286505723571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-1.7053025658242404E-13</v>
      </c>
      <c r="CU191" s="18">
        <f>CT191*VLOOKUP('Données projet'!$B$13,Paramètres!$A$1:$I$89,3,0)*VLOOKUP('Données projet'!$B$13,Paramètres!$A$1:$I$89,5,0)</f>
        <v>-1.4897523215040567E-13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226.76930997889059</v>
      </c>
      <c r="CZ191" s="62">
        <f t="shared" si="150"/>
        <v>236.36066378969329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6.1186256061773749E-14</v>
      </c>
      <c r="DQ191" s="14">
        <f t="shared" si="176"/>
        <v>9.7328366192051127E-13</v>
      </c>
      <c r="DR191" s="22">
        <f t="shared" si="177"/>
        <v>1.8017017738191463E-12</v>
      </c>
      <c r="DS191" s="62">
        <f t="shared" si="125"/>
        <v>289.91839713868205</v>
      </c>
      <c r="DT191" s="62">
        <f ca="1">AVERAGE(OFFSET($DS$3,0,0,'Données projet'!$E$14+1,1))-AVERAGE(OFFSET($H$3,0,0,'Données projet'!$E$14+1,1))</f>
        <v>315.12428188060306</v>
      </c>
      <c r="DU191" s="62">
        <f t="shared" si="152"/>
        <v>186.08400677811986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-5.1159076974727213E-13</v>
      </c>
      <c r="EK191" s="18">
        <f>EJ191*VLOOKUP('Données projet'!$B$15,Paramètres!$A$1:$I$89,3,0)*VLOOKUP('Données projet'!$B$15,Paramètres!$A$1:$I$89,5,0)</f>
        <v>-5.3471467253984886E-13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530.77325763685963</v>
      </c>
      <c r="EP191" s="62">
        <f t="shared" si="154"/>
        <v>344.23100274990145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90.580021122303947</v>
      </c>
      <c r="T192" s="62">
        <f t="shared" si="142"/>
        <v>375.77399473907451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2.7798640278090203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2.7394716117940565E-25</v>
      </c>
      <c r="AC192" s="24">
        <f t="shared" si="163"/>
        <v>2.7798640278090203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87.3677313039193</v>
      </c>
      <c r="AO192" s="62">
        <f t="shared" si="144"/>
        <v>326.27342751542903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2.3747526174174904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2.3747526174174904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254.91239442958343</v>
      </c>
      <c r="BJ192" s="62">
        <f t="shared" si="146"/>
        <v>361.41009011468407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-9.7986685432260874E-13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516.30971934066179</v>
      </c>
      <c r="CE192" s="62">
        <f t="shared" si="148"/>
        <v>290.84286505723571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-1.7053025658242404E-13</v>
      </c>
      <c r="CU192" s="18">
        <f>CT192*VLOOKUP('Données projet'!$B$13,Paramètres!$A$1:$I$89,3,0)*VLOOKUP('Données projet'!$B$13,Paramètres!$A$1:$I$89,5,0)</f>
        <v>-1.4897523215040567E-13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226.76930997889059</v>
      </c>
      <c r="CZ192" s="62">
        <f t="shared" si="150"/>
        <v>236.36066378969329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6.1186256061773749E-14</v>
      </c>
      <c r="DQ192" s="14">
        <f t="shared" si="176"/>
        <v>9.7328366192051127E-13</v>
      </c>
      <c r="DR192" s="22">
        <f t="shared" si="177"/>
        <v>1.8017017738191463E-12</v>
      </c>
      <c r="DS192" s="62">
        <f t="shared" si="125"/>
        <v>289.97763864700568</v>
      </c>
      <c r="DT192" s="62">
        <f ca="1">AVERAGE(OFFSET($DS$3,0,0,'Données projet'!$E$14+1,1))-AVERAGE(OFFSET($H$3,0,0,'Données projet'!$E$14+1,1))</f>
        <v>315.12428188060306</v>
      </c>
      <c r="DU192" s="62">
        <f t="shared" si="152"/>
        <v>186.08400677811986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-5.1159076974727213E-13</v>
      </c>
      <c r="EK192" s="18">
        <f>EJ192*VLOOKUP('Données projet'!$B$15,Paramètres!$A$1:$I$89,3,0)*VLOOKUP('Données projet'!$B$15,Paramètres!$A$1:$I$89,5,0)</f>
        <v>-5.3471467253984886E-13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530.77325763685963</v>
      </c>
      <c r="EP192" s="62">
        <f t="shared" si="154"/>
        <v>344.23100274990145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90.580021122303947</v>
      </c>
      <c r="T193" s="62">
        <f t="shared" si="142"/>
        <v>375.77399473907451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2.7253525897733208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1.9370989535676186E-25</v>
      </c>
      <c r="AC193" s="24">
        <f t="shared" si="163"/>
        <v>2.7253525897733208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87.3677313039193</v>
      </c>
      <c r="AO193" s="62">
        <f t="shared" si="144"/>
        <v>326.27342751542903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2.3281851670460068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2.3281851670460068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254.91239442958343</v>
      </c>
      <c r="BJ193" s="62">
        <f t="shared" si="146"/>
        <v>361.41009011468407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-9.7986685432260874E-13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516.30971934066179</v>
      </c>
      <c r="CE193" s="62">
        <f t="shared" si="148"/>
        <v>290.84286505723571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-1.7053025658242404E-13</v>
      </c>
      <c r="CU193" s="18">
        <f>CT193*VLOOKUP('Données projet'!$B$13,Paramètres!$A$1:$I$89,3,0)*VLOOKUP('Données projet'!$B$13,Paramètres!$A$1:$I$89,5,0)</f>
        <v>-1.4897523215040567E-13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226.76930997889059</v>
      </c>
      <c r="CZ193" s="62">
        <f t="shared" si="150"/>
        <v>236.36066378969329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6.1186256061773749E-14</v>
      </c>
      <c r="DQ193" s="14">
        <f t="shared" si="176"/>
        <v>9.7328366192051127E-13</v>
      </c>
      <c r="DR193" s="22">
        <f t="shared" si="177"/>
        <v>1.8017017738191463E-12</v>
      </c>
      <c r="DS193" s="62">
        <f t="shared" si="125"/>
        <v>290.0358524476041</v>
      </c>
      <c r="DT193" s="62">
        <f ca="1">AVERAGE(OFFSET($DS$3,0,0,'Données projet'!$E$14+1,1))-AVERAGE(OFFSET($H$3,0,0,'Données projet'!$E$14+1,1))</f>
        <v>315.12428188060306</v>
      </c>
      <c r="DU193" s="62">
        <f t="shared" si="152"/>
        <v>186.08400677811986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-5.1159076974727213E-13</v>
      </c>
      <c r="EK193" s="18">
        <f>EJ193*VLOOKUP('Données projet'!$B$15,Paramètres!$A$1:$I$89,3,0)*VLOOKUP('Données projet'!$B$15,Paramètres!$A$1:$I$89,5,0)</f>
        <v>-5.3471467253984886E-13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530.77325763685963</v>
      </c>
      <c r="EP193" s="62">
        <f t="shared" si="154"/>
        <v>344.23100274990145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90.580021122303947</v>
      </c>
      <c r="T194" s="62">
        <f t="shared" si="142"/>
        <v>375.77399473907451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2.6719100877888073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1.3697358058970283E-25</v>
      </c>
      <c r="AC194" s="24">
        <f t="shared" si="163"/>
        <v>2.6719100877888073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87.3677313039193</v>
      </c>
      <c r="AO194" s="62">
        <f t="shared" si="144"/>
        <v>326.27342751542903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2.2825308759729679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2.2825308759729679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254.91239442958343</v>
      </c>
      <c r="BJ194" s="62">
        <f t="shared" si="146"/>
        <v>361.41009011468407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-9.7986685432260874E-13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516.30971934066179</v>
      </c>
      <c r="CE194" s="62">
        <f t="shared" si="148"/>
        <v>290.84286505723571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-1.7053025658242404E-13</v>
      </c>
      <c r="CU194" s="18">
        <f>CT194*VLOOKUP('Données projet'!$B$13,Paramètres!$A$1:$I$89,3,0)*VLOOKUP('Données projet'!$B$13,Paramètres!$A$1:$I$89,5,0)</f>
        <v>-1.4897523215040567E-13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226.76930997889059</v>
      </c>
      <c r="CZ194" s="62">
        <f t="shared" si="150"/>
        <v>236.36066378969329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6.1186256061773749E-14</v>
      </c>
      <c r="DQ194" s="14">
        <f t="shared" si="176"/>
        <v>9.7328366192051127E-13</v>
      </c>
      <c r="DR194" s="22">
        <f t="shared" si="177"/>
        <v>1.8017017738191463E-12</v>
      </c>
      <c r="DS194" s="62">
        <f t="shared" si="125"/>
        <v>290.09305636890866</v>
      </c>
      <c r="DT194" s="62">
        <f ca="1">AVERAGE(OFFSET($DS$3,0,0,'Données projet'!$E$14+1,1))-AVERAGE(OFFSET($H$3,0,0,'Données projet'!$E$14+1,1))</f>
        <v>315.12428188060306</v>
      </c>
      <c r="DU194" s="62">
        <f t="shared" si="152"/>
        <v>186.08400677811986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-5.1159076974727213E-13</v>
      </c>
      <c r="EK194" s="18">
        <f>EJ194*VLOOKUP('Données projet'!$B$15,Paramètres!$A$1:$I$89,3,0)*VLOOKUP('Données projet'!$B$15,Paramètres!$A$1:$I$89,5,0)</f>
        <v>-5.3471467253984886E-13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530.77325763685963</v>
      </c>
      <c r="EP194" s="62">
        <f t="shared" si="154"/>
        <v>344.23100274990145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90.580021122303947</v>
      </c>
      <c r="T195" s="62">
        <f t="shared" si="142"/>
        <v>375.77399473907451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2.6195155606715024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9.6854947678380932E-26</v>
      </c>
      <c r="AC195" s="24">
        <f t="shared" si="163"/>
        <v>2.6195155606715024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87.3677313039193</v>
      </c>
      <c r="AO195" s="62">
        <f t="shared" si="144"/>
        <v>326.27342751542903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2.2377718377015032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2.2377718377015032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254.91239442958343</v>
      </c>
      <c r="BJ195" s="62">
        <f t="shared" si="146"/>
        <v>361.41009011468407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-9.7986685432260874E-13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516.30971934066179</v>
      </c>
      <c r="CE195" s="62">
        <f t="shared" si="148"/>
        <v>290.84286505723571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-1.7053025658242404E-13</v>
      </c>
      <c r="CU195" s="18">
        <f>CT195*VLOOKUP('Données projet'!$B$13,Paramètres!$A$1:$I$89,3,0)*VLOOKUP('Données projet'!$B$13,Paramètres!$A$1:$I$89,5,0)</f>
        <v>-1.4897523215040567E-13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226.76930997889059</v>
      </c>
      <c r="CZ195" s="62">
        <f t="shared" si="150"/>
        <v>236.36066378969329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6.1186256061773749E-14</v>
      </c>
      <c r="DQ195" s="14">
        <f t="shared" si="176"/>
        <v>9.7328366192051127E-13</v>
      </c>
      <c r="DR195" s="22">
        <f t="shared" si="177"/>
        <v>1.8017017738191463E-12</v>
      </c>
      <c r="DS195" s="62">
        <f t="shared" si="125"/>
        <v>290.14926793006748</v>
      </c>
      <c r="DT195" s="62">
        <f ca="1">AVERAGE(OFFSET($DS$3,0,0,'Données projet'!$E$14+1,1))-AVERAGE(OFFSET($H$3,0,0,'Données projet'!$E$14+1,1))</f>
        <v>315.12428188060306</v>
      </c>
      <c r="DU195" s="62">
        <f t="shared" si="152"/>
        <v>186.08400677811986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-5.1159076974727213E-13</v>
      </c>
      <c r="EK195" s="18">
        <f>EJ195*VLOOKUP('Données projet'!$B$15,Paramètres!$A$1:$I$89,3,0)*VLOOKUP('Données projet'!$B$15,Paramètres!$A$1:$I$89,5,0)</f>
        <v>-5.3471467253984886E-13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530.77325763685963</v>
      </c>
      <c r="EP195" s="62">
        <f t="shared" si="154"/>
        <v>344.23100274990145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90.580021122303947</v>
      </c>
      <c r="T196" s="62">
        <f t="shared" si="142"/>
        <v>375.77399473907451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2.5681484582734617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6.8486790294851414E-26</v>
      </c>
      <c r="AC196" s="24">
        <f t="shared" si="163"/>
        <v>2.5681484582734617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87.3677313039193</v>
      </c>
      <c r="AO196" s="62">
        <f t="shared" si="144"/>
        <v>326.27342751542903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2.1938904968702246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2.1938904968702246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254.91239442958343</v>
      </c>
      <c r="BJ196" s="62">
        <f t="shared" si="146"/>
        <v>361.41009011468407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-9.7986685432260874E-13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516.30971934066179</v>
      </c>
      <c r="CE196" s="62">
        <f t="shared" si="148"/>
        <v>290.84286505723571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-1.7053025658242404E-13</v>
      </c>
      <c r="CU196" s="18">
        <f>CT196*VLOOKUP('Données projet'!$B$13,Paramètres!$A$1:$I$89,3,0)*VLOOKUP('Données projet'!$B$13,Paramètres!$A$1:$I$89,5,0)</f>
        <v>-1.4897523215040567E-13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226.76930997889059</v>
      </c>
      <c r="CZ196" s="62">
        <f t="shared" si="150"/>
        <v>236.36066378969329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6.1186256061773749E-14</v>
      </c>
      <c r="DQ196" s="14">
        <f t="shared" si="176"/>
        <v>9.7328366192051127E-13</v>
      </c>
      <c r="DR196" s="22">
        <f t="shared" si="177"/>
        <v>1.8017017738191463E-12</v>
      </c>
      <c r="DS196" s="62">
        <f t="shared" ref="DS196:DS203" si="197">DR196+(DJ196+DK196)*44/12</f>
        <v>290.20450434631033</v>
      </c>
      <c r="DT196" s="62">
        <f ca="1">AVERAGE(OFFSET($DS$3,0,0,'Données projet'!$E$14+1,1))-AVERAGE(OFFSET($H$3,0,0,'Données projet'!$E$14+1,1))</f>
        <v>315.12428188060306</v>
      </c>
      <c r="DU196" s="62">
        <f t="shared" si="152"/>
        <v>186.08400677811986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-5.1159076974727213E-13</v>
      </c>
      <c r="EK196" s="18">
        <f>EJ196*VLOOKUP('Données projet'!$B$15,Paramètres!$A$1:$I$89,3,0)*VLOOKUP('Données projet'!$B$15,Paramètres!$A$1:$I$89,5,0)</f>
        <v>-5.3471467253984886E-13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530.77325763685963</v>
      </c>
      <c r="EP196" s="62">
        <f t="shared" si="154"/>
        <v>344.23100274990145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90.580021122303947</v>
      </c>
      <c r="T197" s="62">
        <f t="shared" ref="T197:T203" si="204">$T$3</f>
        <v>375.77399473907451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2.5177886334226081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4.8427473839190466E-26</v>
      </c>
      <c r="AC197" s="24">
        <f t="shared" si="163"/>
        <v>2.5177886334226081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87.3677313039193</v>
      </c>
      <c r="AO197" s="62">
        <f t="shared" ref="AO197:AO203" si="205">$AO$3</f>
        <v>326.27342751542903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2.1508696423676721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2.1508696423676721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254.91239442958343</v>
      </c>
      <c r="BJ197" s="62">
        <f t="shared" ref="BJ197:BJ203" si="206">$BJ$3</f>
        <v>361.41009011468407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-9.7986685432260874E-13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516.30971934066179</v>
      </c>
      <c r="CE197" s="62">
        <f t="shared" ref="CE197:CE203" si="207">$CE$3</f>
        <v>290.84286505723571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-1.7053025658242404E-13</v>
      </c>
      <c r="CU197" s="18">
        <f>CT197*VLOOKUP('Données projet'!$B$13,Paramètres!$A$1:$I$89,3,0)*VLOOKUP('Données projet'!$B$13,Paramètres!$A$1:$I$89,5,0)</f>
        <v>-1.4897523215040567E-13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226.76930997889059</v>
      </c>
      <c r="CZ197" s="62">
        <f t="shared" ref="CZ197:CZ203" si="208">$CZ$3</f>
        <v>236.36066378969329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6.1186256061773749E-14</v>
      </c>
      <c r="DQ197" s="14">
        <f t="shared" si="176"/>
        <v>9.7328366192051127E-13</v>
      </c>
      <c r="DR197" s="22">
        <f t="shared" si="177"/>
        <v>1.8017017738191463E-12</v>
      </c>
      <c r="DS197" s="62">
        <f t="shared" si="197"/>
        <v>290.25878253422155</v>
      </c>
      <c r="DT197" s="62">
        <f ca="1">AVERAGE(OFFSET($DS$3,0,0,'Données projet'!$E$14+1,1))-AVERAGE(OFFSET($H$3,0,0,'Données projet'!$E$14+1,1))</f>
        <v>315.12428188060306</v>
      </c>
      <c r="DU197" s="62">
        <f t="shared" ref="DU197:DU203" si="209">$DU$3</f>
        <v>186.08400677811986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-5.1159076974727213E-13</v>
      </c>
      <c r="EK197" s="18">
        <f>EJ197*VLOOKUP('Données projet'!$B$15,Paramètres!$A$1:$I$89,3,0)*VLOOKUP('Données projet'!$B$15,Paramètres!$A$1:$I$89,5,0)</f>
        <v>-5.3471467253984886E-13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530.77325763685963</v>
      </c>
      <c r="EP197" s="62">
        <f t="shared" ref="EP197:EP203" si="210">$EP$3</f>
        <v>344.23100274990145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90.580021122303947</v>
      </c>
      <c r="T198" s="62">
        <f t="shared" si="204"/>
        <v>375.77399473907451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2.4684163340206196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3.4243395147425707E-26</v>
      </c>
      <c r="AC198" s="24">
        <f t="shared" si="163"/>
        <v>2.4684163340206196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87.3677313039193</v>
      </c>
      <c r="AO198" s="62">
        <f t="shared" si="205"/>
        <v>326.27342751542903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2.1086924005817846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2.1086924005817846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254.91239442958343</v>
      </c>
      <c r="BJ198" s="62">
        <f t="shared" si="206"/>
        <v>361.41009011468407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-9.7986685432260874E-13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516.30971934066179</v>
      </c>
      <c r="CE198" s="62">
        <f t="shared" si="207"/>
        <v>290.84286505723571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-1.7053025658242404E-13</v>
      </c>
      <c r="CU198" s="18">
        <f>CT198*VLOOKUP('Données projet'!$B$13,Paramètres!$A$1:$I$89,3,0)*VLOOKUP('Données projet'!$B$13,Paramètres!$A$1:$I$89,5,0)</f>
        <v>-1.4897523215040567E-13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226.76930997889059</v>
      </c>
      <c r="CZ198" s="62">
        <f t="shared" si="208"/>
        <v>236.36066378969329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6.1186256061773749E-14</v>
      </c>
      <c r="DQ198" s="14">
        <f t="shared" si="176"/>
        <v>9.7328366192051127E-13</v>
      </c>
      <c r="DR198" s="22">
        <f t="shared" si="177"/>
        <v>1.8017017738191463E-12</v>
      </c>
      <c r="DS198" s="62">
        <f t="shared" si="197"/>
        <v>290.31211911692031</v>
      </c>
      <c r="DT198" s="62">
        <f ca="1">AVERAGE(OFFSET($DS$3,0,0,'Données projet'!$E$14+1,1))-AVERAGE(OFFSET($H$3,0,0,'Données projet'!$E$14+1,1))</f>
        <v>315.12428188060306</v>
      </c>
      <c r="DU198" s="62">
        <f t="shared" si="209"/>
        <v>186.08400677811986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-5.1159076974727213E-13</v>
      </c>
      <c r="EK198" s="18">
        <f>EJ198*VLOOKUP('Données projet'!$B$15,Paramètres!$A$1:$I$89,3,0)*VLOOKUP('Données projet'!$B$15,Paramètres!$A$1:$I$89,5,0)</f>
        <v>-5.3471467253984886E-13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530.77325763685963</v>
      </c>
      <c r="EP198" s="62">
        <f t="shared" si="210"/>
        <v>344.23100274990145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90.580021122303947</v>
      </c>
      <c r="T199" s="62">
        <f t="shared" si="204"/>
        <v>375.77399473907451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2.4200121952957749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2.4213736919595233E-26</v>
      </c>
      <c r="AC199" s="24">
        <f t="shared" si="163"/>
        <v>2.4200121952957749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87.3677313039193</v>
      </c>
      <c r="AO199" s="62">
        <f t="shared" si="205"/>
        <v>326.27342751542903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2.0673422287817411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2.0673422287817411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254.91239442958343</v>
      </c>
      <c r="BJ199" s="62">
        <f t="shared" si="206"/>
        <v>361.41009011468407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-9.7986685432260874E-13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516.30971934066179</v>
      </c>
      <c r="CE199" s="62">
        <f t="shared" si="207"/>
        <v>290.84286505723571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-1.7053025658242404E-13</v>
      </c>
      <c r="CU199" s="18">
        <f>CT199*VLOOKUP('Données projet'!$B$13,Paramètres!$A$1:$I$89,3,0)*VLOOKUP('Données projet'!$B$13,Paramètres!$A$1:$I$89,5,0)</f>
        <v>-1.4897523215040567E-13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226.76930997889059</v>
      </c>
      <c r="CZ199" s="62">
        <f t="shared" si="208"/>
        <v>236.36066378969329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6.1186256061773749E-14</v>
      </c>
      <c r="DQ199" s="14">
        <f t="shared" si="176"/>
        <v>9.7328366192051127E-13</v>
      </c>
      <c r="DR199" s="22">
        <f t="shared" si="177"/>
        <v>1.8017017738191463E-12</v>
      </c>
      <c r="DS199" s="62">
        <f t="shared" si="197"/>
        <v>290.36453042915201</v>
      </c>
      <c r="DT199" s="62">
        <f ca="1">AVERAGE(OFFSET($DS$3,0,0,'Données projet'!$E$14+1,1))-AVERAGE(OFFSET($H$3,0,0,'Données projet'!$E$14+1,1))</f>
        <v>315.12428188060306</v>
      </c>
      <c r="DU199" s="62">
        <f t="shared" si="209"/>
        <v>186.08400677811986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-5.1159076974727213E-13</v>
      </c>
      <c r="EK199" s="18">
        <f>EJ199*VLOOKUP('Données projet'!$B$15,Paramètres!$A$1:$I$89,3,0)*VLOOKUP('Données projet'!$B$15,Paramètres!$A$1:$I$89,5,0)</f>
        <v>-5.3471467253984886E-13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530.77325763685963</v>
      </c>
      <c r="EP199" s="62">
        <f t="shared" si="210"/>
        <v>344.23100274990145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90.580021122303947</v>
      </c>
      <c r="T200" s="62">
        <f t="shared" si="204"/>
        <v>375.77399473907451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2.3725572322077149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1.7121697573712853E-26</v>
      </c>
      <c r="AC200" s="24">
        <f t="shared" si="163"/>
        <v>2.3725572322077149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87.3677313039193</v>
      </c>
      <c r="AO200" s="62">
        <f t="shared" si="205"/>
        <v>326.27342751542903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2.0268029086295818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2.0268029086295818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254.91239442958343</v>
      </c>
      <c r="BJ200" s="62">
        <f t="shared" si="206"/>
        <v>361.41009011468407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-9.7986685432260874E-13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516.30971934066179</v>
      </c>
      <c r="CE200" s="62">
        <f t="shared" si="207"/>
        <v>290.84286505723571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-1.7053025658242404E-13</v>
      </c>
      <c r="CU200" s="18">
        <f>CT200*VLOOKUP('Données projet'!$B$13,Paramètres!$A$1:$I$89,3,0)*VLOOKUP('Données projet'!$B$13,Paramètres!$A$1:$I$89,5,0)</f>
        <v>-1.4897523215040567E-13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226.76930997889059</v>
      </c>
      <c r="CZ200" s="62">
        <f t="shared" si="208"/>
        <v>236.36066378969329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6.1186256061773749E-14</v>
      </c>
      <c r="DQ200" s="14">
        <f t="shared" si="176"/>
        <v>9.7328366192051127E-13</v>
      </c>
      <c r="DR200" s="22">
        <f t="shared" si="177"/>
        <v>1.8017017738191463E-12</v>
      </c>
      <c r="DS200" s="62">
        <f t="shared" si="197"/>
        <v>290.41603252229061</v>
      </c>
      <c r="DT200" s="62">
        <f ca="1">AVERAGE(OFFSET($DS$3,0,0,'Données projet'!$E$14+1,1))-AVERAGE(OFFSET($H$3,0,0,'Données projet'!$E$14+1,1))</f>
        <v>315.12428188060306</v>
      </c>
      <c r="DU200" s="62">
        <f t="shared" si="209"/>
        <v>186.08400677811986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-5.1159076974727213E-13</v>
      </c>
      <c r="EK200" s="18">
        <f>EJ200*VLOOKUP('Données projet'!$B$15,Paramètres!$A$1:$I$89,3,0)*VLOOKUP('Données projet'!$B$15,Paramètres!$A$1:$I$89,5,0)</f>
        <v>-5.3471467253984886E-13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530.77325763685963</v>
      </c>
      <c r="EP200" s="62">
        <f t="shared" si="210"/>
        <v>344.23100274990145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90.580021122303947</v>
      </c>
      <c r="T201" s="62">
        <f t="shared" si="204"/>
        <v>375.77399473907451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2.3260328320011423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1.2106868459797616E-26</v>
      </c>
      <c r="AC201" s="24">
        <f t="shared" si="163"/>
        <v>2.3260328320011423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87.3677313039193</v>
      </c>
      <c r="AO201" s="62">
        <f t="shared" si="205"/>
        <v>326.27342751542903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1.9870585398190626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1.9870585398190626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254.91239442958343</v>
      </c>
      <c r="BJ201" s="62">
        <f t="shared" si="206"/>
        <v>361.41009011468407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-9.7986685432260874E-13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516.30971934066179</v>
      </c>
      <c r="CE201" s="62">
        <f t="shared" si="207"/>
        <v>290.84286505723571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-1.7053025658242404E-13</v>
      </c>
      <c r="CU201" s="18">
        <f>CT201*VLOOKUP('Données projet'!$B$13,Paramètres!$A$1:$I$89,3,0)*VLOOKUP('Données projet'!$B$13,Paramètres!$A$1:$I$89,5,0)</f>
        <v>-1.4897523215040567E-13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226.76930997889059</v>
      </c>
      <c r="CZ201" s="62">
        <f t="shared" si="208"/>
        <v>236.36066378969329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6.1186256061773749E-14</v>
      </c>
      <c r="DQ201" s="14">
        <f t="shared" si="176"/>
        <v>9.7328366192051127E-13</v>
      </c>
      <c r="DR201" s="22">
        <f t="shared" si="177"/>
        <v>1.8017017738191463E-12</v>
      </c>
      <c r="DS201" s="62">
        <f t="shared" si="197"/>
        <v>290.46664116925473</v>
      </c>
      <c r="DT201" s="62">
        <f ca="1">AVERAGE(OFFSET($DS$3,0,0,'Données projet'!$E$14+1,1))-AVERAGE(OFFSET($H$3,0,0,'Données projet'!$E$14+1,1))</f>
        <v>315.12428188060306</v>
      </c>
      <c r="DU201" s="62">
        <f t="shared" si="209"/>
        <v>186.08400677811986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-5.1159076974727213E-13</v>
      </c>
      <c r="EK201" s="18">
        <f>EJ201*VLOOKUP('Données projet'!$B$15,Paramètres!$A$1:$I$89,3,0)*VLOOKUP('Données projet'!$B$15,Paramètres!$A$1:$I$89,5,0)</f>
        <v>-5.3471467253984886E-13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530.77325763685963</v>
      </c>
      <c r="EP201" s="62">
        <f t="shared" si="210"/>
        <v>344.23100274990145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90.580021122303947</v>
      </c>
      <c r="T202" s="62">
        <f t="shared" si="204"/>
        <v>375.77399473907451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2.2804207469055386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8.5608487868564267E-27</v>
      </c>
      <c r="AC202" s="24">
        <f t="shared" si="163"/>
        <v>2.2804207469055386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87.3677313039193</v>
      </c>
      <c r="AO202" s="62">
        <f t="shared" si="205"/>
        <v>326.27342751542903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1.9480935338392464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1.9480935338392464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254.91239442958343</v>
      </c>
      <c r="BJ202" s="62">
        <f t="shared" si="206"/>
        <v>361.41009011468407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-9.7986685432260874E-13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516.30971934066179</v>
      </c>
      <c r="CE202" s="62">
        <f t="shared" si="207"/>
        <v>290.84286505723571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-1.7053025658242404E-13</v>
      </c>
      <c r="CU202" s="18">
        <f>CT202*VLOOKUP('Données projet'!$B$13,Paramètres!$A$1:$I$89,3,0)*VLOOKUP('Données projet'!$B$13,Paramètres!$A$1:$I$89,5,0)</f>
        <v>-1.4897523215040567E-13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226.76930997889059</v>
      </c>
      <c r="CZ202" s="62">
        <f t="shared" si="208"/>
        <v>236.36066378969329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6.1186256061773749E-14</v>
      </c>
      <c r="DQ202" s="14">
        <f t="shared" si="176"/>
        <v>9.7328366192051127E-13</v>
      </c>
      <c r="DR202" s="22">
        <f t="shared" si="177"/>
        <v>1.8017017738191463E-12</v>
      </c>
      <c r="DS202" s="62">
        <f t="shared" si="197"/>
        <v>290.51637186933795</v>
      </c>
      <c r="DT202" s="62">
        <f ca="1">AVERAGE(OFFSET($DS$3,0,0,'Données projet'!$E$14+1,1))-AVERAGE(OFFSET($H$3,0,0,'Données projet'!$E$14+1,1))</f>
        <v>315.12428188060306</v>
      </c>
      <c r="DU202" s="62">
        <f t="shared" si="209"/>
        <v>186.08400677811986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-5.1159076974727213E-13</v>
      </c>
      <c r="EK202" s="18">
        <f>EJ202*VLOOKUP('Données projet'!$B$15,Paramètres!$A$1:$I$89,3,0)*VLOOKUP('Données projet'!$B$15,Paramètres!$A$1:$I$89,5,0)</f>
        <v>-5.3471467253984886E-13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530.77325763685963</v>
      </c>
      <c r="EP202" s="62">
        <f t="shared" si="210"/>
        <v>344.23100274990145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90.580021122303947</v>
      </c>
      <c r="T203" s="62">
        <f t="shared" si="204"/>
        <v>375.77399473907451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2.2357030869780345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6.0534342298988082E-27</v>
      </c>
      <c r="AC203" s="24">
        <f t="shared" si="163"/>
        <v>2.2357030869780345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87.3677313039193</v>
      </c>
      <c r="AO203" s="62">
        <f t="shared" si="205"/>
        <v>326.27342751542903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1.9098926078603875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1.9098926078603875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254.91239442958343</v>
      </c>
      <c r="BJ203" s="62">
        <f t="shared" si="206"/>
        <v>361.41009011468407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-9.7986685432260874E-13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516.30971934066179</v>
      </c>
      <c r="CE203" s="62">
        <f t="shared" si="207"/>
        <v>290.84286505723571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-1.7053025658242404E-13</v>
      </c>
      <c r="CU203" s="18">
        <f>CT203*VLOOKUP('Données projet'!$B$13,Paramètres!$A$1:$I$89,3,0)*VLOOKUP('Données projet'!$B$13,Paramètres!$A$1:$I$89,5,0)</f>
        <v>-1.4897523215040567E-13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226.76930997889059</v>
      </c>
      <c r="CZ203" s="62">
        <f t="shared" si="208"/>
        <v>236.36066378969329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6.1186256061773749E-14</v>
      </c>
      <c r="DQ203" s="14">
        <f t="shared" si="176"/>
        <v>9.7328366192051127E-13</v>
      </c>
      <c r="DR203" s="22">
        <f t="shared" si="177"/>
        <v>1.8017017738191463E-12</v>
      </c>
      <c r="DS203" s="62">
        <f t="shared" si="197"/>
        <v>290.56523985295593</v>
      </c>
      <c r="DT203" s="62">
        <f ca="1">AVERAGE(OFFSET($DS$3,0,0,'Données projet'!$E$14+1,1))-AVERAGE(OFFSET($H$3,0,0,'Données projet'!$E$14+1,1))</f>
        <v>315.12428188060306</v>
      </c>
      <c r="DU203" s="62">
        <f t="shared" si="209"/>
        <v>186.08400677811986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-5.1159076974727213E-13</v>
      </c>
      <c r="EK203" s="18">
        <f>EJ203*VLOOKUP('Données projet'!$B$15,Paramètres!$A$1:$I$89,3,0)*VLOOKUP('Données projet'!$B$15,Paramètres!$A$1:$I$89,5,0)</f>
        <v>-5.3471467253984886E-13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530.77325763685963</v>
      </c>
      <c r="EP203" s="62">
        <f t="shared" si="210"/>
        <v>344.23100274990145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1.093210441104935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1.3208837640453637</v>
      </c>
      <c r="BA205" s="88">
        <f>EXP(LN('Données projet'!B88)/'Données projet'!A88)</f>
        <v>1.838416287252544</v>
      </c>
      <c r="BV205" s="88">
        <f>EXP(LN('Données projet'!B114)/'Données projet'!A114)</f>
        <v>1.2054868146447177</v>
      </c>
      <c r="CQ205" s="88">
        <f>EXP(LN('Données projet'!B140)/'Données projet'!A140)</f>
        <v>1.1554831727638066</v>
      </c>
      <c r="DL205" s="88">
        <f>EXP(LN('Données projet'!B166)/'Données projet'!A166)</f>
        <v>1.1644235083052243</v>
      </c>
      <c r="EG205" s="88">
        <f>EXP(LN('Données projet'!B192)/'Données projet'!A192)</f>
        <v>1.2548684989282006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29" workbookViewId="0">
      <selection activeCell="B55" sqref="B55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I-214</v>
      </c>
      <c r="B6" s="155">
        <f>'Données projet'!D9</f>
        <v>2.3976000000000002</v>
      </c>
      <c r="C6" s="156">
        <f ca="1">IF(OR('Données projet'!B9="",'Données projet'!C9="",'Données projet'!C9=0%),0,Calculateur!S3)</f>
        <v>90.580021122303947</v>
      </c>
      <c r="D6" s="156">
        <f>IF(OR('Données projet'!B9="",'Données projet'!C9="",'Données projet'!C9=0%),0,Calculateur!T3)</f>
        <v>375.77399473907451</v>
      </c>
      <c r="E6" s="156">
        <f ca="1">MIN(C6,D6)</f>
        <v>90.580021122303947</v>
      </c>
      <c r="F6" s="156">
        <f ca="1">E6*B6</f>
        <v>217.17465864283596</v>
      </c>
      <c r="G6" s="156">
        <f ca="1">F6*(100%-'Données projet'!$C$24)*(100%-'Données projet'!$C$25)*(100%-'Données projet'!$C$26)*(100%-'Données projet'!$C$27)</f>
        <v>185.68433313962475</v>
      </c>
      <c r="H6" s="157">
        <f>IF(OR('Données projet'!B9="",'Données projet'!C9="",'Données projet'!C9=0%),0,AVERAGE(Calculateur!$AC$3:$AC$33)*B6)</f>
        <v>77.486338084221515</v>
      </c>
      <c r="I6" s="158">
        <f>H6*(100%-'Données projet'!$C$24)*(100%-'Données projet'!$C$25)*(100%-'Données projet'!$C$26)*(100%-'Données projet'!$C$27)</f>
        <v>66.250819062009384</v>
      </c>
      <c r="J6" s="159">
        <f>IF(OR('Données projet'!B9="",'Données projet'!C9="",'Données projet'!C9=0%),0,SUM(Calculateur!$V$3:$V$33)*VLOOKUP('Données projet'!$B$9,Paramètres!$A$1:$I$89,9,0)*B6)</f>
        <v>891.69717023999999</v>
      </c>
      <c r="K6" s="160">
        <f>J6*(100%-'Données projet'!$C$24)*(100%-'Données projet'!$C$25)*(100%-'Données projet'!$C$26)*(100%-'Données projet'!$C$27)</f>
        <v>762.4010805552</v>
      </c>
      <c r="L6" s="161">
        <f ca="1">G6+I6+K6</f>
        <v>1014.3362327568341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I-45/51</v>
      </c>
      <c r="B7" s="163">
        <f>'Données projet'!D10</f>
        <v>1.1988000000000001</v>
      </c>
      <c r="C7" s="156">
        <f ca="1">IF(OR('Données projet'!B10="",'Données projet'!C10="",'Données projet'!C10=0%),0,Calculateur!AN3)</f>
        <v>87.3677313039193</v>
      </c>
      <c r="D7" s="156">
        <f>IF(OR('Données projet'!B10="",'Données projet'!C10="",'Données projet'!C10=0%),0,Calculateur!AO3)</f>
        <v>326.27342751542903</v>
      </c>
      <c r="E7" s="156">
        <f t="shared" ref="E7:E15" ca="1" si="0">MIN(C7,D7)</f>
        <v>87.3677313039193</v>
      </c>
      <c r="F7" s="156">
        <f t="shared" ref="F7:F15" ca="1" si="1">E7*B7</f>
        <v>104.73643628713846</v>
      </c>
      <c r="G7" s="156">
        <f ca="1">F7*(100%-'Données projet'!$C$24)*(100%-'Données projet'!$C$25)*(100%-'Données projet'!$C$26)*(100%-'Données projet'!$C$27)</f>
        <v>89.549653025503375</v>
      </c>
      <c r="H7" s="164">
        <f>IF(OR('Données projet'!B10="",'Données projet'!C10="",'Données projet'!C10=0%),0,AVERAGE(Calculateur!$AX$3:$AX$33)*B7)</f>
        <v>31.425329936001223</v>
      </c>
      <c r="I7" s="158">
        <f>H7*(100%-'Données projet'!$C$24)*(100%-'Données projet'!$C$25)*(100%-'Données projet'!$C$26)*(100%-'Données projet'!$C$27)</f>
        <v>26.868657095281044</v>
      </c>
      <c r="J7" s="159">
        <f>IF(OR('Données projet'!B10="",'Données projet'!C10="",'Données projet'!C10=0%),0,SUM(Calculateur!$AQ$3:$AQ$33)*VLOOKUP('Données projet'!$B$10,Paramètres!$A$1:$I$89,9,0)*B7)</f>
        <v>327.45941280000005</v>
      </c>
      <c r="K7" s="160">
        <f>J7*(100%-'Données projet'!$C$24)*(100%-'Données projet'!$C$25)*(100%-'Données projet'!$C$26)*(100%-'Données projet'!$C$27)</f>
        <v>279.97779794400003</v>
      </c>
      <c r="L7" s="161">
        <f t="shared" ref="L7:L15" ca="1" si="2">G7+I7+K7</f>
        <v>396.39610806478447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Robinier faux-acacia</v>
      </c>
      <c r="B8" s="163">
        <f>'Données projet'!D11</f>
        <v>0.90180000000000016</v>
      </c>
      <c r="C8" s="156">
        <f ca="1">IF(OR('Données projet'!B11="",'Données projet'!C11="",'Données projet'!C11=0%),0,Calculateur!BI3)</f>
        <v>254.91239442958343</v>
      </c>
      <c r="D8" s="156">
        <f>IF(OR('Données projet'!B11="",'Données projet'!C11="",'Données projet'!C11=0%),0,Calculateur!BJ3)</f>
        <v>361.41009011468407</v>
      </c>
      <c r="E8" s="156">
        <f t="shared" ca="1" si="0"/>
        <v>254.91239442958343</v>
      </c>
      <c r="F8" s="156">
        <f t="shared" ca="1" si="1"/>
        <v>229.87999729659839</v>
      </c>
      <c r="G8" s="156">
        <f ca="1">F8*(100%-'Données projet'!$C$24)*(100%-'Données projet'!$C$25)*(100%-'Données projet'!$C$26)*(100%-'Données projet'!$C$27)</f>
        <v>196.54739768859162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12.174300000000002</v>
      </c>
      <c r="K8" s="160">
        <f>J8*(100%-'Données projet'!$C$24)*(100%-'Données projet'!$C$25)*(100%-'Données projet'!$C$26)*(100%-'Données projet'!$C$27)</f>
        <v>10.409026500000001</v>
      </c>
      <c r="L8" s="161">
        <f t="shared" ca="1" si="2"/>
        <v>206.95642418859163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Chêne pubescent</v>
      </c>
      <c r="B9" s="163">
        <f>'Données projet'!D12</f>
        <v>0.54</v>
      </c>
      <c r="C9" s="156">
        <f ca="1">IF(OR('Données projet'!B12="",'Données projet'!C12="",'Données projet'!C12=0%),0,Calculateur!CD3)</f>
        <v>516.30971934066179</v>
      </c>
      <c r="D9" s="156">
        <f>IF(OR('Données projet'!B12="",'Données projet'!C12="",'Données projet'!C12=0%),0,Calculateur!CE3)</f>
        <v>290.84286505723571</v>
      </c>
      <c r="E9" s="156">
        <f t="shared" ca="1" si="0"/>
        <v>290.84286505723571</v>
      </c>
      <c r="F9" s="156">
        <f t="shared" ca="1" si="1"/>
        <v>157.0551471309073</v>
      </c>
      <c r="G9" s="156">
        <f ca="1">F9*(100%-'Données projet'!$C$24)*(100%-'Données projet'!$C$25)*(100%-'Données projet'!$C$26)*(100%-'Données projet'!$C$27)</f>
        <v>134.28215079692572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3.915</v>
      </c>
      <c r="K9" s="160">
        <f>J9*(100%-'Données projet'!$C$24)*(100%-'Données projet'!$C$25)*(100%-'Données projet'!$C$26)*(100%-'Données projet'!$C$27)</f>
        <v>3.3473250000000001</v>
      </c>
      <c r="L9" s="161">
        <f t="shared" ca="1" si="2"/>
        <v>137.62947579692573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Erable champêtre</v>
      </c>
      <c r="B10" s="163">
        <f>'Données projet'!D13</f>
        <v>0.17820000000000003</v>
      </c>
      <c r="C10" s="156">
        <f ca="1">IF(OR('Données projet'!B13="",'Données projet'!C13="",'Données projet'!C13=0%),0,Calculateur!CY3)</f>
        <v>226.76930997889059</v>
      </c>
      <c r="D10" s="156">
        <f>IF(OR('Données projet'!B13="",'Données projet'!C13="",'Données projet'!C13=0%),0,Calculateur!CZ3)</f>
        <v>236.36066378969329</v>
      </c>
      <c r="E10" s="156">
        <f t="shared" ca="1" si="0"/>
        <v>226.76930997889059</v>
      </c>
      <c r="F10" s="156">
        <f t="shared" ca="1" si="1"/>
        <v>40.410291038238306</v>
      </c>
      <c r="G10" s="156">
        <f ca="1">F10*(100%-'Données projet'!$C$24)*(100%-'Données projet'!$C$25)*(100%-'Données projet'!$C$26)*(100%-'Données projet'!$C$27)</f>
        <v>34.550798837693748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1.3810500000000001</v>
      </c>
      <c r="K10" s="160">
        <f>J10*(100%-'Données projet'!$C$24)*(100%-'Données projet'!$C$25)*(100%-'Données projet'!$C$26)*(100%-'Données projet'!$C$27)</f>
        <v>1.1807977500000002</v>
      </c>
      <c r="L10" s="161">
        <f t="shared" ca="1" si="2"/>
        <v>35.731596587693751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Cormier</v>
      </c>
      <c r="B11" s="163">
        <f>'Données projet'!D14</f>
        <v>9.1800000000000007E-2</v>
      </c>
      <c r="C11" s="156">
        <f ca="1">IF(OR('Données projet'!B14="",'Données projet'!C14="",'Données projet'!C14=0%),0,Calculateur!DT3)</f>
        <v>315.12428188060306</v>
      </c>
      <c r="D11" s="156">
        <f>IF(OR('Données projet'!B14="",'Données projet'!C14="",'Données projet'!C14=0%),0,Calculateur!DU3)</f>
        <v>186.08400677811986</v>
      </c>
      <c r="E11" s="156">
        <f t="shared" ca="1" si="0"/>
        <v>186.08400677811986</v>
      </c>
      <c r="F11" s="156">
        <f t="shared" ca="1" si="1"/>
        <v>17.082511822231403</v>
      </c>
      <c r="G11" s="156">
        <f ca="1">F11*(100%-'Données projet'!$C$24)*(100%-'Données projet'!$C$25)*(100%-'Données projet'!$C$26)*(100%-'Données projet'!$C$27)</f>
        <v>14.60554760800785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ca="1" si="2"/>
        <v>14.60554760800785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Chêne chevelu</v>
      </c>
      <c r="B12" s="163">
        <f>'Données projet'!D15</f>
        <v>9.1800000000000007E-2</v>
      </c>
      <c r="C12" s="156">
        <f ca="1">IF(OR('Données projet'!B15="",'Données projet'!C15="",'Données projet'!C15=0%),0,Calculateur!EO3)</f>
        <v>530.77325763685963</v>
      </c>
      <c r="D12" s="156">
        <f>IF(OR('Données projet'!B15="",'Données projet'!C15="",'Données projet'!C15=0%),0,Calculateur!EP3)</f>
        <v>344.23100274990145</v>
      </c>
      <c r="E12" s="156">
        <f t="shared" ca="1" si="0"/>
        <v>344.23100274990145</v>
      </c>
      <c r="F12" s="156">
        <f t="shared" ca="1" si="1"/>
        <v>31.600406052440956</v>
      </c>
      <c r="G12" s="156">
        <f ca="1">F12*(100%-'Données projet'!$C$24)*(100%-'Données projet'!$C$25)*(100%-'Données projet'!$C$26)*(100%-'Données projet'!$C$27)</f>
        <v>27.018347174837018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0.64730769230769236</v>
      </c>
      <c r="K12" s="160">
        <f>J12*(100%-'Données projet'!$C$24)*(100%-'Données projet'!$C$25)*(100%-'Données projet'!$C$26)*(100%-'Données projet'!$C$27)</f>
        <v>0.55344807692307696</v>
      </c>
      <c r="L12" s="161">
        <f t="shared" ca="1" si="2"/>
        <v>27.571795251760093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797.93944827039059</v>
      </c>
      <c r="G16" s="175">
        <f t="shared" ca="1" si="3"/>
        <v>682.23822827118408</v>
      </c>
      <c r="H16" s="176">
        <f t="shared" si="3"/>
        <v>108.91166802022273</v>
      </c>
      <c r="I16" s="176">
        <f t="shared" si="3"/>
        <v>93.119476157290421</v>
      </c>
      <c r="J16" s="177">
        <f t="shared" si="3"/>
        <v>1237.2742407323076</v>
      </c>
      <c r="K16" s="177">
        <f t="shared" si="3"/>
        <v>1057.8694758261231</v>
      </c>
      <c r="L16" s="178">
        <f t="shared" ca="1" si="3"/>
        <v>1833.2271802545974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I-214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I-45/51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Robinier faux-acacia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Chêne pubescent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Erable champêtre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Cormier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Chêne chevelu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E1" zoomScale="85" zoomScaleNormal="85" workbookViewId="0">
      <selection activeCell="T23" sqref="T23:V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I-214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7357.3720732483107</v>
      </c>
      <c r="U10" s="190">
        <f>'Données projet'!D9</f>
        <v>2.3976000000000002</v>
      </c>
      <c r="V10" s="189">
        <f>U10*T10</f>
        <v>17640.03528282015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I-45/51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5403.7196018207933</v>
      </c>
      <c r="U11" s="190">
        <f>'Données projet'!D10</f>
        <v>1.1988000000000001</v>
      </c>
      <c r="V11" s="189">
        <f t="shared" ref="V11" si="0">U11*T11</f>
        <v>6477.9790586627678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Robinier faux-acacia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1778.3508161303189</v>
      </c>
      <c r="U12" s="190">
        <f>'Données projet'!D11</f>
        <v>0.90180000000000016</v>
      </c>
      <c r="V12" s="189">
        <f t="shared" ref="V12:V19" si="1">U12*T12</f>
        <v>1603.7167659863219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pubescent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795.9366756344125</v>
      </c>
      <c r="U13" s="190">
        <f>'Données projet'!D12</f>
        <v>0.54</v>
      </c>
      <c r="V13" s="189">
        <f t="shared" si="1"/>
        <v>429.8058048425828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I-214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champêtre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1077.2885437151099</v>
      </c>
      <c r="U14" s="190">
        <f>'Données projet'!D13</f>
        <v>0.17820000000000003</v>
      </c>
      <c r="V14" s="189">
        <f t="shared" si="1"/>
        <v>191.97281849003261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>
        <v>0</v>
      </c>
      <c r="I15" s="204">
        <v>500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Cormier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539.64893745116728</v>
      </c>
      <c r="U15" s="190">
        <f>'Données projet'!D14</f>
        <v>9.1800000000000007E-2</v>
      </c>
      <c r="V15" s="189">
        <f t="shared" si="1"/>
        <v>49.539772458017161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>Chêne chevelu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502.22794283877084</v>
      </c>
      <c r="U16" s="190">
        <f>'Données projet'!D15</f>
        <v>9.1800000000000007E-2</v>
      </c>
      <c r="V16" s="189">
        <f t="shared" si="1"/>
        <v>46.104525152599166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7200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8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-9740.8459715875288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9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113702.32918136509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10</v>
      </c>
      <c r="B25" s="193">
        <f>'Données projet'!D38</f>
        <v>0</v>
      </c>
      <c r="C25" s="206">
        <v>0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1600</v>
      </c>
      <c r="Q25" s="265"/>
      <c r="R25" s="25"/>
      <c r="S25" s="198" t="s">
        <v>266</v>
      </c>
      <c r="T25" s="342">
        <f ca="1">T23-T24</f>
        <v>-123443.17515295261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11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12</v>
      </c>
      <c r="B27" s="193">
        <f>'Données projet'!D40</f>
        <v>0</v>
      </c>
      <c r="C27" s="206">
        <v>0</v>
      </c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13</v>
      </c>
      <c r="B28" s="193">
        <f>'Données projet'!D41</f>
        <v>0</v>
      </c>
      <c r="C28" s="206">
        <v>0</v>
      </c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14</v>
      </c>
      <c r="B29" s="193">
        <f>'Données projet'!D42</f>
        <v>0</v>
      </c>
      <c r="C29" s="206">
        <v>0</v>
      </c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15</v>
      </c>
      <c r="B30" s="193">
        <f>'Données projet'!D43</f>
        <v>0</v>
      </c>
      <c r="C30" s="206">
        <v>0</v>
      </c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21055.986885437978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16</v>
      </c>
      <c r="B31" s="193">
        <f>'Données projet'!D44</f>
        <v>0</v>
      </c>
      <c r="C31" s="206">
        <v>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17</v>
      </c>
      <c r="B32" s="193">
        <f>'Données projet'!D45</f>
        <v>0</v>
      </c>
      <c r="C32" s="206">
        <v>0</v>
      </c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18</v>
      </c>
      <c r="B33" s="193">
        <f>'Données projet'!D46</f>
        <v>361.08</v>
      </c>
      <c r="C33" s="206">
        <v>45</v>
      </c>
      <c r="D33" s="194">
        <f t="shared" si="2"/>
        <v>16248.599999999999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1600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>
        <v>0</v>
      </c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1531.1004784688996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>
        <v>0</v>
      </c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1465.1679219798084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>
        <v>0</v>
      </c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1402.074566487855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>
        <v>0</v>
      </c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1341.6981497491438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>
        <v>0</v>
      </c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1283.9216744010946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>
        <v>0</v>
      </c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1228.6331812450669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>
        <v>0</v>
      </c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1175.72553229193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>
        <v>0</v>
      </c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1125.0962031501726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>
        <v>0</v>
      </c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1076.6470843542322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1030.2842912480692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985.9179820555687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I-45/51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943.46218378523338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902.83462563180217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863.95657955196407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826.75270770522866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791.15091646433405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757.08221671228137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724.48059015529327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9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10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11</v>
      </c>
      <c r="B56" s="193">
        <f>'Données projet'!D64</f>
        <v>0</v>
      </c>
      <c r="C56" s="204">
        <v>0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12</v>
      </c>
      <c r="B57" s="193">
        <f>'Données projet'!D65</f>
        <v>0</v>
      </c>
      <c r="C57" s="204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13</v>
      </c>
      <c r="B58" s="193">
        <f>'Données projet'!D66</f>
        <v>0</v>
      </c>
      <c r="C58" s="204">
        <v>0</v>
      </c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14</v>
      </c>
      <c r="B59" s="193">
        <f>'Données projet'!D67</f>
        <v>0</v>
      </c>
      <c r="C59" s="204">
        <v>0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15</v>
      </c>
      <c r="B60" s="193">
        <f>'Données projet'!D68</f>
        <v>0</v>
      </c>
      <c r="C60" s="204">
        <v>0</v>
      </c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16</v>
      </c>
      <c r="B61" s="193">
        <f>'Données projet'!D69</f>
        <v>0</v>
      </c>
      <c r="C61" s="204">
        <v>0</v>
      </c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17</v>
      </c>
      <c r="B62" s="193">
        <f>'Données projet'!D70</f>
        <v>0</v>
      </c>
      <c r="C62" s="204">
        <v>0</v>
      </c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18</v>
      </c>
      <c r="B63" s="193">
        <f>'Données projet'!D71</f>
        <v>265.2</v>
      </c>
      <c r="C63" s="204">
        <v>45</v>
      </c>
      <c r="D63" s="191">
        <f t="shared" si="4"/>
        <v>11934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>
        <v>0</v>
      </c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>
        <v>0</v>
      </c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>
        <v>0</v>
      </c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>
        <v>0</v>
      </c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>
        <v>0</v>
      </c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>
        <v>0</v>
      </c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>
        <v>0</v>
      </c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>
        <v>0</v>
      </c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>
        <v>0</v>
      </c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>
        <v>0</v>
      </c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Robinier faux-acacia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5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10</v>
      </c>
      <c r="B86" s="193">
        <f>'Données projet'!D89</f>
        <v>17</v>
      </c>
      <c r="C86" s="204">
        <v>10</v>
      </c>
      <c r="D86" s="191">
        <f t="shared" ref="D86:D104" si="6">B86*C86</f>
        <v>170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15</v>
      </c>
      <c r="B87" s="193">
        <f>'Données projet'!D90</f>
        <v>13</v>
      </c>
      <c r="C87" s="204">
        <v>10</v>
      </c>
      <c r="D87" s="191">
        <f t="shared" si="6"/>
        <v>130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20</v>
      </c>
      <c r="B88" s="193">
        <f>'Données projet'!D91</f>
        <v>10</v>
      </c>
      <c r="C88" s="204">
        <v>20</v>
      </c>
      <c r="D88" s="191">
        <f t="shared" si="6"/>
        <v>200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25</v>
      </c>
      <c r="B89" s="193">
        <f>'Données projet'!D92</f>
        <v>8</v>
      </c>
      <c r="C89" s="204">
        <v>20</v>
      </c>
      <c r="D89" s="191">
        <f t="shared" si="6"/>
        <v>160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30</v>
      </c>
      <c r="B90" s="193">
        <f>'Données projet'!D93</f>
        <v>6</v>
      </c>
      <c r="C90" s="204">
        <v>25</v>
      </c>
      <c r="D90" s="191">
        <f t="shared" si="6"/>
        <v>150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35</v>
      </c>
      <c r="B91" s="193">
        <f>'Données projet'!D94</f>
        <v>5</v>
      </c>
      <c r="C91" s="204">
        <v>30</v>
      </c>
      <c r="D91" s="191">
        <f t="shared" si="6"/>
        <v>150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40</v>
      </c>
      <c r="B92" s="193">
        <f>'Données projet'!D95</f>
        <v>4</v>
      </c>
      <c r="C92" s="204">
        <v>40</v>
      </c>
      <c r="D92" s="191">
        <f t="shared" si="6"/>
        <v>160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45</v>
      </c>
      <c r="B93" s="193">
        <f>'Données projet'!D96</f>
        <v>198</v>
      </c>
      <c r="C93" s="204">
        <v>50</v>
      </c>
      <c r="D93" s="191">
        <f t="shared" si="6"/>
        <v>9900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>
        <v>0</v>
      </c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>
        <v>0</v>
      </c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>
        <v>0</v>
      </c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>
        <v>0</v>
      </c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>
        <v>0</v>
      </c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>
        <v>0</v>
      </c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6">
        <v>0</v>
      </c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6">
        <v>0</v>
      </c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6">
        <v>0</v>
      </c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6">
        <v>0</v>
      </c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6">
        <v>0</v>
      </c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Chêne pubescent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0</v>
      </c>
      <c r="C116" s="204">
        <v>0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0</v>
      </c>
      <c r="C117" s="206">
        <v>0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29</v>
      </c>
      <c r="C118" s="206">
        <v>10</v>
      </c>
      <c r="D118" s="191">
        <f t="shared" si="8"/>
        <v>290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0</v>
      </c>
      <c r="C119" s="206">
        <v>0</v>
      </c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42</v>
      </c>
      <c r="C120" s="206">
        <v>10</v>
      </c>
      <c r="D120" s="191">
        <f t="shared" si="8"/>
        <v>420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0</v>
      </c>
      <c r="C121" s="206">
        <v>0</v>
      </c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42</v>
      </c>
      <c r="C122" s="206">
        <v>20</v>
      </c>
      <c r="D122" s="191">
        <f t="shared" si="8"/>
        <v>840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55</v>
      </c>
      <c r="B123" s="193">
        <f>'Données projet'!D121</f>
        <v>0</v>
      </c>
      <c r="C123" s="206">
        <v>0</v>
      </c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60</v>
      </c>
      <c r="B124" s="193">
        <f>'Données projet'!D122</f>
        <v>42</v>
      </c>
      <c r="C124" s="206">
        <v>30</v>
      </c>
      <c r="D124" s="191">
        <f t="shared" si="8"/>
        <v>1260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65</v>
      </c>
      <c r="B125" s="193">
        <f>'Données projet'!D123</f>
        <v>0</v>
      </c>
      <c r="C125" s="206">
        <v>0</v>
      </c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70</v>
      </c>
      <c r="B126" s="193">
        <f>'Données projet'!D124</f>
        <v>42</v>
      </c>
      <c r="C126" s="206">
        <v>40</v>
      </c>
      <c r="D126" s="191">
        <f t="shared" si="8"/>
        <v>1680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75</v>
      </c>
      <c r="B127" s="193">
        <f>'Données projet'!D125</f>
        <v>0</v>
      </c>
      <c r="C127" s="206">
        <v>0</v>
      </c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80</v>
      </c>
      <c r="B128" s="193">
        <f>'Données projet'!D126</f>
        <v>42</v>
      </c>
      <c r="C128" s="206">
        <v>70</v>
      </c>
      <c r="D128" s="191">
        <f t="shared" si="8"/>
        <v>2940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90</v>
      </c>
      <c r="B129" s="193">
        <f>'Données projet'!D127</f>
        <v>42</v>
      </c>
      <c r="C129" s="206">
        <v>100</v>
      </c>
      <c r="D129" s="191">
        <f t="shared" si="8"/>
        <v>4200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100</v>
      </c>
      <c r="B130" s="193">
        <f>'Données projet'!D128</f>
        <v>42</v>
      </c>
      <c r="C130" s="206">
        <v>110</v>
      </c>
      <c r="D130" s="191">
        <f t="shared" si="8"/>
        <v>4620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110</v>
      </c>
      <c r="B131" s="193">
        <f>'Données projet'!D129</f>
        <v>39</v>
      </c>
      <c r="C131" s="206">
        <v>120</v>
      </c>
      <c r="D131" s="191">
        <f t="shared" si="8"/>
        <v>4680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120</v>
      </c>
      <c r="B132" s="193">
        <f>'Données projet'!D130</f>
        <v>35</v>
      </c>
      <c r="C132" s="206">
        <v>130</v>
      </c>
      <c r="D132" s="191">
        <f t="shared" si="8"/>
        <v>4550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130</v>
      </c>
      <c r="B133" s="193">
        <f>'Données projet'!D131</f>
        <v>31</v>
      </c>
      <c r="C133" s="206">
        <v>140</v>
      </c>
      <c r="D133" s="191">
        <f t="shared" si="8"/>
        <v>4340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140</v>
      </c>
      <c r="B134" s="193">
        <f>'Données projet'!D132</f>
        <v>27</v>
      </c>
      <c r="C134" s="206">
        <v>160</v>
      </c>
      <c r="D134" s="191">
        <f t="shared" si="8"/>
        <v>4320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150</v>
      </c>
      <c r="B135" s="193">
        <f>'Données projet'!D133</f>
        <v>293</v>
      </c>
      <c r="C135" s="206">
        <v>200</v>
      </c>
      <c r="D135" s="191">
        <f t="shared" si="8"/>
        <v>58600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Erable champêtre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7">
        <f>'Données projet'!D140</f>
        <v>0</v>
      </c>
      <c r="C147" s="206">
        <v>0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7">
        <f>'Données projet'!D141</f>
        <v>0</v>
      </c>
      <c r="C148" s="206">
        <v>0</v>
      </c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7">
        <f>'Données projet'!D142</f>
        <v>31</v>
      </c>
      <c r="C149" s="206">
        <v>30</v>
      </c>
      <c r="D149" s="194">
        <f t="shared" si="10"/>
        <v>930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7">
        <f>'Données projet'!D143</f>
        <v>0</v>
      </c>
      <c r="C150" s="206">
        <v>0</v>
      </c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7">
        <f>'Données projet'!D144</f>
        <v>28</v>
      </c>
      <c r="C151" s="206">
        <v>40</v>
      </c>
      <c r="D151" s="194">
        <f t="shared" si="10"/>
        <v>1120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7">
        <f>'Données projet'!D145</f>
        <v>0</v>
      </c>
      <c r="C152" s="206">
        <v>0</v>
      </c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7">
        <f>'Données projet'!D146</f>
        <v>25</v>
      </c>
      <c r="C153" s="206">
        <v>50</v>
      </c>
      <c r="D153" s="194">
        <f t="shared" si="10"/>
        <v>1250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7">
        <f>'Données projet'!D147</f>
        <v>0</v>
      </c>
      <c r="C154" s="206">
        <v>0</v>
      </c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7">
        <f>'Données projet'!D148</f>
        <v>16</v>
      </c>
      <c r="C155" s="206">
        <v>60</v>
      </c>
      <c r="D155" s="194">
        <f t="shared" si="10"/>
        <v>960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7">
        <f>'Données projet'!D149</f>
        <v>0</v>
      </c>
      <c r="C156" s="206">
        <v>0</v>
      </c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7">
        <f>'Données projet'!D150</f>
        <v>13</v>
      </c>
      <c r="C157" s="206">
        <v>70</v>
      </c>
      <c r="D157" s="194">
        <f t="shared" si="10"/>
        <v>910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7">
        <f>'Données projet'!D151</f>
        <v>0</v>
      </c>
      <c r="C158" s="206">
        <v>0</v>
      </c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7">
        <f>'Données projet'!D152</f>
        <v>164</v>
      </c>
      <c r="C159" s="206">
        <v>80</v>
      </c>
      <c r="D159" s="194">
        <f t="shared" si="10"/>
        <v>13120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6">
        <v>0</v>
      </c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6">
        <v>0</v>
      </c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6">
        <v>0</v>
      </c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6">
        <v>0</v>
      </c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6">
        <v>0</v>
      </c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6">
        <v>0</v>
      </c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6">
        <v>0</v>
      </c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Cormier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20</v>
      </c>
      <c r="B178" s="193">
        <f>'Données projet'!D166</f>
        <v>0</v>
      </c>
      <c r="C178" s="206">
        <v>0</v>
      </c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25</v>
      </c>
      <c r="B179" s="193">
        <f>'Données projet'!D167</f>
        <v>0</v>
      </c>
      <c r="C179" s="206">
        <v>0</v>
      </c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30</v>
      </c>
      <c r="B180" s="193">
        <f>'Données projet'!D168</f>
        <v>0</v>
      </c>
      <c r="C180" s="206">
        <v>0</v>
      </c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35</v>
      </c>
      <c r="B181" s="193">
        <f>'Données projet'!D169</f>
        <v>17</v>
      </c>
      <c r="C181" s="206">
        <v>20</v>
      </c>
      <c r="D181" s="191">
        <f t="shared" si="11"/>
        <v>340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40</v>
      </c>
      <c r="B182" s="193">
        <f>'Données projet'!D170</f>
        <v>0</v>
      </c>
      <c r="C182" s="206">
        <v>0</v>
      </c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45</v>
      </c>
      <c r="B183" s="193">
        <f>'Données projet'!D171</f>
        <v>18</v>
      </c>
      <c r="C183" s="206">
        <v>30</v>
      </c>
      <c r="D183" s="191">
        <f t="shared" si="11"/>
        <v>540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50</v>
      </c>
      <c r="B184" s="193">
        <f>'Données projet'!D172</f>
        <v>0</v>
      </c>
      <c r="C184" s="206">
        <v>0</v>
      </c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55</v>
      </c>
      <c r="B185" s="193">
        <f>'Données projet'!D173</f>
        <v>19</v>
      </c>
      <c r="C185" s="206">
        <v>40</v>
      </c>
      <c r="D185" s="191">
        <f t="shared" si="11"/>
        <v>760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60</v>
      </c>
      <c r="B186" s="193">
        <f>'Données projet'!D174</f>
        <v>0</v>
      </c>
      <c r="C186" s="206">
        <v>0</v>
      </c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65</v>
      </c>
      <c r="B187" s="193">
        <f>'Données projet'!D175</f>
        <v>20</v>
      </c>
      <c r="C187" s="206">
        <v>50</v>
      </c>
      <c r="D187" s="191">
        <f t="shared" si="11"/>
        <v>1000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70</v>
      </c>
      <c r="B188" s="193">
        <f>'Données projet'!D176</f>
        <v>0</v>
      </c>
      <c r="C188" s="206">
        <v>0</v>
      </c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75</v>
      </c>
      <c r="B189" s="193">
        <f>'Données projet'!D177</f>
        <v>20</v>
      </c>
      <c r="C189" s="206">
        <v>70</v>
      </c>
      <c r="D189" s="191">
        <f t="shared" si="11"/>
        <v>1400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80</v>
      </c>
      <c r="B190" s="193">
        <f>'Données projet'!D178</f>
        <v>0</v>
      </c>
      <c r="C190" s="206">
        <v>0</v>
      </c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85</v>
      </c>
      <c r="B191" s="193">
        <f>'Données projet'!D179</f>
        <v>18</v>
      </c>
      <c r="C191" s="206">
        <v>80</v>
      </c>
      <c r="D191" s="191">
        <f t="shared" si="11"/>
        <v>1440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90</v>
      </c>
      <c r="B192" s="193">
        <f>'Données projet'!D180</f>
        <v>0</v>
      </c>
      <c r="C192" s="206">
        <v>0</v>
      </c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95</v>
      </c>
      <c r="B193" s="193">
        <f>'Données projet'!D181</f>
        <v>18</v>
      </c>
      <c r="C193" s="206">
        <v>90</v>
      </c>
      <c r="D193" s="191">
        <f t="shared" si="11"/>
        <v>1620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100</v>
      </c>
      <c r="B194" s="193">
        <f>'Données projet'!D182</f>
        <v>0</v>
      </c>
      <c r="C194" s="206">
        <v>0</v>
      </c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105</v>
      </c>
      <c r="B195" s="193">
        <f>'Données projet'!D183</f>
        <v>18</v>
      </c>
      <c r="C195" s="206">
        <v>100</v>
      </c>
      <c r="D195" s="191">
        <f t="shared" si="11"/>
        <v>1800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110</v>
      </c>
      <c r="B196" s="193">
        <f>'Données projet'!D184</f>
        <v>0</v>
      </c>
      <c r="C196" s="206">
        <v>0</v>
      </c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120</v>
      </c>
      <c r="B197" s="193">
        <f>'Données projet'!D185</f>
        <v>211</v>
      </c>
      <c r="C197" s="206">
        <v>130</v>
      </c>
      <c r="D197" s="191">
        <f t="shared" si="11"/>
        <v>27430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Chêne chevelu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15</v>
      </c>
      <c r="B209" s="193">
        <f>'Données projet'!D192</f>
        <v>0</v>
      </c>
      <c r="C209" s="204">
        <v>0</v>
      </c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20</v>
      </c>
      <c r="B210" s="193">
        <f>'Données projet'!D193</f>
        <v>0</v>
      </c>
      <c r="C210" s="204">
        <v>0</v>
      </c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25</v>
      </c>
      <c r="B211" s="193">
        <f>'Données projet'!D194</f>
        <v>0</v>
      </c>
      <c r="C211" s="204">
        <v>0</v>
      </c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30</v>
      </c>
      <c r="B212" s="193">
        <f>'Données projet'!D195</f>
        <v>28.205128205128204</v>
      </c>
      <c r="C212" s="206">
        <v>10</v>
      </c>
      <c r="D212" s="191">
        <f t="shared" si="12"/>
        <v>282.05128205128204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35</v>
      </c>
      <c r="B213" s="193">
        <f>'Données projet'!D196</f>
        <v>0</v>
      </c>
      <c r="C213" s="206">
        <v>0</v>
      </c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40</v>
      </c>
      <c r="B214" s="193">
        <f>'Données projet'!D197</f>
        <v>22.435897435897434</v>
      </c>
      <c r="C214" s="206">
        <v>15</v>
      </c>
      <c r="D214" s="191">
        <f t="shared" si="12"/>
        <v>336.53846153846149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45</v>
      </c>
      <c r="B215" s="193">
        <f>'Données projet'!D198</f>
        <v>0</v>
      </c>
      <c r="C215" s="206">
        <v>0</v>
      </c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50</v>
      </c>
      <c r="B216" s="193">
        <f>'Données projet'!D199</f>
        <v>24.358974358974358</v>
      </c>
      <c r="C216" s="206">
        <v>20</v>
      </c>
      <c r="D216" s="191">
        <f t="shared" si="12"/>
        <v>487.17948717948718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55</v>
      </c>
      <c r="B217" s="193">
        <f>'Données projet'!D200</f>
        <v>0</v>
      </c>
      <c r="C217" s="206">
        <v>0</v>
      </c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60</v>
      </c>
      <c r="B218" s="193">
        <f>'Données projet'!D201</f>
        <v>24.358974358974358</v>
      </c>
      <c r="C218" s="206">
        <v>30</v>
      </c>
      <c r="D218" s="191">
        <f t="shared" si="12"/>
        <v>730.76923076923072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65</v>
      </c>
      <c r="B219" s="193">
        <f>'Données projet'!D202</f>
        <v>0</v>
      </c>
      <c r="C219" s="206">
        <v>0</v>
      </c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70</v>
      </c>
      <c r="B220" s="193">
        <f>'Données projet'!D203</f>
        <v>23.076923076923077</v>
      </c>
      <c r="C220" s="206">
        <v>40</v>
      </c>
      <c r="D220" s="191">
        <f t="shared" si="12"/>
        <v>923.07692307692309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75</v>
      </c>
      <c r="B221" s="193">
        <f>'Données projet'!D204</f>
        <v>0</v>
      </c>
      <c r="C221" s="206">
        <v>0</v>
      </c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80</v>
      </c>
      <c r="B222" s="193">
        <f>'Données projet'!D205</f>
        <v>22.435897435897434</v>
      </c>
      <c r="C222" s="206">
        <v>55</v>
      </c>
      <c r="D222" s="191">
        <f t="shared" si="12"/>
        <v>1233.9743589743589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85</v>
      </c>
      <c r="B223" s="193">
        <f>'Données projet'!D206</f>
        <v>0</v>
      </c>
      <c r="C223" s="206">
        <v>0</v>
      </c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90</v>
      </c>
      <c r="B224" s="193">
        <f>'Données projet'!D207</f>
        <v>21.153846153846153</v>
      </c>
      <c r="C224" s="204">
        <v>60</v>
      </c>
      <c r="D224" s="191">
        <f t="shared" si="12"/>
        <v>1269.2307692307693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100</v>
      </c>
      <c r="B225" s="193">
        <f>'Données projet'!D208</f>
        <v>20.512820512820511</v>
      </c>
      <c r="C225" s="204">
        <v>70</v>
      </c>
      <c r="D225" s="191">
        <f t="shared" si="12"/>
        <v>1435.8974358974358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110</v>
      </c>
      <c r="B226" s="193">
        <f>'Données projet'!D209</f>
        <v>19.23076923076923</v>
      </c>
      <c r="C226" s="204">
        <v>80</v>
      </c>
      <c r="D226" s="191">
        <f t="shared" si="12"/>
        <v>1538.4615384615383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120</v>
      </c>
      <c r="B227" s="193">
        <f>'Données projet'!D210</f>
        <v>17.948717948717949</v>
      </c>
      <c r="C227" s="204">
        <v>90</v>
      </c>
      <c r="D227" s="191">
        <f t="shared" si="12"/>
        <v>1615.3846153846155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130</v>
      </c>
      <c r="B228" s="193">
        <f>'Données projet'!D211</f>
        <v>339.10256410256409</v>
      </c>
      <c r="C228" s="204">
        <v>110</v>
      </c>
      <c r="D228" s="191">
        <f t="shared" si="12"/>
        <v>37301.282051282047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2024-12-20T18:42:11Z</dcterms:modified>
</cp:coreProperties>
</file>