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Lannux (32) - LION Jean-Michel\"/>
    </mc:Choice>
  </mc:AlternateContent>
  <xr:revisionPtr revIDLastSave="0" documentId="13_ncr:1_{2E0C87B8-0645-4853-95D1-4F9E8A1C89BD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<sst xmlns="http://schemas.openxmlformats.org/spreadsheetml/2006/main" count="1169" uniqueCount="324">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</sst>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3.5848171351889988</c:v>
                </c:pt>
                <c:pt idx="2">
                  <c:v>4.8416286626927247</c:v>
                </c:pt>
                <c:pt idx="3">
                  <c:v>6.5408715372244179</c:v>
                </c:pt>
                <c:pt idx="4">
                  <c:v>8.8388887797983759</c:v>
                </c:pt>
                <c:pt idx="5">
                  <c:v>11.947466582584214</c:v>
                </c:pt>
                <c:pt idx="6">
                  <c:v>16.153560047933912</c:v>
                </c:pt>
                <c:pt idx="7">
                  <c:v>21.846057976010275</c:v>
                </c:pt>
                <c:pt idx="8">
                  <c:v>29.552105381384482</c:v>
                </c:pt>
                <c:pt idx="9">
                  <c:v>39.986405856823303</c:v>
                </c:pt>
                <c:pt idx="10">
                  <c:v>54.118154115891912</c:v>
                </c:pt>
                <c:pt idx="11">
                  <c:v>73.261919019549453</c:v>
                </c:pt>
                <c:pt idx="12">
                  <c:v>99.201068322796701</c:v>
                </c:pt>
                <c:pt idx="13">
                  <c:v>134.35541493135989</c:v>
                </c:pt>
                <c:pt idx="14">
                  <c:v>182.00896554681501</c:v>
                </c:pt>
                <c:pt idx="15">
                  <c:v>246.61936765788826</c:v>
                </c:pt>
                <c:pt idx="16">
                  <c:v>206.51794973434934</c:v>
                </c:pt>
                <c:pt idx="17">
                  <c:v>243.02122855783492</c:v>
                </c:pt>
                <c:pt idx="18">
                  <c:v>279.39963766111288</c:v>
                </c:pt>
                <c:pt idx="19">
                  <c:v>315.67172376772402</c:v>
                </c:pt>
                <c:pt idx="20">
                  <c:v>351.85141458646626</c:v>
                </c:pt>
                <c:pt idx="21">
                  <c:v>274.91455293818166</c:v>
                </c:pt>
                <c:pt idx="22">
                  <c:v>309.85682211726339</c:v>
                </c:pt>
                <c:pt idx="23">
                  <c:v>344.711580692376</c:v>
                </c:pt>
                <c:pt idx="24">
                  <c:v>379.48891258338023</c:v>
                </c:pt>
                <c:pt idx="25">
                  <c:v>414.19690225230153</c:v>
                </c:pt>
                <c:pt idx="26">
                  <c:v>331.31556691700854</c:v>
                </c:pt>
                <c:pt idx="27">
                  <c:v>364.33852516457887</c:v>
                </c:pt>
                <c:pt idx="28">
                  <c:v>397.29609733045731</c:v>
                </c:pt>
                <c:pt idx="29">
                  <c:v>430.19446310321763</c:v>
                </c:pt>
                <c:pt idx="30">
                  <c:v>463.03878041146328</c:v>
                </c:pt>
                <c:pt idx="31">
                  <c:v>379.93431009929628</c:v>
                </c:pt>
                <c:pt idx="32">
                  <c:v>410.19544990407513</c:v>
                </c:pt>
                <c:pt idx="33">
                  <c:v>440.40840252576203</c:v>
                </c:pt>
                <c:pt idx="34">
                  <c:v>470.57693415697889</c:v>
                </c:pt>
                <c:pt idx="35">
                  <c:v>500.70428912785314</c:v>
                </c:pt>
                <c:pt idx="36">
                  <c:v>419.08643473326879</c:v>
                </c:pt>
                <c:pt idx="37">
                  <c:v>446.17924414056756</c:v>
                </c:pt>
                <c:pt idx="38">
                  <c:v>473.23684263623528</c:v>
                </c:pt>
                <c:pt idx="39">
                  <c:v>500.26152412217448</c:v>
                </c:pt>
                <c:pt idx="40">
                  <c:v>527.25531469060434</c:v>
                </c:pt>
                <c:pt idx="41">
                  <c:v>452.39221015864678</c:v>
                </c:pt>
                <c:pt idx="42">
                  <c:v>477.22610926559105</c:v>
                </c:pt>
                <c:pt idx="43">
                  <c:v>502.03253444791227</c:v>
                </c:pt>
                <c:pt idx="44">
                  <c:v>526.81303270774799</c:v>
                </c:pt>
                <c:pt idx="45">
                  <c:v>551.56899378437413</c:v>
                </c:pt>
                <c:pt idx="46">
                  <c:v>482.54402933920204</c:v>
                </c:pt>
                <c:pt idx="47">
                  <c:v>504.24611149146443</c:v>
                </c:pt>
                <c:pt idx="48">
                  <c:v>525.92844527215686</c:v>
                </c:pt>
                <c:pt idx="49">
                  <c:v>547.59195866062225</c:v>
                </c:pt>
                <c:pt idx="50">
                  <c:v>569.2375002894953</c:v>
                </c:pt>
                <c:pt idx="51">
                  <c:v>506.45948298618129</c:v>
                </c:pt>
                <c:pt idx="52">
                  <c:v>525.48613980439268</c:v>
                </c:pt>
                <c:pt idx="53">
                  <c:v>544.49829034246511</c:v>
                </c:pt>
                <c:pt idx="54">
                  <c:v>563.49651203558233</c:v>
                </c:pt>
                <c:pt idx="55">
                  <c:v>582.48134023717648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C24" sqref="C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1.37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9</v>
      </c>
      <c r="C9" s="35">
        <v>1</v>
      </c>
      <c r="D9" s="36">
        <f t="shared" ref="D9:D18" si="0">C9*$C$5</f>
        <v>1.37</v>
      </c>
      <c r="E9" s="37">
        <v>55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1.37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chevelu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v>107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7.1333333333333337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v>154</v>
      </c>
      <c r="C37" s="63">
        <v>2</v>
      </c>
      <c r="D37" s="63">
        <v>50</v>
      </c>
      <c r="E37" s="54"/>
      <c r="F37" s="54"/>
      <c r="G37" s="54">
        <v>1</v>
      </c>
      <c r="H37" s="54"/>
      <c r="I37" s="56">
        <f t="shared" ref="I37:I55" si="1">IF(A37&lt;&gt;0,(B37-(B36-D36))/(A37-A36),"")</f>
        <v>16.2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182</v>
      </c>
      <c r="C38" s="63">
        <v>3</v>
      </c>
      <c r="D38" s="63">
        <v>52</v>
      </c>
      <c r="E38" s="54"/>
      <c r="F38" s="54">
        <v>0.2</v>
      </c>
      <c r="G38" s="54">
        <v>0.8</v>
      </c>
      <c r="H38" s="54"/>
      <c r="I38" s="56">
        <f t="shared" si="1"/>
        <v>15.6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204</v>
      </c>
      <c r="C39" s="63">
        <v>4</v>
      </c>
      <c r="D39" s="63">
        <v>51</v>
      </c>
      <c r="E39" s="54"/>
      <c r="F39" s="54">
        <v>0.3</v>
      </c>
      <c r="G39" s="54">
        <v>0.7</v>
      </c>
      <c r="H39" s="54"/>
      <c r="I39" s="52">
        <f t="shared" si="1"/>
        <v>14.8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v>221</v>
      </c>
      <c r="C40" s="63">
        <v>5</v>
      </c>
      <c r="D40" s="63">
        <v>49</v>
      </c>
      <c r="E40" s="54"/>
      <c r="F40" s="54"/>
      <c r="G40" s="54"/>
      <c r="H40" s="54"/>
      <c r="I40" s="52">
        <f t="shared" si="1"/>
        <v>13.6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v>233</v>
      </c>
      <c r="C41" s="63">
        <v>6</v>
      </c>
      <c r="D41" s="63">
        <v>45</v>
      </c>
      <c r="E41" s="54"/>
      <c r="F41" s="54"/>
      <c r="G41" s="54"/>
      <c r="H41" s="54"/>
      <c r="I41" s="56">
        <f t="shared" si="1"/>
        <v>12.2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v>244</v>
      </c>
      <c r="C42" s="63">
        <v>7</v>
      </c>
      <c r="D42" s="63">
        <v>41</v>
      </c>
      <c r="E42" s="54"/>
      <c r="F42" s="54"/>
      <c r="G42" s="54"/>
      <c r="H42" s="54"/>
      <c r="I42" s="56">
        <f t="shared" si="1"/>
        <v>11.2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50</v>
      </c>
      <c r="B43" s="63">
        <v>252</v>
      </c>
      <c r="C43" s="63">
        <v>8</v>
      </c>
      <c r="D43" s="63">
        <v>37</v>
      </c>
      <c r="E43" s="54"/>
      <c r="F43" s="54"/>
      <c r="G43" s="54"/>
      <c r="H43" s="54"/>
      <c r="I43" s="52">
        <f t="shared" si="1"/>
        <v>9.8000000000000007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55</v>
      </c>
      <c r="B44" s="63">
        <v>258</v>
      </c>
      <c r="C44" s="63">
        <v>9</v>
      </c>
      <c r="D44" s="63">
        <v>258</v>
      </c>
      <c r="E44" s="54"/>
      <c r="F44" s="54"/>
      <c r="G44" s="54"/>
      <c r="H44" s="54"/>
      <c r="I44" s="52">
        <f t="shared" si="1"/>
        <v>8.6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30" sqref="C3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chevelu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370.70149842199339</v>
      </c>
      <c r="T3" s="62">
        <f>IF('Données projet'!E9&gt;30,$R$33-$H$33,LOOKUP('Données projet'!$E$9,$A$3:$A$203,R3:R203)-LOOKUP('Données projet'!$E$9,$A$3:$A$203,$H$3:$H$203))</f>
        <v>518.81287201117186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7.1333333333333337</v>
      </c>
      <c r="N4" s="14">
        <f>IF('Données projet'!$A$36&gt;35,N3+M4-V3,IF(A4&lt;'Données projet'!$A$36,$K$205^A4,IF(A4='Données projet'!$A$36,'Données projet'!$B$36,N3+M4-V3)))</f>
        <v>1.3655017210306359</v>
      </c>
      <c r="O4" s="14">
        <f>N4*VLOOKUP('Données projet'!$B$9,Paramètres!$A$1:$I$89,3,0)*VLOOKUP('Données projet'!$B$9,Paramètres!$A$1:$I$89,5,0)</f>
        <v>1.4272223988212207</v>
      </c>
      <c r="P4" s="14">
        <f>EXP(-1.0587+0.8836*LN(O4)+0.284)</f>
        <v>0.63104581277054894</v>
      </c>
      <c r="Q4" s="22">
        <f t="shared" ref="Q4:Q34" si="2">(O4+P4)*0.475*44/12</f>
        <v>3.5848171351889988</v>
      </c>
      <c r="R4" s="62">
        <f t="shared" si="0"/>
        <v>171.39725108811285</v>
      </c>
      <c r="S4" s="62">
        <f ca="1">AVERAGE(OFFSET($R$3,0,0,'Données projet'!$E$9+1,1))-AVERAGE(OFFSET($H$3,0,0,'Données projet'!$E$9+1,1))</f>
        <v>370.70149842199339</v>
      </c>
      <c r="T4" s="62">
        <f>$T$3</f>
        <v>518.81287201117186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7.1333333333333337</v>
      </c>
      <c r="N5" s="14">
        <f>IF('Données projet'!$A$36&gt;35,N4+M5-V4,IF(A5&lt;'Données projet'!$A$36,$K$205^A5,IF(A5='Données projet'!$A$36,'Données projet'!$B$36,N4+M5-V4)))</f>
        <v>1.8645949501376287</v>
      </c>
      <c r="O5" s="14">
        <f>N5*VLOOKUP('Données projet'!$B$9,Paramètres!$A$1:$I$89,3,0)*VLOOKUP('Données projet'!$B$9,Paramètres!$A$1:$I$89,5,0)</f>
        <v>1.9488746418838494</v>
      </c>
      <c r="P5" s="14">
        <f t="shared" ref="P5:P68" si="33">EXP(-1.0587+0.8836*LN(O5)+0.284)</f>
        <v>0.8310078438727394</v>
      </c>
      <c r="Q5" s="22">
        <f t="shared" si="2"/>
        <v>4.8416286626927247</v>
      </c>
      <c r="R5" s="62">
        <f t="shared" si="0"/>
        <v>175.43890995019356</v>
      </c>
      <c r="S5" s="62">
        <f ca="1">AVERAGE(OFFSET($R$3,0,0,'Données projet'!$E$9+1,1))-AVERAGE(OFFSET($H$3,0,0,'Données projet'!$E$9+1,1))</f>
        <v>370.70149842199339</v>
      </c>
      <c r="T5" s="62">
        <f t="shared" ref="T5:T68" si="34">$T$3</f>
        <v>518.81287201117186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7.1333333333333337</v>
      </c>
      <c r="N6" s="14">
        <f>IF('Données projet'!$A$36&gt;35,N5+M6-V5,IF(A6&lt;'Données projet'!$A$36,$K$205^A6,IF(A6='Données projet'!$A$36,'Données projet'!$B$36,N5+M6-V5)))</f>
        <v>2.5461076134379645</v>
      </c>
      <c r="O6" s="14">
        <f>N6*VLOOKUP('Données projet'!$B$9,Paramètres!$A$1:$I$89,3,0)*VLOOKUP('Données projet'!$B$9,Paramètres!$A$1:$I$89,5,0)</f>
        <v>2.6611916775653608</v>
      </c>
      <c r="P6" s="14">
        <f t="shared" si="33"/>
        <v>1.094332650027606</v>
      </c>
      <c r="Q6" s="22">
        <f t="shared" si="2"/>
        <v>6.5408715372244179</v>
      </c>
      <c r="R6" s="62">
        <f t="shared" si="0"/>
        <v>179.89589210710929</v>
      </c>
      <c r="S6" s="62">
        <f ca="1">AVERAGE(OFFSET($R$3,0,0,'Données projet'!$E$9+1,1))-AVERAGE(OFFSET($H$3,0,0,'Données projet'!$E$9+1,1))</f>
        <v>370.70149842199339</v>
      </c>
      <c r="T6" s="62">
        <f t="shared" si="34"/>
        <v>518.81287201117186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7.1333333333333337</v>
      </c>
      <c r="N7" s="14">
        <f>IF('Données projet'!$A$36&gt;35,N6+M7-V6,IF(A7&lt;'Données projet'!$A$36,$K$205^A7,IF(A7='Données projet'!$A$36,'Données projet'!$B$36,N6+M7-V6)))</f>
        <v>3.4767143280787458</v>
      </c>
      <c r="O7" s="14">
        <f>N7*VLOOKUP('Données projet'!$B$9,Paramètres!$A$1:$I$89,3,0)*VLOOKUP('Données projet'!$B$9,Paramètres!$A$1:$I$89,5,0)</f>
        <v>3.6338618157079052</v>
      </c>
      <c r="P7" s="14">
        <f t="shared" si="33"/>
        <v>1.4410982492480999</v>
      </c>
      <c r="Q7" s="22">
        <f t="shared" si="2"/>
        <v>8.8388887797983759</v>
      </c>
      <c r="R7" s="62">
        <f t="shared" si="0"/>
        <v>184.92501084397531</v>
      </c>
      <c r="S7" s="62">
        <f ca="1">AVERAGE(OFFSET($R$3,0,0,'Données projet'!$E$9+1,1))-AVERAGE(OFFSET($H$3,0,0,'Données projet'!$E$9+1,1))</f>
        <v>370.70149842199339</v>
      </c>
      <c r="T7" s="62">
        <f t="shared" si="34"/>
        <v>518.81287201117186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7.1333333333333337</v>
      </c>
      <c r="N8" s="14">
        <f>IF('Données projet'!$A$36&gt;35,N7+M8-V7,IF(A8&lt;'Données projet'!$A$36,$K$205^A8,IF(A8='Données projet'!$A$36,'Données projet'!$B$36,N7+M8-V7)))</f>
        <v>4.7474593985233984</v>
      </c>
      <c r="O8" s="14">
        <f>N8*VLOOKUP('Données projet'!$B$9,Paramètres!$A$1:$I$89,3,0)*VLOOKUP('Données projet'!$B$9,Paramètres!$A$1:$I$89,5,0)</f>
        <v>4.9620445633366561</v>
      </c>
      <c r="P8" s="14">
        <f t="shared" si="33"/>
        <v>1.8977448620705497</v>
      </c>
      <c r="Q8" s="22">
        <f t="shared" si="2"/>
        <v>11.947466582584214</v>
      </c>
      <c r="R8" s="62">
        <f t="shared" si="0"/>
        <v>190.73851445903156</v>
      </c>
      <c r="S8" s="62">
        <f ca="1">AVERAGE(OFFSET($R$3,0,0,'Données projet'!$E$9+1,1))-AVERAGE(OFFSET($H$3,0,0,'Données projet'!$E$9+1,1))</f>
        <v>370.70149842199339</v>
      </c>
      <c r="T8" s="62">
        <f t="shared" si="34"/>
        <v>518.81287201117186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7.1333333333333337</v>
      </c>
      <c r="N9" s="14">
        <f>IF('Données projet'!$A$36&gt;35,N8+M9-V8,IF(A9&lt;'Données projet'!$A$36,$K$205^A9,IF(A9='Données projet'!$A$36,'Données projet'!$B$36,N8+M9-V8)))</f>
        <v>6.4826639792067677</v>
      </c>
      <c r="O9" s="14">
        <f>N9*VLOOKUP('Données projet'!$B$9,Paramètres!$A$1:$I$89,3,0)*VLOOKUP('Données projet'!$B$9,Paramètres!$A$1:$I$89,5,0)</f>
        <v>6.7756803910669143</v>
      </c>
      <c r="P9" s="14">
        <f t="shared" si="33"/>
        <v>2.4990909283209772</v>
      </c>
      <c r="Q9" s="22">
        <f t="shared" si="2"/>
        <v>16.153560047933912</v>
      </c>
      <c r="R9" s="62">
        <f t="shared" si="0"/>
        <v>197.6238121441929</v>
      </c>
      <c r="S9" s="62">
        <f ca="1">AVERAGE(OFFSET($R$3,0,0,'Données projet'!$E$9+1,1))-AVERAGE(OFFSET($H$3,0,0,'Données projet'!$E$9+1,1))</f>
        <v>370.70149842199339</v>
      </c>
      <c r="T9" s="62">
        <f t="shared" si="34"/>
        <v>518.81287201117186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7.1333333333333337</v>
      </c>
      <c r="N10" s="14">
        <f>IF('Données projet'!$A$36&gt;35,N9+M10-V9,IF(A10&lt;'Données projet'!$A$36,$K$205^A10,IF(A10='Données projet'!$A$36,'Données projet'!$B$36,N9+M10-V9)))</f>
        <v>8.8520888204701524</v>
      </c>
      <c r="O10" s="14">
        <f>N10*VLOOKUP('Données projet'!$B$9,Paramètres!$A$1:$I$89,3,0)*VLOOKUP('Données projet'!$B$9,Paramètres!$A$1:$I$89,5,0)</f>
        <v>9.2522032351554042</v>
      </c>
      <c r="P10" s="14">
        <f t="shared" si="33"/>
        <v>3.2909879472428405</v>
      </c>
      <c r="Q10" s="22">
        <f t="shared" si="2"/>
        <v>21.846057976010275</v>
      </c>
      <c r="R10" s="62">
        <f t="shared" si="0"/>
        <v>205.97023891174652</v>
      </c>
      <c r="S10" s="62">
        <f ca="1">AVERAGE(OFFSET($R$3,0,0,'Données projet'!$E$9+1,1))-AVERAGE(OFFSET($H$3,0,0,'Données projet'!$E$9+1,1))</f>
        <v>370.70149842199339</v>
      </c>
      <c r="T10" s="62">
        <f t="shared" si="34"/>
        <v>518.81287201117186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7.1333333333333337</v>
      </c>
      <c r="N11" s="14">
        <f>IF('Données projet'!$A$36&gt;35,N10+M11-V10,IF(A11&lt;'Données projet'!$A$36,$K$205^A11,IF(A11='Données projet'!$A$36,'Données projet'!$B$36,N10+M11-V10)))</f>
        <v>12.087542519068045</v>
      </c>
      <c r="O11" s="14">
        <f>N11*VLOOKUP('Données projet'!$B$9,Paramètres!$A$1:$I$89,3,0)*VLOOKUP('Données projet'!$B$9,Paramètres!$A$1:$I$89,5,0)</f>
        <v>12.633899440929923</v>
      </c>
      <c r="P11" s="14">
        <f t="shared" si="33"/>
        <v>4.3338165675205023</v>
      </c>
      <c r="Q11" s="22">
        <f t="shared" si="2"/>
        <v>29.552105381384482</v>
      </c>
      <c r="R11" s="62">
        <f t="shared" si="0"/>
        <v>216.30537824760503</v>
      </c>
      <c r="S11" s="62">
        <f ca="1">AVERAGE(OFFSET($R$3,0,0,'Données projet'!$E$9+1,1))-AVERAGE(OFFSET($H$3,0,0,'Données projet'!$E$9+1,1))</f>
        <v>370.70149842199339</v>
      </c>
      <c r="T11" s="62">
        <f t="shared" si="34"/>
        <v>518.81287201117186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7.1333333333333337</v>
      </c>
      <c r="N12" s="14">
        <f>IF('Données projet'!$A$36&gt;35,N11+M12-V11,IF(A12&lt;'Données projet'!$A$36,$K$205^A12,IF(A12='Données projet'!$A$36,'Données projet'!$B$36,N11+M12-V11)))</f>
        <v>16.505560112818404</v>
      </c>
      <c r="O12" s="14">
        <f>N12*VLOOKUP('Données projet'!$B$9,Paramètres!$A$1:$I$89,3,0)*VLOOKUP('Données projet'!$B$9,Paramètres!$A$1:$I$89,5,0)</f>
        <v>17.251611429917798</v>
      </c>
      <c r="P12" s="14">
        <f t="shared" si="33"/>
        <v>5.7070904974448622</v>
      </c>
      <c r="Q12" s="22">
        <f t="shared" si="2"/>
        <v>39.986405856823303</v>
      </c>
      <c r="R12" s="62">
        <f t="shared" si="0"/>
        <v>229.34436460937937</v>
      </c>
      <c r="S12" s="62">
        <f ca="1">AVERAGE(OFFSET($R$3,0,0,'Données projet'!$E$9+1,1))-AVERAGE(OFFSET($H$3,0,0,'Données projet'!$E$9+1,1))</f>
        <v>370.70149842199339</v>
      </c>
      <c r="T12" s="62">
        <f t="shared" si="34"/>
        <v>518.81287201117186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7.1333333333333337</v>
      </c>
      <c r="N13" s="14">
        <f>IF('Données projet'!$A$36&gt;35,N12+M13-V12,IF(A13&lt;'Données projet'!$A$36,$K$205^A13,IF(A13='Données projet'!$A$36,'Données projet'!$B$36,N12+M13-V12)))</f>
        <v>22.538370740628146</v>
      </c>
      <c r="O13" s="14">
        <f>N13*VLOOKUP('Données projet'!$B$9,Paramètres!$A$1:$I$89,3,0)*VLOOKUP('Données projet'!$B$9,Paramètres!$A$1:$I$89,5,0)</f>
        <v>23.55710509810454</v>
      </c>
      <c r="P13" s="14">
        <f t="shared" si="33"/>
        <v>7.5155192746563673</v>
      </c>
      <c r="Q13" s="22">
        <f t="shared" si="2"/>
        <v>54.118154115891912</v>
      </c>
      <c r="R13" s="62">
        <f t="shared" si="0"/>
        <v>246.0568161009368</v>
      </c>
      <c r="S13" s="62">
        <f ca="1">AVERAGE(OFFSET($R$3,0,0,'Données projet'!$E$9+1,1))-AVERAGE(OFFSET($H$3,0,0,'Données projet'!$E$9+1,1))</f>
        <v>370.70149842199339</v>
      </c>
      <c r="T13" s="62">
        <f t="shared" si="34"/>
        <v>518.81287201117186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7.1333333333333337</v>
      </c>
      <c r="N14" s="14">
        <f>IF('Données projet'!$A$36&gt;35,N13+M14-V13,IF(A14&lt;'Données projet'!$A$36,$K$205^A14,IF(A14='Données projet'!$A$36,'Données projet'!$B$36,N13+M14-V13)))</f>
        <v>30.776184035554262</v>
      </c>
      <c r="O14" s="14">
        <f>N14*VLOOKUP('Données projet'!$B$9,Paramètres!$A$1:$I$89,3,0)*VLOOKUP('Données projet'!$B$9,Paramètres!$A$1:$I$89,5,0)</f>
        <v>32.167267553961317</v>
      </c>
      <c r="P14" s="14">
        <f t="shared" si="33"/>
        <v>9.8969921701819139</v>
      </c>
      <c r="Q14" s="22">
        <f t="shared" si="2"/>
        <v>73.261919019549453</v>
      </c>
      <c r="R14" s="62">
        <f t="shared" si="0"/>
        <v>267.75771762866361</v>
      </c>
      <c r="S14" s="62">
        <f ca="1">AVERAGE(OFFSET($R$3,0,0,'Données projet'!$E$9+1,1))-AVERAGE(OFFSET($H$3,0,0,'Données projet'!$E$9+1,1))</f>
        <v>370.70149842199339</v>
      </c>
      <c r="T14" s="62">
        <f t="shared" si="34"/>
        <v>518.81287201117186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7.1333333333333337</v>
      </c>
      <c r="N15" s="14">
        <f>IF('Données projet'!$A$36&gt;35,N14+M15-V14,IF(A15&lt;'Données projet'!$A$36,$K$205^A15,IF(A15='Données projet'!$A$36,'Données projet'!$B$36,N14+M15-V14)))</f>
        <v>42.024932267304926</v>
      </c>
      <c r="O15" s="14">
        <f>N15*VLOOKUP('Données projet'!$B$9,Paramètres!$A$1:$I$89,3,0)*VLOOKUP('Données projet'!$B$9,Paramètres!$A$1:$I$89,5,0)</f>
        <v>43.924459205787116</v>
      </c>
      <c r="P15" s="14">
        <f t="shared" si="33"/>
        <v>13.033091984335396</v>
      </c>
      <c r="Q15" s="22">
        <f t="shared" si="2"/>
        <v>99.201068322796701</v>
      </c>
      <c r="R15" s="62">
        <f t="shared" si="0"/>
        <v>296.23084577552959</v>
      </c>
      <c r="S15" s="62">
        <f ca="1">AVERAGE(OFFSET($R$3,0,0,'Données projet'!$E$9+1,1))-AVERAGE(OFFSET($H$3,0,0,'Données projet'!$E$9+1,1))</f>
        <v>370.70149842199339</v>
      </c>
      <c r="T15" s="62">
        <f t="shared" si="34"/>
        <v>518.81287201117186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7.1333333333333337</v>
      </c>
      <c r="N16" s="14">
        <f>IF('Données projet'!$A$36&gt;35,N15+M16-V15,IF(A16&lt;'Données projet'!$A$36,$K$205^A16,IF(A16='Données projet'!$A$36,'Données projet'!$B$36,N15+M16-V15)))</f>
        <v>57.385117337200782</v>
      </c>
      <c r="O16" s="14">
        <f>N16*VLOOKUP('Données projet'!$B$9,Paramètres!$A$1:$I$89,3,0)*VLOOKUP('Données projet'!$B$9,Paramètres!$A$1:$I$89,5,0)</f>
        <v>59.978924640842266</v>
      </c>
      <c r="P16" s="14">
        <f t="shared" si="33"/>
        <v>17.162940391517502</v>
      </c>
      <c r="Q16" s="22">
        <f t="shared" si="2"/>
        <v>134.35541493135989</v>
      </c>
      <c r="R16" s="62">
        <f t="shared" si="0"/>
        <v>333.89641518297867</v>
      </c>
      <c r="S16" s="62">
        <f ca="1">AVERAGE(OFFSET($R$3,0,0,'Données projet'!$E$9+1,1))-AVERAGE(OFFSET($H$3,0,0,'Données projet'!$E$9+1,1))</f>
        <v>370.70149842199339</v>
      </c>
      <c r="T16" s="62">
        <f t="shared" si="34"/>
        <v>518.81287201117186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7.1333333333333337</v>
      </c>
      <c r="N17" s="14">
        <f>IF('Données projet'!$A$36&gt;35,N16+M17-V16,IF(A17&lt;'Données projet'!$A$36,$K$205^A17,IF(A17='Données projet'!$A$36,'Données projet'!$B$36,N16+M17-V16)))</f>
        <v>78.35947648549265</v>
      </c>
      <c r="O17" s="14">
        <f>N17*VLOOKUP('Données projet'!$B$9,Paramètres!$A$1:$I$89,3,0)*VLOOKUP('Données projet'!$B$9,Paramètres!$A$1:$I$89,5,0)</f>
        <v>81.901324822636923</v>
      </c>
      <c r="P17" s="14">
        <f t="shared" si="33"/>
        <v>22.601430515247294</v>
      </c>
      <c r="Q17" s="22">
        <f t="shared" si="2"/>
        <v>182.00896554681501</v>
      </c>
      <c r="R17" s="62">
        <f t="shared" si="0"/>
        <v>384.03882731908823</v>
      </c>
      <c r="S17" s="62">
        <f ca="1">AVERAGE(OFFSET($R$3,0,0,'Données projet'!$E$9+1,1))-AVERAGE(OFFSET($H$3,0,0,'Données projet'!$E$9+1,1))</f>
        <v>370.70149842199339</v>
      </c>
      <c r="T17" s="62">
        <f t="shared" si="34"/>
        <v>518.81287201117186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107</v>
      </c>
      <c r="L18" s="13">
        <f>VLOOKUP(A18,'Données projet'!$A$35:$I$55,9,0)</f>
        <v>7.1333333333333337</v>
      </c>
      <c r="M18" s="13">
        <f t="array" ref="M18">INDEX(L:L,MIN(IF(ISNUMBER(L18:L214),ROW(L18:L214),"")))</f>
        <v>7.1333333333333337</v>
      </c>
      <c r="N18" s="14">
        <f>IF('Données projet'!$A$36&gt;35,N17+M18-V17,IF(A18&lt;'Données projet'!$A$36,$K$205^A18,IF(A18='Données projet'!$A$36,'Données projet'!$B$36,N17+M18-V17)))</f>
        <v>107</v>
      </c>
      <c r="O18" s="14">
        <f>N18*VLOOKUP('Données projet'!$B$9,Paramètres!$A$1:$I$89,3,0)*VLOOKUP('Données projet'!$B$9,Paramètres!$A$1:$I$89,5,0)</f>
        <v>111.8364</v>
      </c>
      <c r="P18" s="14">
        <f t="shared" si="33"/>
        <v>29.763236932758819</v>
      </c>
      <c r="Q18" s="22">
        <f t="shared" si="2"/>
        <v>246.61936765788826</v>
      </c>
      <c r="R18" s="62">
        <f t="shared" si="0"/>
        <v>451.11611759076931</v>
      </c>
      <c r="S18" s="62">
        <f ca="1">AVERAGE(OFFSET($R$3,0,0,'Données projet'!$E$9+1,1))-AVERAGE(OFFSET($H$3,0,0,'Données projet'!$E$9+1,1))</f>
        <v>370.70149842199339</v>
      </c>
      <c r="T18" s="62">
        <f t="shared" si="34"/>
        <v>518.81287201117186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34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1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33.52992725894876</v>
      </c>
      <c r="AC18" s="24">
        <f t="shared" si="3"/>
        <v>33.52992725894876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16.2</v>
      </c>
      <c r="N19" s="14">
        <f>IF('Données projet'!$A$36&gt;35,N18+M19-V18,IF(A19&lt;'Données projet'!$A$36,$K$205^A19,IF(A19='Données projet'!$A$36,'Données projet'!$B$36,N18+M19-V18)))</f>
        <v>89.2</v>
      </c>
      <c r="O19" s="14">
        <f>N19*VLOOKUP('Données projet'!$B$9,Paramètres!$A$1:$I$89,3,0)*VLOOKUP('Données projet'!$B$9,Paramètres!$A$1:$I$89,5,0)</f>
        <v>93.231840000000005</v>
      </c>
      <c r="P19" s="14">
        <f t="shared" si="33"/>
        <v>25.343059369004401</v>
      </c>
      <c r="Q19" s="22">
        <f t="shared" si="2"/>
        <v>206.51794973434934</v>
      </c>
      <c r="R19" s="62">
        <f t="shared" si="0"/>
        <v>413.45999565646343</v>
      </c>
      <c r="S19" s="62">
        <f ca="1">AVERAGE(OFFSET($R$3,0,0,'Données projet'!$E$9+1,1))-AVERAGE(OFFSET($H$3,0,0,'Données projet'!$E$9+1,1))</f>
        <v>370.70149842199339</v>
      </c>
      <c r="T19" s="62">
        <f t="shared" si="34"/>
        <v>518.81287201117186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23.709238937494337</v>
      </c>
      <c r="AC19" s="24">
        <f t="shared" si="3"/>
        <v>23.709238937494337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16.2</v>
      </c>
      <c r="N20" s="14">
        <f>IF('Données projet'!$A$36&gt;35,N19+M20-V19,IF(A20&lt;'Données projet'!$A$36,$K$205^A20,IF(A20='Données projet'!$A$36,'Données projet'!$B$36,N19+M20-V19)))</f>
        <v>105.4</v>
      </c>
      <c r="O20" s="14">
        <f>N20*VLOOKUP('Données projet'!$B$9,Paramètres!$A$1:$I$89,3,0)*VLOOKUP('Données projet'!$B$9,Paramètres!$A$1:$I$89,5,0)</f>
        <v>110.16408000000001</v>
      </c>
      <c r="P20" s="14">
        <f t="shared" si="33"/>
        <v>29.369639746125298</v>
      </c>
      <c r="Q20" s="22">
        <f t="shared" si="2"/>
        <v>243.02122855783492</v>
      </c>
      <c r="R20" s="62">
        <f t="shared" si="0"/>
        <v>452.38735287370764</v>
      </c>
      <c r="S20" s="62">
        <f ca="1">AVERAGE(OFFSET($R$3,0,0,'Données projet'!$E$9+1,1))-AVERAGE(OFFSET($H$3,0,0,'Données projet'!$E$9+1,1))</f>
        <v>370.70149842199339</v>
      </c>
      <c r="T20" s="62">
        <f t="shared" si="34"/>
        <v>518.81287201117186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16.764963629474384</v>
      </c>
      <c r="AC20" s="24">
        <f t="shared" si="3"/>
        <v>16.764963629474384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16.2</v>
      </c>
      <c r="N21" s="14">
        <f>IF('Données projet'!$A$36&gt;35,N20+M21-V20,IF(A21&lt;'Données projet'!$A$36,$K$205^A21,IF(A21='Données projet'!$A$36,'Données projet'!$B$36,N20+M21-V20)))</f>
        <v>121.60000000000001</v>
      </c>
      <c r="O21" s="14">
        <f>N21*VLOOKUP('Données projet'!$B$9,Paramètres!$A$1:$I$89,3,0)*VLOOKUP('Données projet'!$B$9,Paramètres!$A$1:$I$89,5,0)</f>
        <v>127.09632000000002</v>
      </c>
      <c r="P21" s="14">
        <f t="shared" si="33"/>
        <v>33.324524590112638</v>
      </c>
      <c r="Q21" s="22">
        <f t="shared" si="2"/>
        <v>279.39963766111288</v>
      </c>
      <c r="R21" s="62">
        <f t="shared" si="0"/>
        <v>491.16899085311599</v>
      </c>
      <c r="S21" s="62">
        <f ca="1">AVERAGE(OFFSET($R$3,0,0,'Données projet'!$E$9+1,1))-AVERAGE(OFFSET($H$3,0,0,'Données projet'!$E$9+1,1))</f>
        <v>370.70149842199339</v>
      </c>
      <c r="T21" s="62">
        <f t="shared" si="34"/>
        <v>518.81287201117186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11.854619468747172</v>
      </c>
      <c r="AC21" s="24">
        <f t="shared" si="3"/>
        <v>11.854619468747172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16.2</v>
      </c>
      <c r="N22" s="14">
        <f>IF('Données projet'!$A$36&gt;35,N21+M22-V21,IF(A22&lt;'Données projet'!$A$36,$K$205^A22,IF(A22='Données projet'!$A$36,'Données projet'!$B$36,N21+M22-V21)))</f>
        <v>137.80000000000001</v>
      </c>
      <c r="O22" s="14">
        <f>N22*VLOOKUP('Données projet'!$B$9,Paramètres!$A$1:$I$89,3,0)*VLOOKUP('Données projet'!$B$9,Paramètres!$A$1:$I$89,5,0)</f>
        <v>144.02856000000003</v>
      </c>
      <c r="P22" s="14">
        <f t="shared" si="33"/>
        <v>37.218362737449169</v>
      </c>
      <c r="Q22" s="22">
        <f t="shared" si="2"/>
        <v>315.67172376772402</v>
      </c>
      <c r="R22" s="62">
        <f t="shared" si="0"/>
        <v>529.82381801074757</v>
      </c>
      <c r="S22" s="62">
        <f ca="1">AVERAGE(OFFSET($R$3,0,0,'Données projet'!$E$9+1,1))-AVERAGE(OFFSET($H$3,0,0,'Données projet'!$E$9+1,1))</f>
        <v>370.70149842199339</v>
      </c>
      <c r="T22" s="62">
        <f t="shared" si="34"/>
        <v>518.81287201117186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8.3824818147371936</v>
      </c>
      <c r="AC22" s="24">
        <f t="shared" si="3"/>
        <v>8.3824818147371936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154</v>
      </c>
      <c r="L23" s="13">
        <f>VLOOKUP(A23,'Données projet'!$A$35:$I$55,9,0)</f>
        <v>16.2</v>
      </c>
      <c r="M23" s="13">
        <f t="array" ref="M23">INDEX(L:L,MIN(IF(ISNUMBER(L23:L219),ROW(L23:L219),"")))</f>
        <v>16.2</v>
      </c>
      <c r="N23" s="14">
        <f>IF('Données projet'!$A$36&gt;35,N22+M23-V22,IF(A23&lt;'Données projet'!$A$36,$K$205^A23,IF(A23='Données projet'!$A$36,'Données projet'!$B$36,N22+M23-V22)))</f>
        <v>154</v>
      </c>
      <c r="O23" s="14">
        <f>N23*VLOOKUP('Données projet'!$B$9,Paramètres!$A$1:$I$89,3,0)*VLOOKUP('Données projet'!$B$9,Paramètres!$A$1:$I$89,5,0)</f>
        <v>160.96080000000001</v>
      </c>
      <c r="P23" s="14">
        <f t="shared" si="33"/>
        <v>41.059150958736609</v>
      </c>
      <c r="Q23" s="22">
        <f t="shared" si="2"/>
        <v>351.85141458646626</v>
      </c>
      <c r="R23" s="62">
        <f t="shared" si="0"/>
        <v>568.36611747336201</v>
      </c>
      <c r="S23" s="62">
        <f ca="1">AVERAGE(OFFSET($R$3,0,0,'Données projet'!$E$9+1,1))-AVERAGE(OFFSET($H$3,0,0,'Données projet'!$E$9+1,1))</f>
        <v>370.70149842199339</v>
      </c>
      <c r="T23" s="62">
        <f t="shared" si="34"/>
        <v>518.81287201117186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50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55.236026291651172</v>
      </c>
      <c r="AC23" s="24">
        <f t="shared" si="3"/>
        <v>55.236026291651172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15.6</v>
      </c>
      <c r="N24" s="14">
        <f>IF('Données projet'!$A$36&gt;35,N23+M24-V23,IF(A24&lt;'Données projet'!$A$36,$K$205^A24,IF(A24='Données projet'!$A$36,'Données projet'!$B$36,N23+M24-V23)))</f>
        <v>119.6</v>
      </c>
      <c r="O24" s="14">
        <f>N24*VLOOKUP('Données projet'!$B$9,Paramètres!$A$1:$I$89,3,0)*VLOOKUP('Données projet'!$B$9,Paramètres!$A$1:$I$89,5,0)</f>
        <v>125.00592000000002</v>
      </c>
      <c r="P24" s="14">
        <f t="shared" si="33"/>
        <v>32.839756328142556</v>
      </c>
      <c r="Q24" s="22">
        <f t="shared" si="2"/>
        <v>274.91455293818166</v>
      </c>
      <c r="R24" s="62">
        <f t="shared" si="0"/>
        <v>493.77208131405604</v>
      </c>
      <c r="S24" s="62">
        <f ca="1">AVERAGE(OFFSET($R$3,0,0,'Données projet'!$E$9+1,1))-AVERAGE(OFFSET($H$3,0,0,'Données projet'!$E$9+1,1))</f>
        <v>370.70149842199339</v>
      </c>
      <c r="T24" s="62">
        <f t="shared" si="34"/>
        <v>518.81287201117186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39.057768756624974</v>
      </c>
      <c r="AC24" s="24">
        <f t="shared" si="3"/>
        <v>39.057768756624974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15.6</v>
      </c>
      <c r="N25" s="14">
        <f>IF('Données projet'!$A$36&gt;35,N24+M25-V24,IF(A25&lt;'Données projet'!$A$36,$K$205^A25,IF(A25='Données projet'!$A$36,'Données projet'!$B$36,N24+M25-V24)))</f>
        <v>135.19999999999999</v>
      </c>
      <c r="O25" s="14">
        <f>N25*VLOOKUP('Données projet'!$B$9,Paramètres!$A$1:$I$89,3,0)*VLOOKUP('Données projet'!$B$9,Paramètres!$A$1:$I$89,5,0)</f>
        <v>141.31104000000002</v>
      </c>
      <c r="P25" s="14">
        <f t="shared" si="33"/>
        <v>36.597183225222992</v>
      </c>
      <c r="Q25" s="22">
        <f t="shared" si="2"/>
        <v>309.85682211726339</v>
      </c>
      <c r="R25" s="62">
        <f t="shared" si="0"/>
        <v>531.03773602073181</v>
      </c>
      <c r="S25" s="62">
        <f ca="1">AVERAGE(OFFSET($R$3,0,0,'Données projet'!$E$9+1,1))-AVERAGE(OFFSET($H$3,0,0,'Données projet'!$E$9+1,1))</f>
        <v>370.70149842199339</v>
      </c>
      <c r="T25" s="62">
        <f t="shared" si="34"/>
        <v>518.81287201117186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27.618013145825589</v>
      </c>
      <c r="AC25" s="24">
        <f t="shared" si="3"/>
        <v>27.618013145825589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15.6</v>
      </c>
      <c r="N26" s="14">
        <f>IF('Données projet'!$A$36&gt;35,N25+M26-V25,IF(A26&lt;'Données projet'!$A$36,$K$205^A26,IF(A26='Données projet'!$A$36,'Données projet'!$B$36,N25+M26-V25)))</f>
        <v>150.79999999999998</v>
      </c>
      <c r="O26" s="14">
        <f>N26*VLOOKUP('Données projet'!$B$9,Paramètres!$A$1:$I$89,3,0)*VLOOKUP('Données projet'!$B$9,Paramètres!$A$1:$I$89,5,0)</f>
        <v>157.61616000000001</v>
      </c>
      <c r="P26" s="14">
        <f t="shared" si="33"/>
        <v>40.304364799450333</v>
      </c>
      <c r="Q26" s="22">
        <f t="shared" si="2"/>
        <v>344.711580692376</v>
      </c>
      <c r="R26" s="62">
        <f t="shared" si="0"/>
        <v>568.19677740192253</v>
      </c>
      <c r="S26" s="62">
        <f ca="1">AVERAGE(OFFSET($R$3,0,0,'Données projet'!$E$9+1,1))-AVERAGE(OFFSET($H$3,0,0,'Données projet'!$E$9+1,1))</f>
        <v>370.70149842199339</v>
      </c>
      <c r="T26" s="62">
        <f t="shared" si="34"/>
        <v>518.81287201117186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19.52888437831249</v>
      </c>
      <c r="AC26" s="24">
        <f t="shared" si="3"/>
        <v>19.52888437831249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15.6</v>
      </c>
      <c r="N27" s="14">
        <f>IF('Données projet'!$A$36&gt;35,N26+M27-V26,IF(A27&lt;'Données projet'!$A$36,$K$205^A27,IF(A27='Données projet'!$A$36,'Données projet'!$B$36,N26+M27-V26)))</f>
        <v>166.39999999999998</v>
      </c>
      <c r="O27" s="14">
        <f>N27*VLOOKUP('Données projet'!$B$9,Paramètres!$A$1:$I$89,3,0)*VLOOKUP('Données projet'!$B$9,Paramètres!$A$1:$I$89,5,0)</f>
        <v>173.92128</v>
      </c>
      <c r="P27" s="14">
        <f t="shared" si="33"/>
        <v>43.967090861270989</v>
      </c>
      <c r="Q27" s="22">
        <f t="shared" si="2"/>
        <v>379.48891258338023</v>
      </c>
      <c r="R27" s="62">
        <f t="shared" si="0"/>
        <v>605.259620767</v>
      </c>
      <c r="S27" s="62">
        <f ca="1">AVERAGE(OFFSET($R$3,0,0,'Données projet'!$E$9+1,1))-AVERAGE(OFFSET($H$3,0,0,'Données projet'!$E$9+1,1))</f>
        <v>370.70149842199339</v>
      </c>
      <c r="T27" s="62">
        <f t="shared" si="34"/>
        <v>518.81287201117186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13.809006572912796</v>
      </c>
      <c r="AC27" s="24">
        <f t="shared" si="3"/>
        <v>13.809006572912796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182</v>
      </c>
      <c r="L28" s="13">
        <f>VLOOKUP(A28,'Données projet'!$A$35:$I$55,9,0)</f>
        <v>15.6</v>
      </c>
      <c r="M28" s="13">
        <f t="array" ref="M28">INDEX(L:L,MIN(IF(ISNUMBER(L28:L224),ROW(L28:L224),"")))</f>
        <v>15.6</v>
      </c>
      <c r="N28" s="14">
        <f>IF('Données projet'!$A$36&gt;35,N27+M28-V27,IF(A28&lt;'Données projet'!$A$36,$K$205^A28,IF(A28='Données projet'!$A$36,'Données projet'!$B$36,N27+M28-V27)))</f>
        <v>181.99999999999997</v>
      </c>
      <c r="O28" s="14">
        <f>N28*VLOOKUP('Données projet'!$B$9,Paramètres!$A$1:$I$89,3,0)*VLOOKUP('Données projet'!$B$9,Paramètres!$A$1:$I$89,5,0)</f>
        <v>190.22639999999998</v>
      </c>
      <c r="P28" s="14">
        <f t="shared" si="33"/>
        <v>47.59000320706312</v>
      </c>
      <c r="Q28" s="22">
        <f t="shared" si="2"/>
        <v>414.19690225230153</v>
      </c>
      <c r="R28" s="62">
        <f t="shared" si="0"/>
        <v>642.23467621863369</v>
      </c>
      <c r="S28" s="62">
        <f ca="1">AVERAGE(OFFSET($R$3,0,0,'Données projet'!$E$9+1,1))-AVERAGE(OFFSET($H$3,0,0,'Données projet'!$E$9+1,1))</f>
        <v>370.70149842199339</v>
      </c>
      <c r="T28" s="62">
        <f t="shared" si="34"/>
        <v>518.81287201117186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52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8.6000000000000007E-2</v>
      </c>
      <c r="Y28" s="17">
        <f>IF(ISNA(VLOOKUP(A28,'Données projet'!$A$35:$I$55,7,0)),0%,VLOOKUP(A28,'Données projet'!$A$35:$I$55,7,0))</f>
        <v>0.8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5.1467722201925517</v>
      </c>
      <c r="AB28" s="23">
        <f>EXP(-LN(2)/2)*AB27+(1-EXP(-LN(2)/2))/(LN(2)/2)*V28*Y28*VLOOKUP('Données projet'!$B$9,Paramètres!$A$1:$I$89,3,0)*0.475*44/12</f>
        <v>50.789294364811198</v>
      </c>
      <c r="AC28" s="24">
        <f t="shared" si="3"/>
        <v>55.936066585003751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14.8</v>
      </c>
      <c r="N29" s="14">
        <f>IF('Données projet'!$A$36&gt;35,N28+M29-V28,IF(A29&lt;'Données projet'!$A$36,$K$205^A29,IF(A29='Données projet'!$A$36,'Données projet'!$B$36,N28+M29-V28)))</f>
        <v>144.79999999999998</v>
      </c>
      <c r="O29" s="14">
        <f>N29*VLOOKUP('Données projet'!$B$9,Paramètres!$A$1:$I$89,3,0)*VLOOKUP('Données projet'!$B$9,Paramètres!$A$1:$I$89,5,0)</f>
        <v>151.34495999999999</v>
      </c>
      <c r="P29" s="14">
        <f t="shared" si="33"/>
        <v>38.884073636559918</v>
      </c>
      <c r="Q29" s="22">
        <f t="shared" si="2"/>
        <v>331.31556691700854</v>
      </c>
      <c r="R29" s="62">
        <f t="shared" si="0"/>
        <v>561.60228096619869</v>
      </c>
      <c r="S29" s="62">
        <f ca="1">AVERAGE(OFFSET($R$3,0,0,'Données projet'!$E$9+1,1))-AVERAGE(OFFSET($H$3,0,0,'Données projet'!$E$9+1,1))</f>
        <v>370.70149842199339</v>
      </c>
      <c r="T29" s="62">
        <f t="shared" si="34"/>
        <v>518.81287201117186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5.0060334631743988</v>
      </c>
      <c r="AB29" s="23">
        <f>EXP(-LN(2)/2)*AB28+(1-EXP(-LN(2)/2))/(LN(2)/2)*V29*Y29*VLOOKUP('Données projet'!$B$9,Paramètres!$A$1:$I$89,3,0)*0.475*44/12</f>
        <v>35.913454457037709</v>
      </c>
      <c r="AC29" s="24">
        <f t="shared" si="3"/>
        <v>40.919487920212106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14.8</v>
      </c>
      <c r="N30" s="14">
        <f>IF('Données projet'!$A$36&gt;35,N29+M30-V29,IF(A30&lt;'Données projet'!$A$36,$K$205^A30,IF(A30='Données projet'!$A$36,'Données projet'!$B$36,N29+M30-V29)))</f>
        <v>159.6</v>
      </c>
      <c r="O30" s="14">
        <f>N30*VLOOKUP('Données projet'!$B$9,Paramètres!$A$1:$I$89,3,0)*VLOOKUP('Données projet'!$B$9,Paramètres!$A$1:$I$89,5,0)</f>
        <v>166.81392</v>
      </c>
      <c r="P30" s="14">
        <f t="shared" si="33"/>
        <v>42.375663826552454</v>
      </c>
      <c r="Q30" s="22">
        <f t="shared" si="2"/>
        <v>364.33852516457887</v>
      </c>
      <c r="R30" s="62">
        <f t="shared" si="0"/>
        <v>596.85636803714237</v>
      </c>
      <c r="S30" s="62">
        <f ca="1">AVERAGE(OFFSET($R$3,0,0,'Données projet'!$E$9+1,1))-AVERAGE(OFFSET($H$3,0,0,'Données projet'!$E$9+1,1))</f>
        <v>370.70149842199339</v>
      </c>
      <c r="T30" s="62">
        <f t="shared" si="34"/>
        <v>518.81287201117186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4.8691432148680365</v>
      </c>
      <c r="AB30" s="23">
        <f>EXP(-LN(2)/2)*AB29+(1-EXP(-LN(2)/2))/(LN(2)/2)*V30*Y30*VLOOKUP('Données projet'!$B$9,Paramètres!$A$1:$I$89,3,0)*0.475*44/12</f>
        <v>25.394647182405606</v>
      </c>
      <c r="AC30" s="24">
        <f t="shared" si="3"/>
        <v>30.263790397273642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14.8</v>
      </c>
      <c r="N31" s="14">
        <f>IF('Données projet'!$A$36&gt;35,N30+M31-V30,IF(A31&lt;'Données projet'!$A$36,$K$205^A31,IF(A31='Données projet'!$A$36,'Données projet'!$B$36,N30+M31-V30)))</f>
        <v>174.4</v>
      </c>
      <c r="O31" s="14">
        <f>N31*VLOOKUP('Données projet'!$B$9,Paramètres!$A$1:$I$89,3,0)*VLOOKUP('Données projet'!$B$9,Paramètres!$A$1:$I$89,5,0)</f>
        <v>182.28288000000003</v>
      </c>
      <c r="P31" s="14">
        <f t="shared" si="33"/>
        <v>45.829711768683602</v>
      </c>
      <c r="Q31" s="22">
        <f t="shared" si="2"/>
        <v>397.29609733045731</v>
      </c>
      <c r="R31" s="62">
        <f t="shared" si="0"/>
        <v>632.02756675244143</v>
      </c>
      <c r="S31" s="62">
        <f ca="1">AVERAGE(OFFSET($R$3,0,0,'Données projet'!$E$9+1,1))-AVERAGE(OFFSET($H$3,0,0,'Données projet'!$E$9+1,1))</f>
        <v>370.70149842199339</v>
      </c>
      <c r="T31" s="62">
        <f t="shared" si="34"/>
        <v>518.81287201117186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4.7359962376003573</v>
      </c>
      <c r="AB31" s="23">
        <f>EXP(-LN(2)/2)*AB30+(1-EXP(-LN(2)/2))/(LN(2)/2)*V31*Y31*VLOOKUP('Données projet'!$B$9,Paramètres!$A$1:$I$89,3,0)*0.475*44/12</f>
        <v>17.956727228518858</v>
      </c>
      <c r="AC31" s="24">
        <f t="shared" si="3"/>
        <v>22.692723466119215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14.8</v>
      </c>
      <c r="N32" s="14">
        <f>IF('Données projet'!$A$36&gt;35,N31+M32-V31,IF(A32&lt;'Données projet'!$A$36,$K$205^A32,IF(A32='Données projet'!$A$36,'Données projet'!$B$36,N31+M32-V31)))</f>
        <v>189.20000000000002</v>
      </c>
      <c r="O32" s="14">
        <f>N32*VLOOKUP('Données projet'!$B$9,Paramètres!$A$1:$I$89,3,0)*VLOOKUP('Données projet'!$B$9,Paramètres!$A$1:$I$89,5,0)</f>
        <v>197.75184000000004</v>
      </c>
      <c r="P32" s="14">
        <f t="shared" si="33"/>
        <v>49.249765609502894</v>
      </c>
      <c r="Q32" s="22">
        <f t="shared" si="2"/>
        <v>430.19446310321763</v>
      </c>
      <c r="R32" s="62">
        <f t="shared" si="0"/>
        <v>667.12236042599352</v>
      </c>
      <c r="S32" s="62">
        <f ca="1">AVERAGE(OFFSET($R$3,0,0,'Données projet'!$E$9+1,1))-AVERAGE(OFFSET($H$3,0,0,'Données projet'!$E$9+1,1))</f>
        <v>370.70149842199339</v>
      </c>
      <c r="T32" s="62">
        <f t="shared" si="34"/>
        <v>518.81287201117186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4.606490171427958</v>
      </c>
      <c r="AB32" s="23">
        <f>EXP(-LN(2)/2)*AB31+(1-EXP(-LN(2)/2))/(LN(2)/2)*V32*Y32*VLOOKUP('Données projet'!$B$9,Paramètres!$A$1:$I$89,3,0)*0.475*44/12</f>
        <v>12.697323591202805</v>
      </c>
      <c r="AC32" s="24">
        <f t="shared" si="3"/>
        <v>17.303813762630764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204</v>
      </c>
      <c r="L33" s="13">
        <f>VLOOKUP(A33,'Données projet'!$A$35:$I$55,9,0)</f>
        <v>14.8</v>
      </c>
      <c r="M33" s="13">
        <f t="array" ref="M33">INDEX(L:L,MIN(IF(ISNUMBER(L33:L229),ROW(L33:L229),"")))</f>
        <v>14.8</v>
      </c>
      <c r="N33" s="14">
        <f>IF('Données projet'!$A$36&gt;35,N32+M33-V32,IF(A33&lt;'Données projet'!$A$36,$K$205^A33,IF(A33='Données projet'!$A$36,'Données projet'!$B$36,N32+M33-V32)))</f>
        <v>204.00000000000003</v>
      </c>
      <c r="O33" s="14">
        <f>N33*VLOOKUP('Données projet'!$B$9,Paramètres!$A$1:$I$89,3,0)*VLOOKUP('Données projet'!$B$9,Paramètres!$A$1:$I$89,5,0)</f>
        <v>213.22080000000005</v>
      </c>
      <c r="P33" s="14">
        <f t="shared" si="33"/>
        <v>52.638786839117614</v>
      </c>
      <c r="Q33" s="22">
        <f t="shared" si="2"/>
        <v>463.03878041146328</v>
      </c>
      <c r="R33" s="62">
        <f t="shared" si="0"/>
        <v>702.14620534450523</v>
      </c>
      <c r="S33" s="62">
        <f ca="1">AVERAGE(OFFSET($R$3,0,0,'Données projet'!$E$9+1,1))-AVERAGE(OFFSET($H$3,0,0,'Données projet'!$E$9+1,1))</f>
        <v>370.70149842199339</v>
      </c>
      <c r="T33" s="62">
        <f t="shared" si="34"/>
        <v>518.81287201117186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51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0.129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12.052219202459513</v>
      </c>
      <c r="AB33" s="23">
        <f>EXP(-LN(2)/2)*AB32+(1-EXP(-LN(2)/2))/(LN(2)/2)*V33*Y33*VLOOKUP('Données projet'!$B$9,Paramètres!$A$1:$I$89,3,0)*0.475*44/12</f>
        <v>44.184787236155628</v>
      </c>
      <c r="AC33" s="24">
        <f t="shared" si="3"/>
        <v>56.23700643861514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13.6</v>
      </c>
      <c r="N34" s="14">
        <f>IF('Données projet'!$A$36&gt;35,N33+M34-V33,IF(A34&lt;'Données projet'!$A$36,$K$205^A34,IF(A34='Données projet'!$A$36,'Données projet'!$B$36,N33+M34-V33)))</f>
        <v>166.60000000000002</v>
      </c>
      <c r="O34" s="14">
        <f>N34*VLOOKUP('Données projet'!$B$9,Paramètres!$A$1:$I$89,3,0)*VLOOKUP('Données projet'!$B$9,Paramètres!$A$1:$I$89,5,0)</f>
        <v>174.13032000000004</v>
      </c>
      <c r="P34" s="14">
        <f t="shared" si="33"/>
        <v>44.013781492418865</v>
      </c>
      <c r="Q34" s="22">
        <f t="shared" si="2"/>
        <v>379.93431009929628</v>
      </c>
      <c r="R34" s="62">
        <f t="shared" si="0"/>
        <v>619.98243331211381</v>
      </c>
      <c r="S34" s="62">
        <f ca="1">AVERAGE(OFFSET($R$3,0,0,'Données projet'!$E$9+1,1))-AVERAGE(OFFSET($H$3,0,0,'Données projet'!$E$9+1,1))</f>
        <v>370.70149842199339</v>
      </c>
      <c r="T34" s="62">
        <f t="shared" si="34"/>
        <v>518.81287201117186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11.722650634569595</v>
      </c>
      <c r="AB34" s="23">
        <f>EXP(-LN(2)/2)*AB33+(1-EXP(-LN(2)/2))/(LN(2)/2)*V34*Y34*VLOOKUP('Données projet'!$B$9,Paramètres!$A$1:$I$89,3,0)*0.475*44/12</f>
        <v>31.24336267997046</v>
      </c>
      <c r="AC34" s="24">
        <f t="shared" si="3"/>
        <v>42.966013314540056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13.6</v>
      </c>
      <c r="N35" s="14">
        <f>IF('Données projet'!$A$36&gt;35,N34+M35-V34,IF(A35&lt;'Données projet'!$A$36,$K$205^A35,IF(A35='Données projet'!$A$36,'Données projet'!$B$36,N34+M35-V34)))</f>
        <v>180.20000000000002</v>
      </c>
      <c r="O35" s="14">
        <f>N35*VLOOKUP('Données projet'!$B$9,Paramètres!$A$1:$I$89,3,0)*VLOOKUP('Données projet'!$B$9,Paramètres!$A$1:$I$89,5,0)</f>
        <v>188.34504000000004</v>
      </c>
      <c r="P35" s="14">
        <f t="shared" si="33"/>
        <v>47.173878605210611</v>
      </c>
      <c r="Q35" s="22">
        <f t="shared" ref="Q35:Q66" si="53">(O35+P35)*0.475*44/12</f>
        <v>410.19544990407513</v>
      </c>
      <c r="R35" s="62">
        <f t="shared" si="0"/>
        <v>651.16795238460043</v>
      </c>
      <c r="S35" s="62">
        <f ca="1">AVERAGE(OFFSET($R$3,0,0,'Données projet'!$E$9+1,1))-AVERAGE(OFFSET($H$3,0,0,'Données projet'!$E$9+1,1))</f>
        <v>370.70149842199339</v>
      </c>
      <c r="T35" s="62">
        <f t="shared" si="34"/>
        <v>518.81287201117186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11.402094136499885</v>
      </c>
      <c r="AB35" s="23">
        <f>EXP(-LN(2)/2)*AB34+(1-EXP(-LN(2)/2))/(LN(2)/2)*V35*Y35*VLOOKUP('Données projet'!$B$9,Paramètres!$A$1:$I$89,3,0)*0.475*44/12</f>
        <v>22.092393618077818</v>
      </c>
      <c r="AC35" s="24">
        <f t="shared" si="3"/>
        <v>33.494487754577705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13.6</v>
      </c>
      <c r="N36" s="14">
        <f>IF('Données projet'!$A$36&gt;35,N35+M36-V35,IF(A36&lt;'Données projet'!$A$36,$K$205^A36,IF(A36='Données projet'!$A$36,'Données projet'!$B$36,N35+M36-V35)))</f>
        <v>193.8</v>
      </c>
      <c r="O36" s="14">
        <f>N36*VLOOKUP('Données projet'!$B$9,Paramètres!$A$1:$I$89,3,0)*VLOOKUP('Données projet'!$B$9,Paramètres!$A$1:$I$89,5,0)</f>
        <v>202.55976000000001</v>
      </c>
      <c r="P36" s="14">
        <f t="shared" si="33"/>
        <v>50.306308435844208</v>
      </c>
      <c r="Q36" s="22">
        <f t="shared" si="53"/>
        <v>440.40840252576203</v>
      </c>
      <c r="R36" s="62">
        <f t="shared" si="0"/>
        <v>682.28924836030274</v>
      </c>
      <c r="S36" s="62">
        <f ca="1">AVERAGE(OFFSET($R$3,0,0,'Données projet'!$E$9+1,1))-AVERAGE(OFFSET($H$3,0,0,'Données projet'!$E$9+1,1))</f>
        <v>370.70149842199339</v>
      </c>
      <c r="T36" s="62">
        <f t="shared" si="34"/>
        <v>518.81287201117186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11.090303272727224</v>
      </c>
      <c r="AB36" s="23">
        <f>EXP(-LN(2)/2)*AB35+(1-EXP(-LN(2)/2))/(LN(2)/2)*V36*Y36*VLOOKUP('Données projet'!$B$9,Paramètres!$A$1:$I$89,3,0)*0.475*44/12</f>
        <v>15.621681339985232</v>
      </c>
      <c r="AC36" s="24">
        <f t="shared" si="3"/>
        <v>26.711984612712456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13.6</v>
      </c>
      <c r="N37" s="14">
        <f>IF('Données projet'!$A$36&gt;35,N36+M37-V36,IF(A37&lt;'Données projet'!$A$36,$K$205^A37,IF(A37='Données projet'!$A$36,'Données projet'!$B$36,N36+M37-V36)))</f>
        <v>207.4</v>
      </c>
      <c r="O37" s="14">
        <f>N37*VLOOKUP('Données projet'!$B$9,Paramètres!$A$1:$I$89,3,0)*VLOOKUP('Données projet'!$B$9,Paramètres!$A$1:$I$89,5,0)</f>
        <v>216.77448000000001</v>
      </c>
      <c r="P37" s="14">
        <f t="shared" si="33"/>
        <v>53.41323339156682</v>
      </c>
      <c r="Q37" s="22">
        <f t="shared" si="53"/>
        <v>470.57693415697889</v>
      </c>
      <c r="R37" s="62">
        <f t="shared" si="0"/>
        <v>713.35036561909442</v>
      </c>
      <c r="S37" s="62">
        <f ca="1">AVERAGE(OFFSET($R$3,0,0,'Données projet'!$E$9+1,1))-AVERAGE(OFFSET($H$3,0,0,'Données projet'!$E$9+1,1))</f>
        <v>370.70149842199339</v>
      </c>
      <c r="T37" s="62">
        <f t="shared" si="34"/>
        <v>518.81287201117186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10.787038346520797</v>
      </c>
      <c r="AB37" s="23">
        <f>EXP(-LN(2)/2)*AB36+(1-EXP(-LN(2)/2))/(LN(2)/2)*V37*Y37*VLOOKUP('Données projet'!$B$9,Paramètres!$A$1:$I$89,3,0)*0.475*44/12</f>
        <v>11.046196809038911</v>
      </c>
      <c r="AC37" s="24">
        <f t="shared" si="3"/>
        <v>21.833235155559706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221</v>
      </c>
      <c r="L38" s="13">
        <f>VLOOKUP(A38,'Données projet'!$A$35:$I$55,9,0)</f>
        <v>13.6</v>
      </c>
      <c r="M38" s="13">
        <f t="array" ref="M38">INDEX(L:L,MIN(IF(ISNUMBER(L38:L234),ROW(L38:L234),"")))</f>
        <v>13.6</v>
      </c>
      <c r="N38" s="14">
        <f>IF('Données projet'!$A$36&gt;35,N37+M38-V37,IF(A38&lt;'Données projet'!$A$36,$K$205^A38,IF(A38='Données projet'!$A$36,'Données projet'!$B$36,N37+M38-V37)))</f>
        <v>221</v>
      </c>
      <c r="O38" s="14">
        <f>N38*VLOOKUP('Données projet'!$B$9,Paramètres!$A$1:$I$89,3,0)*VLOOKUP('Données projet'!$B$9,Paramètres!$A$1:$I$89,5,0)</f>
        <v>230.98920000000004</v>
      </c>
      <c r="P38" s="14">
        <f t="shared" si="33"/>
        <v>56.496516245657276</v>
      </c>
      <c r="Q38" s="22">
        <f t="shared" si="53"/>
        <v>500.70428912785314</v>
      </c>
      <c r="R38" s="62">
        <f t="shared" si="0"/>
        <v>744.35482185242768</v>
      </c>
      <c r="S38" s="62">
        <f ca="1">AVERAGE(OFFSET($R$3,0,0,'Données projet'!$E$9+1,1))-AVERAGE(OFFSET($H$3,0,0,'Données projet'!$E$9+1,1))</f>
        <v>370.70149842199339</v>
      </c>
      <c r="T38" s="62">
        <f t="shared" si="34"/>
        <v>518.81287201117186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49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10.492066215669492</v>
      </c>
      <c r="AB38" s="23">
        <f>EXP(-LN(2)/2)*AB37+(1-EXP(-LN(2)/2))/(LN(2)/2)*V38*Y38*VLOOKUP('Données projet'!$B$9,Paramètres!$A$1:$I$89,3,0)*0.475*44/12</f>
        <v>7.8108406699926167</v>
      </c>
      <c r="AC38" s="24">
        <f t="shared" si="3"/>
        <v>18.302906885662111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12.2</v>
      </c>
      <c r="N39" s="14">
        <f>IF('Données projet'!$A$36&gt;35,N38+M39-V38,IF(A39&lt;'Données projet'!$A$36,$K$205^A39,IF(A39='Données projet'!$A$36,'Données projet'!$B$36,N38+M39-V38)))</f>
        <v>184.2</v>
      </c>
      <c r="O39" s="14">
        <f>N39*VLOOKUP('Données projet'!$B$9,Paramètres!$A$1:$I$89,3,0)*VLOOKUP('Données projet'!$B$9,Paramètres!$A$1:$I$89,5,0)</f>
        <v>192.52584000000002</v>
      </c>
      <c r="P39" s="14">
        <f t="shared" si="33"/>
        <v>48.097950277474887</v>
      </c>
      <c r="Q39" s="22">
        <f t="shared" si="53"/>
        <v>419.08643473326879</v>
      </c>
      <c r="R39" s="62">
        <f t="shared" si="0"/>
        <v>663.59885297430321</v>
      </c>
      <c r="S39" s="62">
        <f ca="1">AVERAGE(OFFSET($R$3,0,0,'Données projet'!$E$9+1,1))-AVERAGE(OFFSET($H$3,0,0,'Données projet'!$E$9+1,1))</f>
        <v>370.70149842199339</v>
      </c>
      <c r="T39" s="62">
        <f t="shared" si="34"/>
        <v>518.81287201117186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10.205160113248228</v>
      </c>
      <c r="AB39" s="23">
        <f>EXP(-LN(2)/2)*AB38+(1-EXP(-LN(2)/2))/(LN(2)/2)*V39*Y39*VLOOKUP('Données projet'!$B$9,Paramètres!$A$1:$I$89,3,0)*0.475*44/12</f>
        <v>5.5230984045194562</v>
      </c>
      <c r="AC39" s="24">
        <f t="shared" si="3"/>
        <v>15.728258517767685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12.2</v>
      </c>
      <c r="N40" s="14">
        <f>IF('Données projet'!$A$36&gt;35,N39+M40-V39,IF(A40&lt;'Données projet'!$A$36,$K$205^A40,IF(A40='Données projet'!$A$36,'Données projet'!$B$36,N39+M40-V39)))</f>
        <v>196.39999999999998</v>
      </c>
      <c r="O40" s="14">
        <f>N40*VLOOKUP('Données projet'!$B$9,Paramètres!$A$1:$I$89,3,0)*VLOOKUP('Données projet'!$B$9,Paramètres!$A$1:$I$89,5,0)</f>
        <v>205.27727999999999</v>
      </c>
      <c r="P40" s="14">
        <f t="shared" si="33"/>
        <v>50.902190319943116</v>
      </c>
      <c r="Q40" s="22">
        <f t="shared" si="53"/>
        <v>446.17924414056756</v>
      </c>
      <c r="R40" s="62">
        <f t="shared" si="0"/>
        <v>691.53859611123869</v>
      </c>
      <c r="S40" s="62">
        <f ca="1">AVERAGE(OFFSET($R$3,0,0,'Données projet'!$E$9+1,1))-AVERAGE(OFFSET($H$3,0,0,'Données projet'!$E$9+1,1))</f>
        <v>370.70149842199339</v>
      </c>
      <c r="T40" s="62">
        <f t="shared" si="34"/>
        <v>518.81287201117186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9.9260994732854098</v>
      </c>
      <c r="AB40" s="23">
        <f>EXP(-LN(2)/2)*AB39+(1-EXP(-LN(2)/2))/(LN(2)/2)*V40*Y40*VLOOKUP('Données projet'!$B$9,Paramètres!$A$1:$I$89,3,0)*0.475*44/12</f>
        <v>3.9054203349963093</v>
      </c>
      <c r="AC40" s="24">
        <f t="shared" si="3"/>
        <v>13.831519808281719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12.2</v>
      </c>
      <c r="N41" s="14">
        <f>IF('Données projet'!$A$36&gt;35,N40+M41-V40,IF(A41&lt;'Données projet'!$A$36,$K$205^A41,IF(A41='Données projet'!$A$36,'Données projet'!$B$36,N40+M41-V40)))</f>
        <v>208.59999999999997</v>
      </c>
      <c r="O41" s="14">
        <f>N41*VLOOKUP('Données projet'!$B$9,Paramètres!$A$1:$I$89,3,0)*VLOOKUP('Données projet'!$B$9,Paramètres!$A$1:$I$89,5,0)</f>
        <v>218.02871999999996</v>
      </c>
      <c r="P41" s="14">
        <f t="shared" si="33"/>
        <v>53.686213571044199</v>
      </c>
      <c r="Q41" s="22">
        <f t="shared" si="53"/>
        <v>473.23684263623528</v>
      </c>
      <c r="R41" s="62">
        <f t="shared" si="0"/>
        <v>719.42843592979398</v>
      </c>
      <c r="S41" s="62">
        <f ca="1">AVERAGE(OFFSET($R$3,0,0,'Données projet'!$E$9+1,1))-AVERAGE(OFFSET($H$3,0,0,'Données projet'!$E$9+1,1))</f>
        <v>370.70149842199339</v>
      </c>
      <c r="T41" s="62">
        <f t="shared" si="34"/>
        <v>518.81287201117186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9.6546697611975354</v>
      </c>
      <c r="AB41" s="23">
        <f>EXP(-LN(2)/2)*AB40+(1-EXP(-LN(2)/2))/(LN(2)/2)*V41*Y41*VLOOKUP('Données projet'!$B$9,Paramètres!$A$1:$I$89,3,0)*0.475*44/12</f>
        <v>2.7615492022597286</v>
      </c>
      <c r="AC41" s="24">
        <f t="shared" si="3"/>
        <v>12.416218963457265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12.2</v>
      </c>
      <c r="N42" s="14">
        <f>IF('Données projet'!$A$36&gt;35,N41+M42-V41,IF(A42&lt;'Données projet'!$A$36,$K$205^A42,IF(A42='Données projet'!$A$36,'Données projet'!$B$36,N41+M42-V41)))</f>
        <v>220.79999999999995</v>
      </c>
      <c r="O42" s="14">
        <f>N42*VLOOKUP('Données projet'!$B$9,Paramètres!$A$1:$I$89,3,0)*VLOOKUP('Données projet'!$B$9,Paramètres!$A$1:$I$89,5,0)</f>
        <v>230.78015999999997</v>
      </c>
      <c r="P42" s="14">
        <f t="shared" si="33"/>
        <v>56.451337103640888</v>
      </c>
      <c r="Q42" s="22">
        <f t="shared" si="53"/>
        <v>500.26152412217448</v>
      </c>
      <c r="R42" s="62">
        <f t="shared" si="0"/>
        <v>747.27092121228156</v>
      </c>
      <c r="S42" s="62">
        <f ca="1">AVERAGE(OFFSET($R$3,0,0,'Données projet'!$E$9+1,1))-AVERAGE(OFFSET($H$3,0,0,'Données projet'!$E$9+1,1))</f>
        <v>370.70149842199339</v>
      </c>
      <c r="T42" s="62">
        <f t="shared" si="34"/>
        <v>518.81287201117186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9.3906623088605716</v>
      </c>
      <c r="AB42" s="23">
        <f>EXP(-LN(2)/2)*AB41+(1-EXP(-LN(2)/2))/(LN(2)/2)*V42*Y42*VLOOKUP('Données projet'!$B$9,Paramètres!$A$1:$I$89,3,0)*0.475*44/12</f>
        <v>1.9527101674981548</v>
      </c>
      <c r="AC42" s="24">
        <f t="shared" si="3"/>
        <v>11.343372476358727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233</v>
      </c>
      <c r="L43" s="13">
        <f>VLOOKUP(A43,'Données projet'!$A$35:$I$55,9,0)</f>
        <v>12.2</v>
      </c>
      <c r="M43" s="13">
        <f t="array" ref="M43">INDEX(L:L,MIN(IF(ISNUMBER(L43:L239),ROW(L43:L239),"")))</f>
        <v>12.2</v>
      </c>
      <c r="N43" s="14">
        <f>IF('Données projet'!$A$36&gt;35,N42+M43-V42,IF(A43&lt;'Données projet'!$A$36,$K$205^A43,IF(A43='Données projet'!$A$36,'Données projet'!$B$36,N42+M43-V42)))</f>
        <v>232.99999999999994</v>
      </c>
      <c r="O43" s="14">
        <f>N43*VLOOKUP('Données projet'!$B$9,Paramètres!$A$1:$I$89,3,0)*VLOOKUP('Données projet'!$B$9,Paramètres!$A$1:$I$89,5,0)</f>
        <v>243.5316</v>
      </c>
      <c r="P43" s="14">
        <f t="shared" si="33"/>
        <v>59.198724224270414</v>
      </c>
      <c r="Q43" s="22">
        <f t="shared" si="53"/>
        <v>527.25531469060434</v>
      </c>
      <c r="R43" s="62">
        <f t="shared" si="0"/>
        <v>775.06832850972512</v>
      </c>
      <c r="S43" s="62">
        <f ca="1">AVERAGE(OFFSET($R$3,0,0,'Données projet'!$E$9+1,1))-AVERAGE(OFFSET($H$3,0,0,'Données projet'!$E$9+1,1))</f>
        <v>370.70149842199339</v>
      </c>
      <c r="T43" s="62">
        <f t="shared" si="34"/>
        <v>518.81287201117186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45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9.1338741541913109</v>
      </c>
      <c r="AB43" s="23">
        <f>EXP(-LN(2)/2)*AB42+(1-EXP(-LN(2)/2))/(LN(2)/2)*V43*Y43*VLOOKUP('Données projet'!$B$9,Paramètres!$A$1:$I$89,3,0)*0.475*44/12</f>
        <v>1.3807746011298645</v>
      </c>
      <c r="AC43" s="24">
        <f t="shared" si="3"/>
        <v>10.514648755321176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11.2</v>
      </c>
      <c r="N44" s="14">
        <f>IF('Données projet'!$A$36&gt;35,N43+M44-V43,IF(A44&lt;'Données projet'!$A$36,$K$205^A44,IF(A44='Données projet'!$A$36,'Données projet'!$B$36,N43+M44-V43)))</f>
        <v>199.19999999999993</v>
      </c>
      <c r="O44" s="14">
        <f>N44*VLOOKUP('Données projet'!$B$9,Paramètres!$A$1:$I$89,3,0)*VLOOKUP('Données projet'!$B$9,Paramètres!$A$1:$I$89,5,0)</f>
        <v>208.20383999999996</v>
      </c>
      <c r="P44" s="14">
        <f t="shared" si="33"/>
        <v>51.542883536065183</v>
      </c>
      <c r="Q44" s="22">
        <f t="shared" si="53"/>
        <v>452.39221015864678</v>
      </c>
      <c r="R44" s="62">
        <f t="shared" si="0"/>
        <v>700.99489975315078</v>
      </c>
      <c r="S44" s="62">
        <f ca="1">AVERAGE(OFFSET($R$3,0,0,'Données projet'!$E$9+1,1))-AVERAGE(OFFSET($H$3,0,0,'Données projet'!$E$9+1,1))</f>
        <v>370.70149842199339</v>
      </c>
      <c r="T44" s="62">
        <f t="shared" si="34"/>
        <v>518.81287201117186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8.8841078851153839</v>
      </c>
      <c r="AB44" s="23">
        <f>EXP(-LN(2)/2)*AB43+(1-EXP(-LN(2)/2))/(LN(2)/2)*V44*Y44*VLOOKUP('Données projet'!$B$9,Paramètres!$A$1:$I$89,3,0)*0.475*44/12</f>
        <v>0.97635508374907765</v>
      </c>
      <c r="AC44" s="24">
        <f t="shared" si="3"/>
        <v>9.8604629688644607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11.2</v>
      </c>
      <c r="N45" s="14">
        <f>IF('Données projet'!$A$36&gt;35,N44+M45-V44,IF(A45&lt;'Données projet'!$A$36,$K$205^A45,IF(A45='Données projet'!$A$36,'Données projet'!$B$36,N44+M45-V44)))</f>
        <v>210.39999999999992</v>
      </c>
      <c r="O45" s="14">
        <f>N45*VLOOKUP('Données projet'!$B$9,Paramètres!$A$1:$I$89,3,0)*VLOOKUP('Données projet'!$B$9,Paramètres!$A$1:$I$89,5,0)</f>
        <v>219.91007999999994</v>
      </c>
      <c r="P45" s="14">
        <f t="shared" si="33"/>
        <v>54.095341587899199</v>
      </c>
      <c r="Q45" s="22">
        <f t="shared" si="53"/>
        <v>477.22610926559105</v>
      </c>
      <c r="R45" s="62">
        <f t="shared" si="0"/>
        <v>726.60477552622581</v>
      </c>
      <c r="S45" s="62">
        <f ca="1">AVERAGE(OFFSET($R$3,0,0,'Données projet'!$E$9+1,1))-AVERAGE(OFFSET($H$3,0,0,'Données projet'!$E$9+1,1))</f>
        <v>370.70149842199339</v>
      </c>
      <c r="T45" s="62">
        <f t="shared" si="34"/>
        <v>518.81287201117186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8.6411714878019747</v>
      </c>
      <c r="AB45" s="23">
        <f>EXP(-LN(2)/2)*AB44+(1-EXP(-LN(2)/2))/(LN(2)/2)*V45*Y45*VLOOKUP('Données projet'!$B$9,Paramètres!$A$1:$I$89,3,0)*0.475*44/12</f>
        <v>0.69038730056493236</v>
      </c>
      <c r="AC45" s="24">
        <f t="shared" si="3"/>
        <v>9.3315587883669071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11.2</v>
      </c>
      <c r="N46" s="14">
        <f>IF('Données projet'!$A$36&gt;35,N45+M46-V45,IF(A46&lt;'Données projet'!$A$36,$K$205^A46,IF(A46='Données projet'!$A$36,'Données projet'!$B$36,N45+M46-V45)))</f>
        <v>221.59999999999991</v>
      </c>
      <c r="O46" s="14">
        <f>N46*VLOOKUP('Données projet'!$B$9,Paramètres!$A$1:$I$89,3,0)*VLOOKUP('Données projet'!$B$9,Paramètres!$A$1:$I$89,5,0)</f>
        <v>231.61631999999994</v>
      </c>
      <c r="P46" s="14">
        <f t="shared" si="33"/>
        <v>56.632025137557321</v>
      </c>
      <c r="Q46" s="22">
        <f t="shared" si="53"/>
        <v>502.03253444791227</v>
      </c>
      <c r="R46" s="62">
        <f t="shared" si="0"/>
        <v>752.17371591434426</v>
      </c>
      <c r="S46" s="62">
        <f ca="1">AVERAGE(OFFSET($R$3,0,0,'Données projet'!$E$9+1,1))-AVERAGE(OFFSET($H$3,0,0,'Données projet'!$E$9+1,1))</f>
        <v>370.70149842199339</v>
      </c>
      <c r="T46" s="62">
        <f t="shared" si="34"/>
        <v>518.81287201117186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8.4048781990485715</v>
      </c>
      <c r="AB46" s="23">
        <f>EXP(-LN(2)/2)*AB45+(1-EXP(-LN(2)/2))/(LN(2)/2)*V46*Y46*VLOOKUP('Données projet'!$B$9,Paramètres!$A$1:$I$89,3,0)*0.475*44/12</f>
        <v>0.48817754187453888</v>
      </c>
      <c r="AC46" s="24">
        <f t="shared" si="3"/>
        <v>8.8930557409231099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11.2</v>
      </c>
      <c r="N47" s="14">
        <f>IF('Données projet'!$A$36&gt;35,N46+M47-V46,IF(A47&lt;'Données projet'!$A$36,$K$205^A47,IF(A47='Données projet'!$A$36,'Données projet'!$B$36,N46+M47-V46)))</f>
        <v>232.7999999999999</v>
      </c>
      <c r="O47" s="14">
        <f>N47*VLOOKUP('Données projet'!$B$9,Paramètres!$A$1:$I$89,3,0)*VLOOKUP('Données projet'!$B$9,Paramètres!$A$1:$I$89,5,0)</f>
        <v>243.32255999999992</v>
      </c>
      <c r="P47" s="14">
        <f t="shared" si="33"/>
        <v>59.153822415931941</v>
      </c>
      <c r="Q47" s="22">
        <f t="shared" si="53"/>
        <v>526.81303270774799</v>
      </c>
      <c r="R47" s="62">
        <f t="shared" si="0"/>
        <v>777.70350144588542</v>
      </c>
      <c r="S47" s="62">
        <f ca="1">AVERAGE(OFFSET($R$3,0,0,'Données projet'!$E$9+1,1))-AVERAGE(OFFSET($H$3,0,0,'Données projet'!$E$9+1,1))</f>
        <v>370.70149842199339</v>
      </c>
      <c r="T47" s="62">
        <f t="shared" si="34"/>
        <v>518.81287201117186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8.175046362702254</v>
      </c>
      <c r="AB47" s="23">
        <f>EXP(-LN(2)/2)*AB46+(1-EXP(-LN(2)/2))/(LN(2)/2)*V47*Y47*VLOOKUP('Données projet'!$B$9,Paramètres!$A$1:$I$89,3,0)*0.475*44/12</f>
        <v>0.34519365028246624</v>
      </c>
      <c r="AC47" s="24">
        <f t="shared" si="3"/>
        <v>8.5202400129847202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244</v>
      </c>
      <c r="L48" s="13">
        <f>VLOOKUP(A48,'Données projet'!$A$35:$I$55,9,0)</f>
        <v>11.2</v>
      </c>
      <c r="M48" s="13">
        <f t="array" ref="M48">INDEX(L:L,MIN(IF(ISNUMBER(L48:L244),ROW(L48:L244),"")))</f>
        <v>11.2</v>
      </c>
      <c r="N48" s="14">
        <f>IF('Données projet'!$A$36&gt;35,N47+M48-V47,IF(A48&lt;'Données projet'!$A$36,$K$205^A48,IF(A48='Données projet'!$A$36,'Données projet'!$B$36,N47+M48-V47)))</f>
        <v>243.99999999999989</v>
      </c>
      <c r="O48" s="14">
        <f>N48*VLOOKUP('Données projet'!$B$9,Paramètres!$A$1:$I$89,3,0)*VLOOKUP('Données projet'!$B$9,Paramètres!$A$1:$I$89,5,0)</f>
        <v>255.0287999999999</v>
      </c>
      <c r="P48" s="14">
        <f t="shared" si="33"/>
        <v>61.661531359449384</v>
      </c>
      <c r="Q48" s="22">
        <f t="shared" si="53"/>
        <v>551.56899378437413</v>
      </c>
      <c r="R48" s="62">
        <f t="shared" si="0"/>
        <v>803.19575133520823</v>
      </c>
      <c r="S48" s="62">
        <f ca="1">AVERAGE(OFFSET($R$3,0,0,'Données projet'!$E$9+1,1))-AVERAGE(OFFSET($H$3,0,0,'Données projet'!$E$9+1,1))</f>
        <v>370.70149842199339</v>
      </c>
      <c r="T48" s="62">
        <f t="shared" si="34"/>
        <v>518.81287201117186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41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7.9514992900071571</v>
      </c>
      <c r="AB48" s="23">
        <f>EXP(-LN(2)/2)*AB47+(1-EXP(-LN(2)/2))/(LN(2)/2)*V48*Y48*VLOOKUP('Données projet'!$B$9,Paramètres!$A$1:$I$89,3,0)*0.475*44/12</f>
        <v>0.24408877093726947</v>
      </c>
      <c r="AC48" s="24">
        <f t="shared" si="3"/>
        <v>8.1955880609444272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9.8000000000000007</v>
      </c>
      <c r="N49" s="14">
        <f>IF('Données projet'!$A$36&gt;35,N48+M49-V48,IF(A49&lt;'Données projet'!$A$36,$K$205^A49,IF(A49='Données projet'!$A$36,'Données projet'!$B$36,N48+M49-V48)))</f>
        <v>212.7999999999999</v>
      </c>
      <c r="O49" s="14">
        <f>N49*VLOOKUP('Données projet'!$B$9,Paramètres!$A$1:$I$89,3,0)*VLOOKUP('Données projet'!$B$9,Paramètres!$A$1:$I$89,5,0)</f>
        <v>222.4185599999999</v>
      </c>
      <c r="P49" s="14">
        <f t="shared" si="33"/>
        <v>54.640212826336217</v>
      </c>
      <c r="Q49" s="22">
        <f t="shared" si="53"/>
        <v>482.54402933920204</v>
      </c>
      <c r="R49" s="62">
        <f t="shared" si="0"/>
        <v>734.89430273792766</v>
      </c>
      <c r="S49" s="62">
        <f ca="1">AVERAGE(OFFSET($R$3,0,0,'Données projet'!$E$9+1,1))-AVERAGE(OFFSET($H$3,0,0,'Données projet'!$E$9+1,1))</f>
        <v>370.70149842199339</v>
      </c>
      <c r="T49" s="62">
        <f t="shared" si="34"/>
        <v>518.81287201117186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7.734065123770737</v>
      </c>
      <c r="AB49" s="23">
        <f>EXP(-LN(2)/2)*AB48+(1-EXP(-LN(2)/2))/(LN(2)/2)*V49*Y49*VLOOKUP('Données projet'!$B$9,Paramètres!$A$1:$I$89,3,0)*0.475*44/12</f>
        <v>0.17259682514123315</v>
      </c>
      <c r="AC49" s="24">
        <f t="shared" si="3"/>
        <v>7.9066619489119701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9.8000000000000007</v>
      </c>
      <c r="N50" s="14">
        <f>IF('Données projet'!$A$36&gt;35,N49+M50-V49,IF(A50&lt;'Données projet'!$A$36,$K$205^A50,IF(A50='Données projet'!$A$36,'Données projet'!$B$36,N49+M50-V49)))</f>
        <v>222.59999999999991</v>
      </c>
      <c r="O50" s="14">
        <f>N50*VLOOKUP('Données projet'!$B$9,Paramètres!$A$1:$I$89,3,0)*VLOOKUP('Données projet'!$B$9,Paramètres!$A$1:$I$89,5,0)</f>
        <v>232.66151999999991</v>
      </c>
      <c r="P50" s="14">
        <f t="shared" si="33"/>
        <v>56.857778463998805</v>
      </c>
      <c r="Q50" s="22">
        <f t="shared" si="53"/>
        <v>504.24611149146443</v>
      </c>
      <c r="R50" s="62">
        <f t="shared" si="0"/>
        <v>757.30734935565988</v>
      </c>
      <c r="S50" s="62">
        <f ca="1">AVERAGE(OFFSET($R$3,0,0,'Données projet'!$E$9+1,1))-AVERAGE(OFFSET($H$3,0,0,'Données projet'!$E$9+1,1))</f>
        <v>370.70149842199339</v>
      </c>
      <c r="T50" s="62">
        <f t="shared" si="34"/>
        <v>518.81287201117186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7.5225767062444175</v>
      </c>
      <c r="AB50" s="23">
        <f>EXP(-LN(2)/2)*AB49+(1-EXP(-LN(2)/2))/(LN(2)/2)*V50*Y50*VLOOKUP('Données projet'!$B$9,Paramètres!$A$1:$I$89,3,0)*0.475*44/12</f>
        <v>0.12204438546863476</v>
      </c>
      <c r="AC50" s="24">
        <f t="shared" si="3"/>
        <v>7.6446210917130522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9.8000000000000007</v>
      </c>
      <c r="N51" s="14">
        <f>IF('Données projet'!$A$36&gt;35,N50+M51-V50,IF(A51&lt;'Données projet'!$A$36,$K$205^A51,IF(A51='Données projet'!$A$36,'Données projet'!$B$36,N50+M51-V50)))</f>
        <v>232.39999999999992</v>
      </c>
      <c r="O51" s="14">
        <f>N51*VLOOKUP('Données projet'!$B$9,Paramètres!$A$1:$I$89,3,0)*VLOOKUP('Données projet'!$B$9,Paramètres!$A$1:$I$89,5,0)</f>
        <v>242.90447999999995</v>
      </c>
      <c r="P51" s="14">
        <f t="shared" si="33"/>
        <v>59.064005323726505</v>
      </c>
      <c r="Q51" s="22">
        <f t="shared" si="53"/>
        <v>525.92844527215686</v>
      </c>
      <c r="R51" s="62">
        <f t="shared" si="0"/>
        <v>779.68831395782456</v>
      </c>
      <c r="S51" s="62">
        <f ca="1">AVERAGE(OFFSET($R$3,0,0,'Données projet'!$E$9+1,1))-AVERAGE(OFFSET($H$3,0,0,'Données projet'!$E$9+1,1))</f>
        <v>370.70149842199339</v>
      </c>
      <c r="T51" s="62">
        <f t="shared" si="34"/>
        <v>518.81287201117186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7.3168714506170485</v>
      </c>
      <c r="AB51" s="23">
        <f>EXP(-LN(2)/2)*AB50+(1-EXP(-LN(2)/2))/(LN(2)/2)*V51*Y51*VLOOKUP('Données projet'!$B$9,Paramètres!$A$1:$I$89,3,0)*0.475*44/12</f>
        <v>8.6298412570616587E-2</v>
      </c>
      <c r="AC51" s="24">
        <f t="shared" si="3"/>
        <v>7.4031698631876655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9.8000000000000007</v>
      </c>
      <c r="N52" s="14">
        <f>IF('Données projet'!$A$36&gt;35,N51+M52-V51,IF(A52&lt;'Données projet'!$A$36,$K$205^A52,IF(A52='Données projet'!$A$36,'Données projet'!$B$36,N51+M52-V51)))</f>
        <v>242.19999999999993</v>
      </c>
      <c r="O52" s="14">
        <f>N52*VLOOKUP('Données projet'!$B$9,Paramètres!$A$1:$I$89,3,0)*VLOOKUP('Données projet'!$B$9,Paramètres!$A$1:$I$89,5,0)</f>
        <v>253.14743999999996</v>
      </c>
      <c r="P52" s="14">
        <f t="shared" si="33"/>
        <v>61.259426216625307</v>
      </c>
      <c r="Q52" s="22">
        <f t="shared" si="53"/>
        <v>547.59195866062225</v>
      </c>
      <c r="R52" s="62">
        <f t="shared" si="0"/>
        <v>802.03833848491422</v>
      </c>
      <c r="S52" s="62">
        <f ca="1">AVERAGE(OFFSET($R$3,0,0,'Données projet'!$E$9+1,1))-AVERAGE(OFFSET($H$3,0,0,'Données projet'!$E$9+1,1))</f>
        <v>370.70149842199339</v>
      </c>
      <c r="T52" s="62">
        <f t="shared" si="34"/>
        <v>518.81287201117186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7.1167912160223787</v>
      </c>
      <c r="AB52" s="23">
        <f>EXP(-LN(2)/2)*AB51+(1-EXP(-LN(2)/2))/(LN(2)/2)*V52*Y52*VLOOKUP('Données projet'!$B$9,Paramètres!$A$1:$I$89,3,0)*0.475*44/12</f>
        <v>6.1022192734317388E-2</v>
      </c>
      <c r="AC52" s="24">
        <f t="shared" si="3"/>
        <v>7.1778134087566965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252</v>
      </c>
      <c r="L53" s="13">
        <f>VLOOKUP(A53,'Données projet'!$A$35:$I$55,9,0)</f>
        <v>9.8000000000000007</v>
      </c>
      <c r="M53" s="13">
        <f t="array" ref="M53">INDEX(L:L,MIN(IF(ISNUMBER(L53:L249),ROW(L53:L249),"")))</f>
        <v>9.8000000000000007</v>
      </c>
      <c r="N53" s="14">
        <f>IF('Données projet'!$A$36&gt;35,N52+M53-V52,IF(A53&lt;'Données projet'!$A$36,$K$205^A53,IF(A53='Données projet'!$A$36,'Données projet'!$B$36,N52+M53-V52)))</f>
        <v>251.99999999999994</v>
      </c>
      <c r="O53" s="14">
        <f>N53*VLOOKUP('Données projet'!$B$9,Paramètres!$A$1:$I$89,3,0)*VLOOKUP('Données projet'!$B$9,Paramètres!$A$1:$I$89,5,0)</f>
        <v>263.39039999999994</v>
      </c>
      <c r="P53" s="14">
        <f t="shared" si="33"/>
        <v>63.444528395882578</v>
      </c>
      <c r="Q53" s="22">
        <f t="shared" si="53"/>
        <v>569.2375002894953</v>
      </c>
      <c r="R53" s="62">
        <f t="shared" si="0"/>
        <v>824.3584818189654</v>
      </c>
      <c r="S53" s="62">
        <f ca="1">AVERAGE(OFFSET($R$3,0,0,'Données projet'!$E$9+1,1))-AVERAGE(OFFSET($H$3,0,0,'Données projet'!$E$9+1,1))</f>
        <v>370.70149842199339</v>
      </c>
      <c r="T53" s="62">
        <f t="shared" si="34"/>
        <v>518.81287201117186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37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6.9221821859644628</v>
      </c>
      <c r="AB53" s="23">
        <f>EXP(-LN(2)/2)*AB52+(1-EXP(-LN(2)/2))/(LN(2)/2)*V53*Y53*VLOOKUP('Données projet'!$B$9,Paramètres!$A$1:$I$89,3,0)*0.475*44/12</f>
        <v>4.31492062853083E-2</v>
      </c>
      <c r="AC53" s="24">
        <f t="shared" si="3"/>
        <v>6.9653313922497713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8.6</v>
      </c>
      <c r="N54" s="14">
        <f>IF('Données projet'!$A$36&gt;35,N53+M54-V53,IF(A54&lt;'Données projet'!$A$36,$K$205^A54,IF(A54='Données projet'!$A$36,'Données projet'!$B$36,N53+M54-V53)))</f>
        <v>223.59999999999997</v>
      </c>
      <c r="O54" s="14">
        <f>N54*VLOOKUP('Données projet'!$B$9,Paramètres!$A$1:$I$89,3,0)*VLOOKUP('Données projet'!$B$9,Paramètres!$A$1:$I$89,5,0)</f>
        <v>233.70671999999999</v>
      </c>
      <c r="P54" s="14">
        <f t="shared" si="33"/>
        <v>57.083413771970164</v>
      </c>
      <c r="Q54" s="22">
        <f t="shared" si="53"/>
        <v>506.45948298618129</v>
      </c>
      <c r="R54" s="62">
        <f t="shared" si="0"/>
        <v>762.24336338942817</v>
      </c>
      <c r="S54" s="62">
        <f ca="1">AVERAGE(OFFSET($R$3,0,0,'Données projet'!$E$9+1,1))-AVERAGE(OFFSET($H$3,0,0,'Données projet'!$E$9+1,1))</f>
        <v>370.70149842199339</v>
      </c>
      <c r="T54" s="62">
        <f t="shared" si="34"/>
        <v>518.81287201117186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6.7328947500675245</v>
      </c>
      <c r="AB54" s="23">
        <f>EXP(-LN(2)/2)*AB53+(1-EXP(-LN(2)/2))/(LN(2)/2)*V54*Y54*VLOOKUP('Données projet'!$B$9,Paramètres!$A$1:$I$89,3,0)*0.475*44/12</f>
        <v>3.0511096367158701E-2</v>
      </c>
      <c r="AC54" s="24">
        <f t="shared" si="3"/>
        <v>6.7634058464346829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8.6</v>
      </c>
      <c r="N55" s="14">
        <f>IF('Données projet'!$A$36&gt;35,N54+M55-V54,IF(A55&lt;'Données projet'!$A$36,$K$205^A55,IF(A55='Données projet'!$A$36,'Données projet'!$B$36,N54+M55-V54)))</f>
        <v>232.19999999999996</v>
      </c>
      <c r="O55" s="14">
        <f>N55*VLOOKUP('Données projet'!$B$9,Paramètres!$A$1:$I$89,3,0)*VLOOKUP('Données projet'!$B$9,Paramètres!$A$1:$I$89,5,0)</f>
        <v>242.69543999999999</v>
      </c>
      <c r="P55" s="14">
        <f t="shared" si="33"/>
        <v>59.019090031230249</v>
      </c>
      <c r="Q55" s="22">
        <f t="shared" si="53"/>
        <v>525.48613980439268</v>
      </c>
      <c r="R55" s="62">
        <f t="shared" si="0"/>
        <v>781.92141926797603</v>
      </c>
      <c r="S55" s="62">
        <f ca="1">AVERAGE(OFFSET($R$3,0,0,'Données projet'!$E$9+1,1))-AVERAGE(OFFSET($H$3,0,0,'Données projet'!$E$9+1,1))</f>
        <v>370.70149842199339</v>
      </c>
      <c r="T55" s="62">
        <f t="shared" si="34"/>
        <v>518.81287201117186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6.5487833890593814</v>
      </c>
      <c r="AB55" s="23">
        <f>EXP(-LN(2)/2)*AB54+(1-EXP(-LN(2)/2))/(LN(2)/2)*V55*Y55*VLOOKUP('Données projet'!$B$9,Paramètres!$A$1:$I$89,3,0)*0.475*44/12</f>
        <v>2.1574603142654154E-2</v>
      </c>
      <c r="AC55" s="24">
        <f t="shared" si="3"/>
        <v>6.5703579922020356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8.6</v>
      </c>
      <c r="N56" s="14">
        <f>IF('Données projet'!$A$36&gt;35,N55+M56-V55,IF(A56&lt;'Données projet'!$A$36,$K$205^A56,IF(A56='Données projet'!$A$36,'Données projet'!$B$36,N55+M56-V55)))</f>
        <v>240.79999999999995</v>
      </c>
      <c r="O56" s="14">
        <f>N56*VLOOKUP('Données projet'!$B$9,Paramètres!$A$1:$I$89,3,0)*VLOOKUP('Données projet'!$B$9,Paramètres!$A$1:$I$89,5,0)</f>
        <v>251.68415999999999</v>
      </c>
      <c r="P56" s="14">
        <f t="shared" si="33"/>
        <v>60.946437325817293</v>
      </c>
      <c r="Q56" s="22">
        <f t="shared" si="53"/>
        <v>544.49829034246511</v>
      </c>
      <c r="R56" s="62">
        <f t="shared" si="0"/>
        <v>801.57366854899828</v>
      </c>
      <c r="S56" s="62">
        <f ca="1">AVERAGE(OFFSET($R$3,0,0,'Données projet'!$E$9+1,1))-AVERAGE(OFFSET($H$3,0,0,'Données projet'!$E$9+1,1))</f>
        <v>370.70149842199339</v>
      </c>
      <c r="T56" s="62">
        <f t="shared" si="34"/>
        <v>518.81287201117186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6.369706562900002</v>
      </c>
      <c r="AB56" s="23">
        <f>EXP(-LN(2)/2)*AB55+(1-EXP(-LN(2)/2))/(LN(2)/2)*V56*Y56*VLOOKUP('Données projet'!$B$9,Paramètres!$A$1:$I$89,3,0)*0.475*44/12</f>
        <v>1.5255548183579352E-2</v>
      </c>
      <c r="AC56" s="24">
        <f t="shared" si="3"/>
        <v>6.3849621110835812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8.6</v>
      </c>
      <c r="N57" s="14">
        <f>IF('Données projet'!$A$36&gt;35,N56+M57-V56,IF(A57&lt;'Données projet'!$A$36,$K$205^A57,IF(A57='Données projet'!$A$36,'Données projet'!$B$36,N56+M57-V56)))</f>
        <v>249.39999999999995</v>
      </c>
      <c r="O57" s="14">
        <f>N57*VLOOKUP('Données projet'!$B$9,Paramètres!$A$1:$I$89,3,0)*VLOOKUP('Données projet'!$B$9,Paramètres!$A$1:$I$89,5,0)</f>
        <v>260.67287999999996</v>
      </c>
      <c r="P57" s="14">
        <f t="shared" si="33"/>
        <v>62.86578719746359</v>
      </c>
      <c r="Q57" s="22">
        <f t="shared" si="53"/>
        <v>563.49651203558233</v>
      </c>
      <c r="R57" s="62">
        <f t="shared" si="0"/>
        <v>821.20088470292171</v>
      </c>
      <c r="S57" s="62">
        <f ca="1">AVERAGE(OFFSET($R$3,0,0,'Données projet'!$E$9+1,1))-AVERAGE(OFFSET($H$3,0,0,'Données projet'!$E$9+1,1))</f>
        <v>370.70149842199339</v>
      </c>
      <c r="T57" s="62">
        <f t="shared" si="34"/>
        <v>518.81287201117186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6.1955266019691919</v>
      </c>
      <c r="AB57" s="23">
        <f>EXP(-LN(2)/2)*AB56+(1-EXP(-LN(2)/2))/(LN(2)/2)*V57*Y57*VLOOKUP('Données projet'!$B$9,Paramètres!$A$1:$I$89,3,0)*0.475*44/12</f>
        <v>1.0787301571327079E-2</v>
      </c>
      <c r="AC57" s="24">
        <f t="shared" si="3"/>
        <v>6.2063139035405186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258</v>
      </c>
      <c r="L58" s="13">
        <f>VLOOKUP(A58,'Données projet'!$A$35:$I$55,9,0)</f>
        <v>8.6</v>
      </c>
      <c r="M58" s="13">
        <f t="array" ref="M58">INDEX(L:L,MIN(IF(ISNUMBER(L58:L254),ROW(L58:L254),"")))</f>
        <v>8.6</v>
      </c>
      <c r="N58" s="14">
        <f>IF('Données projet'!$A$36&gt;35,N57+M58-V57,IF(A58&lt;'Données projet'!$A$36,$K$205^A58,IF(A58='Données projet'!$A$36,'Données projet'!$B$36,N57+M58-V57)))</f>
        <v>257.99999999999994</v>
      </c>
      <c r="O58" s="14">
        <f>N58*VLOOKUP('Données projet'!$B$9,Paramètres!$A$1:$I$89,3,0)*VLOOKUP('Données projet'!$B$9,Paramètres!$A$1:$I$89,5,0)</f>
        <v>269.66159999999996</v>
      </c>
      <c r="P58" s="14">
        <f t="shared" si="33"/>
        <v>64.777447026130091</v>
      </c>
      <c r="Q58" s="22">
        <f t="shared" si="53"/>
        <v>582.48134023717648</v>
      </c>
      <c r="R58" s="62">
        <f t="shared" si="0"/>
        <v>840.80379571764786</v>
      </c>
      <c r="S58" s="62">
        <f ca="1">AVERAGE(OFFSET($R$3,0,0,'Données projet'!$E$9+1,1))-AVERAGE(OFFSET($H$3,0,0,'Données projet'!$E$9+1,1))</f>
        <v>370.70149842199339</v>
      </c>
      <c r="T58" s="62">
        <f t="shared" si="34"/>
        <v>518.81287201117186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258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6.0261096012297601</v>
      </c>
      <c r="AB58" s="23">
        <f>EXP(-LN(2)/2)*AB57+(1-EXP(-LN(2)/2))/(LN(2)/2)*V58*Y58*VLOOKUP('Données projet'!$B$9,Paramètres!$A$1:$I$89,3,0)*0.475*44/12</f>
        <v>7.6277740917896769E-3</v>
      </c>
      <c r="AC58" s="24">
        <f t="shared" si="3"/>
        <v>6.0337373753215502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-5.6843418860808015E-14</v>
      </c>
      <c r="O59" s="14">
        <f>N59*VLOOKUP('Données projet'!$B$9,Paramètres!$A$1:$I$89,3,0)*VLOOKUP('Données projet'!$B$9,Paramètres!$A$1:$I$89,5,0)</f>
        <v>-5.9412741393316544E-14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370.70149842199339</v>
      </c>
      <c r="T59" s="62">
        <f t="shared" si="34"/>
        <v>518.81287201117186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5.861325317284801</v>
      </c>
      <c r="AB59" s="23">
        <f>EXP(-LN(2)/2)*AB58+(1-EXP(-LN(2)/2))/(LN(2)/2)*V59*Y59*VLOOKUP('Données projet'!$B$9,Paramètres!$A$1:$I$89,3,0)*0.475*44/12</f>
        <v>5.3936507856635401E-3</v>
      </c>
      <c r="AC59" s="24">
        <f t="shared" si="3"/>
        <v>5.8667189680704643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-5.6843418860808015E-14</v>
      </c>
      <c r="O60" s="14">
        <f>N60*VLOOKUP('Données projet'!$B$9,Paramètres!$A$1:$I$89,3,0)*VLOOKUP('Données projet'!$B$9,Paramètres!$A$1:$I$89,5,0)</f>
        <v>-5.9412741393316544E-14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370.70149842199339</v>
      </c>
      <c r="T60" s="62">
        <f t="shared" si="34"/>
        <v>518.81287201117186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5.7010470682499461</v>
      </c>
      <c r="AB60" s="23">
        <f>EXP(-LN(2)/2)*AB59+(1-EXP(-LN(2)/2))/(LN(2)/2)*V60*Y60*VLOOKUP('Données projet'!$B$9,Paramètres!$A$1:$I$89,3,0)*0.475*44/12</f>
        <v>3.8138870458948393E-3</v>
      </c>
      <c r="AC60" s="24">
        <f t="shared" si="3"/>
        <v>5.7048609552958407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-5.6843418860808015E-14</v>
      </c>
      <c r="O61" s="14">
        <f>N61*VLOOKUP('Données projet'!$B$9,Paramètres!$A$1:$I$89,3,0)*VLOOKUP('Données projet'!$B$9,Paramètres!$A$1:$I$89,5,0)</f>
        <v>-5.9412741393316544E-14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370.70149842199339</v>
      </c>
      <c r="T61" s="62">
        <f t="shared" si="34"/>
        <v>518.81287201117186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5.5451516363636157</v>
      </c>
      <c r="AB61" s="23">
        <f>EXP(-LN(2)/2)*AB60+(1-EXP(-LN(2)/2))/(LN(2)/2)*V61*Y61*VLOOKUP('Données projet'!$B$9,Paramètres!$A$1:$I$89,3,0)*0.475*44/12</f>
        <v>2.6968253928317705E-3</v>
      </c>
      <c r="AC61" s="24">
        <f t="shared" si="3"/>
        <v>5.5478484617564474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-5.6843418860808015E-14</v>
      </c>
      <c r="O62" s="14">
        <f>N62*VLOOKUP('Données projet'!$B$9,Paramètres!$A$1:$I$89,3,0)*VLOOKUP('Données projet'!$B$9,Paramètres!$A$1:$I$89,5,0)</f>
        <v>-5.9412741393316544E-14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370.70149842199339</v>
      </c>
      <c r="T62" s="62">
        <f t="shared" si="34"/>
        <v>518.81287201117186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5.393519173260402</v>
      </c>
      <c r="AB62" s="23">
        <f>EXP(-LN(2)/2)*AB61+(1-EXP(-LN(2)/2))/(LN(2)/2)*V62*Y62*VLOOKUP('Données projet'!$B$9,Paramètres!$A$1:$I$89,3,0)*0.475*44/12</f>
        <v>1.9069435229474199E-3</v>
      </c>
      <c r="AC62" s="24">
        <f t="shared" si="3"/>
        <v>5.3954261167833497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-5.6843418860808015E-14</v>
      </c>
      <c r="O63" s="14">
        <f>N63*VLOOKUP('Données projet'!$B$9,Paramètres!$A$1:$I$89,3,0)*VLOOKUP('Données projet'!$B$9,Paramètres!$A$1:$I$89,5,0)</f>
        <v>-5.9412741393316544E-14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370.70149842199339</v>
      </c>
      <c r="T63" s="62">
        <f t="shared" si="34"/>
        <v>518.81287201117186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5.2460331078347497</v>
      </c>
      <c r="AB63" s="23">
        <f>EXP(-LN(2)/2)*AB62+(1-EXP(-LN(2)/2))/(LN(2)/2)*V63*Y63*VLOOKUP('Données projet'!$B$9,Paramètres!$A$1:$I$89,3,0)*0.475*44/12</f>
        <v>1.3484126964158855E-3</v>
      </c>
      <c r="AC63" s="24">
        <f t="shared" si="3"/>
        <v>5.2473815205311656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-5.6843418860808015E-14</v>
      </c>
      <c r="O64" s="14">
        <f>N64*VLOOKUP('Données projet'!$B$9,Paramètres!$A$1:$I$89,3,0)*VLOOKUP('Données projet'!$B$9,Paramètres!$A$1:$I$89,5,0)</f>
        <v>-5.9412741393316544E-14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370.70149842199339</v>
      </c>
      <c r="T64" s="62">
        <f t="shared" si="34"/>
        <v>518.81287201117186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5.1025800566241175</v>
      </c>
      <c r="AB64" s="23">
        <f>EXP(-LN(2)/2)*AB63+(1-EXP(-LN(2)/2))/(LN(2)/2)*V64*Y64*VLOOKUP('Données projet'!$B$9,Paramètres!$A$1:$I$89,3,0)*0.475*44/12</f>
        <v>9.5347176147371016E-4</v>
      </c>
      <c r="AC64" s="24">
        <f t="shared" si="3"/>
        <v>5.1035335283855909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-5.6843418860808015E-14</v>
      </c>
      <c r="O65" s="14">
        <f>N65*VLOOKUP('Données projet'!$B$9,Paramètres!$A$1:$I$89,3,0)*VLOOKUP('Données projet'!$B$9,Paramètres!$A$1:$I$89,5,0)</f>
        <v>-5.9412741393316544E-14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370.70149842199339</v>
      </c>
      <c r="T65" s="62">
        <f t="shared" si="34"/>
        <v>518.81287201117186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4.9630497366427075</v>
      </c>
      <c r="AB65" s="23">
        <f>EXP(-LN(2)/2)*AB64+(1-EXP(-LN(2)/2))/(LN(2)/2)*V65*Y65*VLOOKUP('Données projet'!$B$9,Paramètres!$A$1:$I$89,3,0)*0.475*44/12</f>
        <v>6.7420634820794284E-4</v>
      </c>
      <c r="AC65" s="24">
        <f t="shared" si="3"/>
        <v>4.9637239429909155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-5.6843418860808015E-14</v>
      </c>
      <c r="O66" s="14">
        <f>N66*VLOOKUP('Données projet'!$B$9,Paramètres!$A$1:$I$89,3,0)*VLOOKUP('Données projet'!$B$9,Paramètres!$A$1:$I$89,5,0)</f>
        <v>-5.9412741393316544E-14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370.70149842199339</v>
      </c>
      <c r="T66" s="62">
        <f t="shared" si="34"/>
        <v>518.81287201117186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4.8273348805987704</v>
      </c>
      <c r="AB66" s="23">
        <f>EXP(-LN(2)/2)*AB65+(1-EXP(-LN(2)/2))/(LN(2)/2)*V66*Y66*VLOOKUP('Données projet'!$B$9,Paramètres!$A$1:$I$89,3,0)*0.475*44/12</f>
        <v>4.7673588073685513E-4</v>
      </c>
      <c r="AC66" s="24">
        <f t="shared" si="3"/>
        <v>4.8278116164795071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-5.6843418860808015E-14</v>
      </c>
      <c r="O67" s="14">
        <f>N67*VLOOKUP('Données projet'!$B$9,Paramètres!$A$1:$I$89,3,0)*VLOOKUP('Données projet'!$B$9,Paramètres!$A$1:$I$89,5,0)</f>
        <v>-5.9412741393316544E-14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370.70149842199339</v>
      </c>
      <c r="T67" s="62">
        <f t="shared" si="34"/>
        <v>518.81287201117186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4.6953311544302885</v>
      </c>
      <c r="AB67" s="23">
        <f>EXP(-LN(2)/2)*AB66+(1-EXP(-LN(2)/2))/(LN(2)/2)*V67*Y67*VLOOKUP('Données projet'!$B$9,Paramètres!$A$1:$I$89,3,0)*0.475*44/12</f>
        <v>3.3710317410397148E-4</v>
      </c>
      <c r="AC67" s="24">
        <f t="shared" si="3"/>
        <v>4.6956682576043924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-5.6843418860808015E-14</v>
      </c>
      <c r="O68" s="14">
        <f>N68*VLOOKUP('Données projet'!$B$9,Paramètres!$A$1:$I$89,3,0)*VLOOKUP('Données projet'!$B$9,Paramètres!$A$1:$I$89,5,0)</f>
        <v>-5.9412741393316544E-14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370.70149842199339</v>
      </c>
      <c r="T68" s="62">
        <f t="shared" si="34"/>
        <v>518.81287201117186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4.5669370770956581</v>
      </c>
      <c r="AB68" s="23">
        <f>EXP(-LN(2)/2)*AB67+(1-EXP(-LN(2)/2))/(LN(2)/2)*V68*Y68*VLOOKUP('Données projet'!$B$9,Paramètres!$A$1:$I$89,3,0)*0.475*44/12</f>
        <v>2.3836794036842762E-4</v>
      </c>
      <c r="AC68" s="24">
        <f t="shared" ref="AC68:AC131" si="57">SUM(Z68:AB68)</f>
        <v>4.5671754450360265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-5.6843418860808015E-14</v>
      </c>
      <c r="O69" s="14">
        <f>N69*VLOOKUP('Données projet'!$B$9,Paramètres!$A$1:$I$89,3,0)*VLOOKUP('Données projet'!$B$9,Paramètres!$A$1:$I$89,5,0)</f>
        <v>-5.9412741393316544E-14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370.70149842199339</v>
      </c>
      <c r="T69" s="62">
        <f t="shared" ref="T69:T132" si="88">$T$3</f>
        <v>518.81287201117186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4.4420539425576946</v>
      </c>
      <c r="AB69" s="23">
        <f>EXP(-LN(2)/2)*AB68+(1-EXP(-LN(2)/2))/(LN(2)/2)*V69*Y69*VLOOKUP('Données projet'!$B$9,Paramètres!$A$1:$I$89,3,0)*0.475*44/12</f>
        <v>1.6855158705198576E-4</v>
      </c>
      <c r="AC69" s="24">
        <f t="shared" si="57"/>
        <v>4.4422224941447466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-5.6843418860808015E-14</v>
      </c>
      <c r="O70" s="14">
        <f>N70*VLOOKUP('Données projet'!$B$9,Paramètres!$A$1:$I$89,3,0)*VLOOKUP('Données projet'!$B$9,Paramètres!$A$1:$I$89,5,0)</f>
        <v>-5.9412741393316544E-14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370.70149842199339</v>
      </c>
      <c r="T70" s="62">
        <f t="shared" si="88"/>
        <v>518.81287201117186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4.32058574390099</v>
      </c>
      <c r="AB70" s="23">
        <f>EXP(-LN(2)/2)*AB69+(1-EXP(-LN(2)/2))/(LN(2)/2)*V70*Y70*VLOOKUP('Données projet'!$B$9,Paramètres!$A$1:$I$89,3,0)*0.475*44/12</f>
        <v>1.1918397018421382E-4</v>
      </c>
      <c r="AC70" s="24">
        <f t="shared" si="57"/>
        <v>4.3207049278711747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-5.6843418860808015E-14</v>
      </c>
      <c r="O71" s="14">
        <f>N71*VLOOKUP('Données projet'!$B$9,Paramètres!$A$1:$I$89,3,0)*VLOOKUP('Données projet'!$B$9,Paramètres!$A$1:$I$89,5,0)</f>
        <v>-5.9412741393316544E-14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370.70149842199339</v>
      </c>
      <c r="T71" s="62">
        <f t="shared" si="88"/>
        <v>518.81287201117186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4.2024390995242884</v>
      </c>
      <c r="AB71" s="23">
        <f>EXP(-LN(2)/2)*AB70+(1-EXP(-LN(2)/2))/(LN(2)/2)*V71*Y71*VLOOKUP('Données projet'!$B$9,Paramètres!$A$1:$I$89,3,0)*0.475*44/12</f>
        <v>8.4275793525992896E-5</v>
      </c>
      <c r="AC71" s="24">
        <f t="shared" si="57"/>
        <v>4.2025233753178144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-5.6843418860808015E-14</v>
      </c>
      <c r="O72" s="14">
        <f>N72*VLOOKUP('Données projet'!$B$9,Paramètres!$A$1:$I$89,3,0)*VLOOKUP('Données projet'!$B$9,Paramètres!$A$1:$I$89,5,0)</f>
        <v>-5.9412741393316544E-14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370.70149842199339</v>
      </c>
      <c r="T72" s="62">
        <f t="shared" si="88"/>
        <v>518.81287201117186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4.0875231813511297</v>
      </c>
      <c r="AB72" s="23">
        <f>EXP(-LN(2)/2)*AB71+(1-EXP(-LN(2)/2))/(LN(2)/2)*V72*Y72*VLOOKUP('Données projet'!$B$9,Paramètres!$A$1:$I$89,3,0)*0.475*44/12</f>
        <v>5.9591985092106919E-5</v>
      </c>
      <c r="AC72" s="24">
        <f t="shared" si="57"/>
        <v>4.087582773336222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-5.6843418860808015E-14</v>
      </c>
      <c r="O73" s="14">
        <f>N73*VLOOKUP('Données projet'!$B$9,Paramètres!$A$1:$I$89,3,0)*VLOOKUP('Données projet'!$B$9,Paramètres!$A$1:$I$89,5,0)</f>
        <v>-5.9412741393316544E-14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370.70149842199339</v>
      </c>
      <c r="T73" s="62">
        <f t="shared" si="88"/>
        <v>518.81287201117186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3.9757496450035812</v>
      </c>
      <c r="AB73" s="23">
        <f>EXP(-LN(2)/2)*AB72+(1-EXP(-LN(2)/2))/(LN(2)/2)*V73*Y73*VLOOKUP('Données projet'!$B$9,Paramètres!$A$1:$I$89,3,0)*0.475*44/12</f>
        <v>4.2137896762996455E-5</v>
      </c>
      <c r="AC73" s="24">
        <f t="shared" si="57"/>
        <v>3.9757917829003442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-5.6843418860808015E-14</v>
      </c>
      <c r="O74" s="14">
        <f>N74*VLOOKUP('Données projet'!$B$9,Paramètres!$A$1:$I$89,3,0)*VLOOKUP('Données projet'!$B$9,Paramètres!$A$1:$I$89,5,0)</f>
        <v>-5.9412741393316544E-14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370.70149842199339</v>
      </c>
      <c r="T74" s="62">
        <f t="shared" si="88"/>
        <v>518.81287201117186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3.8670325618853711</v>
      </c>
      <c r="AB74" s="23">
        <f>EXP(-LN(2)/2)*AB73+(1-EXP(-LN(2)/2))/(LN(2)/2)*V74*Y74*VLOOKUP('Données projet'!$B$9,Paramètres!$A$1:$I$89,3,0)*0.475*44/12</f>
        <v>2.9795992546053466E-5</v>
      </c>
      <c r="AC74" s="24">
        <f t="shared" si="57"/>
        <v>3.8670623578779173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-5.6843418860808015E-14</v>
      </c>
      <c r="O75" s="14">
        <f>N75*VLOOKUP('Données projet'!$B$9,Paramètres!$A$1:$I$89,3,0)*VLOOKUP('Données projet'!$B$9,Paramètres!$A$1:$I$89,5,0)</f>
        <v>-5.9412741393316544E-14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370.70149842199339</v>
      </c>
      <c r="T75" s="62">
        <f t="shared" si="88"/>
        <v>518.81287201117186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3.7612883531222114</v>
      </c>
      <c r="AB75" s="23">
        <f>EXP(-LN(2)/2)*AB74+(1-EXP(-LN(2)/2))/(LN(2)/2)*V75*Y75*VLOOKUP('Données projet'!$B$9,Paramètres!$A$1:$I$89,3,0)*0.475*44/12</f>
        <v>2.1068948381498231E-5</v>
      </c>
      <c r="AC75" s="24">
        <f t="shared" si="57"/>
        <v>3.7613094220705929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-5.6843418860808015E-14</v>
      </c>
      <c r="O76" s="14">
        <f>N76*VLOOKUP('Données projet'!$B$9,Paramètres!$A$1:$I$89,3,0)*VLOOKUP('Données projet'!$B$9,Paramètres!$A$1:$I$89,5,0)</f>
        <v>-5.9412741393316544E-14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370.70149842199339</v>
      </c>
      <c r="T76" s="62">
        <f t="shared" si="88"/>
        <v>518.81287201117186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3.6584357253085265</v>
      </c>
      <c r="AB76" s="23">
        <f>EXP(-LN(2)/2)*AB75+(1-EXP(-LN(2)/2))/(LN(2)/2)*V76*Y76*VLOOKUP('Données projet'!$B$9,Paramètres!$A$1:$I$89,3,0)*0.475*44/12</f>
        <v>1.4897996273026735E-5</v>
      </c>
      <c r="AC76" s="24">
        <f t="shared" si="57"/>
        <v>3.6584506233047995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-5.6843418860808015E-14</v>
      </c>
      <c r="O77" s="14">
        <f>N77*VLOOKUP('Données projet'!$B$9,Paramètres!$A$1:$I$89,3,0)*VLOOKUP('Données projet'!$B$9,Paramètres!$A$1:$I$89,5,0)</f>
        <v>-5.9412741393316544E-14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370.70149842199339</v>
      </c>
      <c r="T77" s="62">
        <f t="shared" si="88"/>
        <v>518.81287201117186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3.5583956080111916</v>
      </c>
      <c r="AB77" s="23">
        <f>EXP(-LN(2)/2)*AB76+(1-EXP(-LN(2)/2))/(LN(2)/2)*V77*Y77*VLOOKUP('Données projet'!$B$9,Paramètres!$A$1:$I$89,3,0)*0.475*44/12</f>
        <v>1.0534474190749117E-5</v>
      </c>
      <c r="AC77" s="24">
        <f t="shared" si="57"/>
        <v>3.5584061424853823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-5.6843418860808015E-14</v>
      </c>
      <c r="O78" s="14">
        <f>N78*VLOOKUP('Données projet'!$B$9,Paramètres!$A$1:$I$89,3,0)*VLOOKUP('Données projet'!$B$9,Paramètres!$A$1:$I$89,5,0)</f>
        <v>-5.9412741393316544E-14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370.70149842199339</v>
      </c>
      <c r="T78" s="62">
        <f t="shared" si="88"/>
        <v>518.81287201117186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3.4610910929822332</v>
      </c>
      <c r="AB78" s="23">
        <f>EXP(-LN(2)/2)*AB77+(1-EXP(-LN(2)/2))/(LN(2)/2)*V78*Y78*VLOOKUP('Données projet'!$B$9,Paramètres!$A$1:$I$89,3,0)*0.475*44/12</f>
        <v>7.4489981365133691E-6</v>
      </c>
      <c r="AC78" s="24">
        <f t="shared" si="57"/>
        <v>3.4610985419803697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-5.6843418860808015E-14</v>
      </c>
      <c r="O79" s="14">
        <f>N79*VLOOKUP('Données projet'!$B$9,Paramètres!$A$1:$I$89,3,0)*VLOOKUP('Données projet'!$B$9,Paramètres!$A$1:$I$89,5,0)</f>
        <v>-5.9412741393316544E-14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370.70149842199339</v>
      </c>
      <c r="T79" s="62">
        <f t="shared" si="88"/>
        <v>518.81287201117186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3.366447375033764</v>
      </c>
      <c r="AB79" s="23">
        <f>EXP(-LN(2)/2)*AB78+(1-EXP(-LN(2)/2))/(LN(2)/2)*V79*Y79*VLOOKUP('Données projet'!$B$9,Paramètres!$A$1:$I$89,3,0)*0.475*44/12</f>
        <v>5.2672370953745594E-6</v>
      </c>
      <c r="AC79" s="24">
        <f t="shared" si="57"/>
        <v>3.3664526422708594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-5.6843418860808015E-14</v>
      </c>
      <c r="O80" s="14">
        <f>N80*VLOOKUP('Données projet'!$B$9,Paramètres!$A$1:$I$89,3,0)*VLOOKUP('Données projet'!$B$9,Paramètres!$A$1:$I$89,5,0)</f>
        <v>-5.9412741393316544E-14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370.70149842199339</v>
      </c>
      <c r="T80" s="62">
        <f t="shared" si="88"/>
        <v>518.81287201117186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3.2743916945296925</v>
      </c>
      <c r="AB80" s="23">
        <f>EXP(-LN(2)/2)*AB79+(1-EXP(-LN(2)/2))/(LN(2)/2)*V80*Y80*VLOOKUP('Données projet'!$B$9,Paramètres!$A$1:$I$89,3,0)*0.475*44/12</f>
        <v>3.724499068256685E-6</v>
      </c>
      <c r="AC80" s="24">
        <f t="shared" si="57"/>
        <v>3.2743954190287607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-5.6843418860808015E-14</v>
      </c>
      <c r="O81" s="14">
        <f>N81*VLOOKUP('Données projet'!$B$9,Paramètres!$A$1:$I$89,3,0)*VLOOKUP('Données projet'!$B$9,Paramètres!$A$1:$I$89,5,0)</f>
        <v>-5.9412741393316544E-14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370.70149842199339</v>
      </c>
      <c r="T81" s="62">
        <f t="shared" si="88"/>
        <v>518.81287201117186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3.1848532814500023</v>
      </c>
      <c r="AB81" s="23">
        <f>EXP(-LN(2)/2)*AB80+(1-EXP(-LN(2)/2))/(LN(2)/2)*V81*Y81*VLOOKUP('Données projet'!$B$9,Paramètres!$A$1:$I$89,3,0)*0.475*44/12</f>
        <v>2.6336185476872801E-6</v>
      </c>
      <c r="AC81" s="24">
        <f t="shared" si="57"/>
        <v>3.18485591506855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-5.6843418860808015E-14</v>
      </c>
      <c r="O82" s="14">
        <f>N82*VLOOKUP('Données projet'!$B$9,Paramètres!$A$1:$I$89,3,0)*VLOOKUP('Données projet'!$B$9,Paramètres!$A$1:$I$89,5,0)</f>
        <v>-5.9412741393316544E-14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370.70149842199339</v>
      </c>
      <c r="T82" s="62">
        <f t="shared" si="88"/>
        <v>518.81287201117186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3.0977633009845968</v>
      </c>
      <c r="AB82" s="23">
        <f>EXP(-LN(2)/2)*AB81+(1-EXP(-LN(2)/2))/(LN(2)/2)*V82*Y82*VLOOKUP('Données projet'!$B$9,Paramètres!$A$1:$I$89,3,0)*0.475*44/12</f>
        <v>1.8622495341283427E-6</v>
      </c>
      <c r="AC82" s="24">
        <f t="shared" si="57"/>
        <v>3.097765163234131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-5.6843418860808015E-14</v>
      </c>
      <c r="O83" s="14">
        <f>N83*VLOOKUP('Données projet'!$B$9,Paramètres!$A$1:$I$89,3,0)*VLOOKUP('Données projet'!$B$9,Paramètres!$A$1:$I$89,5,0)</f>
        <v>-5.9412741393316544E-14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370.70149842199339</v>
      </c>
      <c r="T83" s="62">
        <f t="shared" si="88"/>
        <v>518.81287201117186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3.013054800614881</v>
      </c>
      <c r="AB83" s="23">
        <f>EXP(-LN(2)/2)*AB82+(1-EXP(-LN(2)/2))/(LN(2)/2)*V83*Y83*VLOOKUP('Données projet'!$B$9,Paramètres!$A$1:$I$89,3,0)*0.475*44/12</f>
        <v>1.3168092738436403E-6</v>
      </c>
      <c r="AC83" s="24">
        <f t="shared" si="57"/>
        <v>3.0130561174241546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-5.6843418860808015E-14</v>
      </c>
      <c r="O84" s="14">
        <f>N84*VLOOKUP('Données projet'!$B$9,Paramètres!$A$1:$I$89,3,0)*VLOOKUP('Données projet'!$B$9,Paramètres!$A$1:$I$89,5,0)</f>
        <v>-5.9412741393316544E-14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370.70149842199339</v>
      </c>
      <c r="T84" s="62">
        <f t="shared" si="88"/>
        <v>518.81287201117186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2.9306626586424014</v>
      </c>
      <c r="AB84" s="23">
        <f>EXP(-LN(2)/2)*AB83+(1-EXP(-LN(2)/2))/(LN(2)/2)*V84*Y84*VLOOKUP('Données projet'!$B$9,Paramètres!$A$1:$I$89,3,0)*0.475*44/12</f>
        <v>9.3112476706417156E-7</v>
      </c>
      <c r="AC84" s="24">
        <f t="shared" si="57"/>
        <v>2.9306635897671685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-5.6843418860808015E-14</v>
      </c>
      <c r="O85" s="14">
        <f>N85*VLOOKUP('Données projet'!$B$9,Paramètres!$A$1:$I$89,3,0)*VLOOKUP('Données projet'!$B$9,Paramètres!$A$1:$I$89,5,0)</f>
        <v>-5.9412741393316544E-14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370.70149842199339</v>
      </c>
      <c r="T85" s="62">
        <f t="shared" si="88"/>
        <v>518.81287201117186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2.8505235341249739</v>
      </c>
      <c r="AB85" s="23">
        <f>EXP(-LN(2)/2)*AB84+(1-EXP(-LN(2)/2))/(LN(2)/2)*V85*Y85*VLOOKUP('Données projet'!$B$9,Paramètres!$A$1:$I$89,3,0)*0.475*44/12</f>
        <v>6.5840463692182024E-7</v>
      </c>
      <c r="AC85" s="24">
        <f t="shared" si="57"/>
        <v>2.850524192529611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-5.6843418860808015E-14</v>
      </c>
      <c r="O86" s="14">
        <f>N86*VLOOKUP('Données projet'!$B$9,Paramètres!$A$1:$I$89,3,0)*VLOOKUP('Données projet'!$B$9,Paramètres!$A$1:$I$89,5,0)</f>
        <v>-5.9412741393316544E-14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370.70149842199339</v>
      </c>
      <c r="T86" s="62">
        <f t="shared" si="88"/>
        <v>518.81287201117186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2.7725758181818088</v>
      </c>
      <c r="AB86" s="23">
        <f>EXP(-LN(2)/2)*AB85+(1-EXP(-LN(2)/2))/(LN(2)/2)*V86*Y86*VLOOKUP('Données projet'!$B$9,Paramètres!$A$1:$I$89,3,0)*0.475*44/12</f>
        <v>4.6556238353208583E-7</v>
      </c>
      <c r="AC86" s="24">
        <f t="shared" si="57"/>
        <v>2.7725762837441921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-5.6843418860808015E-14</v>
      </c>
      <c r="O87" s="14">
        <f>N87*VLOOKUP('Données projet'!$B$9,Paramètres!$A$1:$I$89,3,0)*VLOOKUP('Données projet'!$B$9,Paramètres!$A$1:$I$89,5,0)</f>
        <v>-5.9412741393316544E-14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370.70149842199339</v>
      </c>
      <c r="T87" s="62">
        <f t="shared" si="88"/>
        <v>518.81287201117186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2.6967595866302019</v>
      </c>
      <c r="AB87" s="23">
        <f>EXP(-LN(2)/2)*AB86+(1-EXP(-LN(2)/2))/(LN(2)/2)*V87*Y87*VLOOKUP('Données projet'!$B$9,Paramètres!$A$1:$I$89,3,0)*0.475*44/12</f>
        <v>3.2920231846091017E-7</v>
      </c>
      <c r="AC87" s="24">
        <f t="shared" si="57"/>
        <v>2.6967599158325202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-5.6843418860808015E-14</v>
      </c>
      <c r="O88" s="14">
        <f>N88*VLOOKUP('Données projet'!$B$9,Paramètres!$A$1:$I$89,3,0)*VLOOKUP('Données projet'!$B$9,Paramètres!$A$1:$I$89,5,0)</f>
        <v>-5.9412741393316544E-14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370.70149842199339</v>
      </c>
      <c r="T88" s="62">
        <f t="shared" si="88"/>
        <v>518.81287201117186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2.6230165539173758</v>
      </c>
      <c r="AB88" s="23">
        <f>EXP(-LN(2)/2)*AB87+(1-EXP(-LN(2)/2))/(LN(2)/2)*V88*Y88*VLOOKUP('Données projet'!$B$9,Paramètres!$A$1:$I$89,3,0)*0.475*44/12</f>
        <v>2.3278119176604297E-7</v>
      </c>
      <c r="AC88" s="24">
        <f t="shared" si="57"/>
        <v>2.6230167866985674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-5.6843418860808015E-14</v>
      </c>
      <c r="O89" s="14">
        <f>N89*VLOOKUP('Données projet'!$B$9,Paramètres!$A$1:$I$89,3,0)*VLOOKUP('Données projet'!$B$9,Paramètres!$A$1:$I$89,5,0)</f>
        <v>-5.9412741393316544E-14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370.70149842199339</v>
      </c>
      <c r="T89" s="62">
        <f t="shared" si="88"/>
        <v>518.81287201117186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2.5512900283120596</v>
      </c>
      <c r="AB89" s="23">
        <f>EXP(-LN(2)/2)*AB88+(1-EXP(-LN(2)/2))/(LN(2)/2)*V89*Y89*VLOOKUP('Données projet'!$B$9,Paramètres!$A$1:$I$89,3,0)*0.475*44/12</f>
        <v>1.6460115923045511E-7</v>
      </c>
      <c r="AC89" s="24">
        <f t="shared" si="57"/>
        <v>2.551290192913219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-5.6843418860808015E-14</v>
      </c>
      <c r="O90" s="14">
        <f>N90*VLOOKUP('Données projet'!$B$9,Paramètres!$A$1:$I$89,3,0)*VLOOKUP('Données projet'!$B$9,Paramètres!$A$1:$I$89,5,0)</f>
        <v>-5.9412741393316544E-14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370.70149842199339</v>
      </c>
      <c r="T90" s="62">
        <f t="shared" si="88"/>
        <v>518.81287201117186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2.4815248683213547</v>
      </c>
      <c r="AB90" s="23">
        <f>EXP(-LN(2)/2)*AB89+(1-EXP(-LN(2)/2))/(LN(2)/2)*V90*Y90*VLOOKUP('Données projet'!$B$9,Paramètres!$A$1:$I$89,3,0)*0.475*44/12</f>
        <v>1.163905958830215E-7</v>
      </c>
      <c r="AC90" s="24">
        <f t="shared" si="57"/>
        <v>2.4815249847119505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-5.6843418860808015E-14</v>
      </c>
      <c r="O91" s="14">
        <f>N91*VLOOKUP('Données projet'!$B$9,Paramètres!$A$1:$I$89,3,0)*VLOOKUP('Données projet'!$B$9,Paramètres!$A$1:$I$89,5,0)</f>
        <v>-5.9412741393316544E-14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370.70149842199339</v>
      </c>
      <c r="T91" s="62">
        <f t="shared" si="88"/>
        <v>518.81287201117186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2.4136674402993861</v>
      </c>
      <c r="AB91" s="23">
        <f>EXP(-LN(2)/2)*AB90+(1-EXP(-LN(2)/2))/(LN(2)/2)*V91*Y91*VLOOKUP('Données projet'!$B$9,Paramètres!$A$1:$I$89,3,0)*0.475*44/12</f>
        <v>8.230057961522757E-8</v>
      </c>
      <c r="AC91" s="24">
        <f t="shared" si="57"/>
        <v>2.4136675225999658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-5.6843418860808015E-14</v>
      </c>
      <c r="O92" s="14">
        <f>N92*VLOOKUP('Données projet'!$B$9,Paramètres!$A$1:$I$89,3,0)*VLOOKUP('Données projet'!$B$9,Paramètres!$A$1:$I$89,5,0)</f>
        <v>-5.9412741393316544E-14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370.70149842199339</v>
      </c>
      <c r="T92" s="62">
        <f t="shared" si="88"/>
        <v>518.81287201117186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2.3476655772151451</v>
      </c>
      <c r="AB92" s="23">
        <f>EXP(-LN(2)/2)*AB91+(1-EXP(-LN(2)/2))/(LN(2)/2)*V92*Y92*VLOOKUP('Données projet'!$B$9,Paramètres!$A$1:$I$89,3,0)*0.475*44/12</f>
        <v>5.8195297941510762E-8</v>
      </c>
      <c r="AC92" s="24">
        <f t="shared" si="57"/>
        <v>2.347665635410443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-5.6843418860808015E-14</v>
      </c>
      <c r="O93" s="14">
        <f>N93*VLOOKUP('Données projet'!$B$9,Paramètres!$A$1:$I$89,3,0)*VLOOKUP('Données projet'!$B$9,Paramètres!$A$1:$I$89,5,0)</f>
        <v>-5.9412741393316544E-14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370.70149842199339</v>
      </c>
      <c r="T93" s="62">
        <f t="shared" si="88"/>
        <v>518.81287201117186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2.2834685385478299</v>
      </c>
      <c r="AB93" s="23">
        <f>EXP(-LN(2)/2)*AB92+(1-EXP(-LN(2)/2))/(LN(2)/2)*V93*Y93*VLOOKUP('Données projet'!$B$9,Paramètres!$A$1:$I$89,3,0)*0.475*44/12</f>
        <v>4.1150289807613792E-8</v>
      </c>
      <c r="AC93" s="24">
        <f t="shared" si="57"/>
        <v>2.2834685796981198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-5.6843418860808015E-14</v>
      </c>
      <c r="O94" s="14">
        <f>N94*VLOOKUP('Données projet'!$B$9,Paramètres!$A$1:$I$89,3,0)*VLOOKUP('Données projet'!$B$9,Paramètres!$A$1:$I$89,5,0)</f>
        <v>-5.9412741393316544E-14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370.70149842199339</v>
      </c>
      <c r="T94" s="62">
        <f t="shared" si="88"/>
        <v>518.81287201117186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2.2210269712788482</v>
      </c>
      <c r="AB94" s="23">
        <f>EXP(-LN(2)/2)*AB93+(1-EXP(-LN(2)/2))/(LN(2)/2)*V94*Y94*VLOOKUP('Données projet'!$B$9,Paramètres!$A$1:$I$89,3,0)*0.475*44/12</f>
        <v>2.9097648970755384E-8</v>
      </c>
      <c r="AC94" s="24">
        <f t="shared" si="57"/>
        <v>2.2210270003764974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-5.6843418860808015E-14</v>
      </c>
      <c r="O95" s="14">
        <f>N95*VLOOKUP('Données projet'!$B$9,Paramètres!$A$1:$I$89,3,0)*VLOOKUP('Données projet'!$B$9,Paramètres!$A$1:$I$89,5,0)</f>
        <v>-5.9412741393316544E-14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370.70149842199339</v>
      </c>
      <c r="T95" s="62">
        <f t="shared" si="88"/>
        <v>518.81287201117186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2.1602928719504959</v>
      </c>
      <c r="AB95" s="23">
        <f>EXP(-LN(2)/2)*AB94+(1-EXP(-LN(2)/2))/(LN(2)/2)*V95*Y95*VLOOKUP('Données projet'!$B$9,Paramètres!$A$1:$I$89,3,0)*0.475*44/12</f>
        <v>2.0575144903806899E-8</v>
      </c>
      <c r="AC95" s="24">
        <f t="shared" si="57"/>
        <v>2.1602928925256406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-5.6843418860808015E-14</v>
      </c>
      <c r="O96" s="14">
        <f>N96*VLOOKUP('Données projet'!$B$9,Paramètres!$A$1:$I$89,3,0)*VLOOKUP('Données projet'!$B$9,Paramètres!$A$1:$I$89,5,0)</f>
        <v>-5.9412741393316544E-14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370.70149842199339</v>
      </c>
      <c r="T96" s="62">
        <f t="shared" si="88"/>
        <v>518.81287201117186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2.1012195497621451</v>
      </c>
      <c r="AB96" s="23">
        <f>EXP(-LN(2)/2)*AB95+(1-EXP(-LN(2)/2))/(LN(2)/2)*V96*Y96*VLOOKUP('Données projet'!$B$9,Paramètres!$A$1:$I$89,3,0)*0.475*44/12</f>
        <v>1.4548824485377694E-8</v>
      </c>
      <c r="AC96" s="24">
        <f t="shared" si="57"/>
        <v>2.1012195643109695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-5.6843418860808015E-14</v>
      </c>
      <c r="O97" s="14">
        <f>N97*VLOOKUP('Données projet'!$B$9,Paramètres!$A$1:$I$89,3,0)*VLOOKUP('Données projet'!$B$9,Paramètres!$A$1:$I$89,5,0)</f>
        <v>-5.9412741393316544E-14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370.70149842199339</v>
      </c>
      <c r="T97" s="62">
        <f t="shared" si="88"/>
        <v>518.81287201117186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2.0437615906755657</v>
      </c>
      <c r="AB97" s="23">
        <f>EXP(-LN(2)/2)*AB96+(1-EXP(-LN(2)/2))/(LN(2)/2)*V97*Y97*VLOOKUP('Données projet'!$B$9,Paramètres!$A$1:$I$89,3,0)*0.475*44/12</f>
        <v>1.0287572451903451E-8</v>
      </c>
      <c r="AC97" s="24">
        <f t="shared" si="57"/>
        <v>2.0437616009631383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-5.6843418860808015E-14</v>
      </c>
      <c r="O98" s="14">
        <f>N98*VLOOKUP('Données projet'!$B$9,Paramètres!$A$1:$I$89,3,0)*VLOOKUP('Données projet'!$B$9,Paramètres!$A$1:$I$89,5,0)</f>
        <v>-5.9412741393316544E-14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370.70149842199339</v>
      </c>
      <c r="T98" s="62">
        <f t="shared" si="88"/>
        <v>518.81287201117186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1.9878748225017915</v>
      </c>
      <c r="AB98" s="23">
        <f>EXP(-LN(2)/2)*AB97+(1-EXP(-LN(2)/2))/(LN(2)/2)*V98*Y98*VLOOKUP('Données projet'!$B$9,Paramètres!$A$1:$I$89,3,0)*0.475*44/12</f>
        <v>7.2744122426888486E-9</v>
      </c>
      <c r="AC98" s="24">
        <f t="shared" si="57"/>
        <v>1.9878748297762037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-5.6843418860808015E-14</v>
      </c>
      <c r="O99" s="14">
        <f>N99*VLOOKUP('Données projet'!$B$9,Paramètres!$A$1:$I$89,3,0)*VLOOKUP('Données projet'!$B$9,Paramètres!$A$1:$I$89,5,0)</f>
        <v>-5.9412741393316544E-14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370.70149842199339</v>
      </c>
      <c r="T99" s="62">
        <f t="shared" si="88"/>
        <v>518.81287201117186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1.9335162809426865</v>
      </c>
      <c r="AB99" s="23">
        <f>EXP(-LN(2)/2)*AB98+(1-EXP(-LN(2)/2))/(LN(2)/2)*V99*Y99*VLOOKUP('Données projet'!$B$9,Paramètres!$A$1:$I$89,3,0)*0.475*44/12</f>
        <v>5.1437862259517264E-9</v>
      </c>
      <c r="AC99" s="24">
        <f t="shared" si="57"/>
        <v>1.9335162860864727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-5.6843418860808015E-14</v>
      </c>
      <c r="O100" s="14">
        <f>N100*VLOOKUP('Données projet'!$B$9,Paramètres!$A$1:$I$89,3,0)*VLOOKUP('Données projet'!$B$9,Paramètres!$A$1:$I$89,5,0)</f>
        <v>-5.9412741393316544E-14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370.70149842199339</v>
      </c>
      <c r="T100" s="62">
        <f t="shared" si="88"/>
        <v>518.81287201117186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1.8806441765611066</v>
      </c>
      <c r="AB100" s="23">
        <f>EXP(-LN(2)/2)*AB99+(1-EXP(-LN(2)/2))/(LN(2)/2)*V100*Y100*VLOOKUP('Données projet'!$B$9,Paramètres!$A$1:$I$89,3,0)*0.475*44/12</f>
        <v>3.6372061213444247E-9</v>
      </c>
      <c r="AC100" s="24">
        <f t="shared" si="57"/>
        <v>1.8806441801983127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-5.6843418860808015E-14</v>
      </c>
      <c r="O101" s="14">
        <f>N101*VLOOKUP('Données projet'!$B$9,Paramètres!$A$1:$I$89,3,0)*VLOOKUP('Données projet'!$B$9,Paramètres!$A$1:$I$89,5,0)</f>
        <v>-5.9412741393316544E-14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370.70149842199339</v>
      </c>
      <c r="T101" s="62">
        <f t="shared" si="88"/>
        <v>518.81287201117186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1.8292178626542641</v>
      </c>
      <c r="AB101" s="23">
        <f>EXP(-LN(2)/2)*AB100+(1-EXP(-LN(2)/2))/(LN(2)/2)*V101*Y101*VLOOKUP('Données projet'!$B$9,Paramètres!$A$1:$I$89,3,0)*0.475*44/12</f>
        <v>2.5718931129758636E-9</v>
      </c>
      <c r="AC101" s="24">
        <f t="shared" si="57"/>
        <v>1.8292178652261573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-5.6843418860808015E-14</v>
      </c>
      <c r="O102" s="14">
        <f>N102*VLOOKUP('Données projet'!$B$9,Paramètres!$A$1:$I$89,3,0)*VLOOKUP('Données projet'!$B$9,Paramètres!$A$1:$I$89,5,0)</f>
        <v>-5.9412741393316544E-14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370.70149842199339</v>
      </c>
      <c r="T102" s="62">
        <f t="shared" si="88"/>
        <v>518.81287201117186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1.7791978040055967</v>
      </c>
      <c r="AB102" s="23">
        <f>EXP(-LN(2)/2)*AB101+(1-EXP(-LN(2)/2))/(LN(2)/2)*V102*Y102*VLOOKUP('Données projet'!$B$9,Paramètres!$A$1:$I$89,3,0)*0.475*44/12</f>
        <v>1.8186030606722128E-9</v>
      </c>
      <c r="AC102" s="24">
        <f t="shared" si="57"/>
        <v>1.7791978058241997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-5.6843418860808015E-14</v>
      </c>
      <c r="O103" s="14">
        <f>N103*VLOOKUP('Données projet'!$B$9,Paramètres!$A$1:$I$89,3,0)*VLOOKUP('Données projet'!$B$9,Paramètres!$A$1:$I$89,5,0)</f>
        <v>-5.9412741393316544E-14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370.70149842199339</v>
      </c>
      <c r="T103" s="62">
        <f t="shared" si="88"/>
        <v>518.81287201117186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1.7305455464911175</v>
      </c>
      <c r="AB103" s="23">
        <f>EXP(-LN(2)/2)*AB102+(1-EXP(-LN(2)/2))/(LN(2)/2)*V103*Y103*VLOOKUP('Données projet'!$B$9,Paramètres!$A$1:$I$89,3,0)*0.475*44/12</f>
        <v>1.285946556487932E-9</v>
      </c>
      <c r="AC103" s="24">
        <f t="shared" si="57"/>
        <v>1.7305455477770639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-5.6843418860808015E-14</v>
      </c>
      <c r="O104" s="14">
        <f>N104*VLOOKUP('Données projet'!$B$9,Paramètres!$A$1:$I$89,3,0)*VLOOKUP('Données projet'!$B$9,Paramètres!$A$1:$I$89,5,0)</f>
        <v>-5.9412741393316544E-14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370.70149842199339</v>
      </c>
      <c r="T104" s="62">
        <f t="shared" si="88"/>
        <v>518.81287201117186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1.6832236875168829</v>
      </c>
      <c r="AB104" s="23">
        <f>EXP(-LN(2)/2)*AB103+(1-EXP(-LN(2)/2))/(LN(2)/2)*V104*Y104*VLOOKUP('Données projet'!$B$9,Paramètres!$A$1:$I$89,3,0)*0.475*44/12</f>
        <v>9.0930153033610648E-10</v>
      </c>
      <c r="AC104" s="24">
        <f t="shared" si="57"/>
        <v>1.6832236884261844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-5.6843418860808015E-14</v>
      </c>
      <c r="O105" s="14">
        <f>N105*VLOOKUP('Données projet'!$B$9,Paramètres!$A$1:$I$89,3,0)*VLOOKUP('Données projet'!$B$9,Paramètres!$A$1:$I$89,5,0)</f>
        <v>-5.9412741393316544E-14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370.70149842199339</v>
      </c>
      <c r="T105" s="62">
        <f t="shared" si="88"/>
        <v>518.81287201117186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1.6371958472648471</v>
      </c>
      <c r="AB105" s="23">
        <f>EXP(-LN(2)/2)*AB104+(1-EXP(-LN(2)/2))/(LN(2)/2)*V105*Y105*VLOOKUP('Données projet'!$B$9,Paramètres!$A$1:$I$89,3,0)*0.475*44/12</f>
        <v>6.4297327824396611E-10</v>
      </c>
      <c r="AC105" s="24">
        <f t="shared" si="57"/>
        <v>1.6371958479078204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-5.6843418860808015E-14</v>
      </c>
      <c r="O106" s="14">
        <f>N106*VLOOKUP('Données projet'!$B$9,Paramètres!$A$1:$I$89,3,0)*VLOOKUP('Données projet'!$B$9,Paramètres!$A$1:$I$89,5,0)</f>
        <v>-5.9412741393316544E-14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370.70149842199339</v>
      </c>
      <c r="T106" s="62">
        <f t="shared" si="88"/>
        <v>518.81287201117186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1.5924266407250021</v>
      </c>
      <c r="AB106" s="23">
        <f>EXP(-LN(2)/2)*AB105+(1-EXP(-LN(2)/2))/(LN(2)/2)*V106*Y106*VLOOKUP('Données projet'!$B$9,Paramètres!$A$1:$I$89,3,0)*0.475*44/12</f>
        <v>4.5465076516805329E-10</v>
      </c>
      <c r="AC106" s="24">
        <f t="shared" si="57"/>
        <v>1.5924266411796528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-5.6843418860808015E-14</v>
      </c>
      <c r="O107" s="14">
        <f>N107*VLOOKUP('Données projet'!$B$9,Paramètres!$A$1:$I$89,3,0)*VLOOKUP('Données projet'!$B$9,Paramètres!$A$1:$I$89,5,0)</f>
        <v>-5.9412741393316544E-14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370.70149842199339</v>
      </c>
      <c r="T107" s="62">
        <f t="shared" si="88"/>
        <v>518.81287201117186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1.5488816504922993</v>
      </c>
      <c r="AB107" s="23">
        <f>EXP(-LN(2)/2)*AB106+(1-EXP(-LN(2)/2))/(LN(2)/2)*V107*Y107*VLOOKUP('Données projet'!$B$9,Paramètres!$A$1:$I$89,3,0)*0.475*44/12</f>
        <v>3.2148663912198311E-10</v>
      </c>
      <c r="AC107" s="24">
        <f t="shared" si="57"/>
        <v>1.5488816508137859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-5.6843418860808015E-14</v>
      </c>
      <c r="O108" s="14">
        <f>N108*VLOOKUP('Données projet'!$B$9,Paramètres!$A$1:$I$89,3,0)*VLOOKUP('Données projet'!$B$9,Paramètres!$A$1:$I$89,5,0)</f>
        <v>-5.9412741393316544E-14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370.70149842199339</v>
      </c>
      <c r="T108" s="62">
        <f t="shared" si="88"/>
        <v>518.81287201117186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1.5065274003074414</v>
      </c>
      <c r="AB108" s="23">
        <f>EXP(-LN(2)/2)*AB107+(1-EXP(-LN(2)/2))/(LN(2)/2)*V108*Y108*VLOOKUP('Données projet'!$B$9,Paramètres!$A$1:$I$89,3,0)*0.475*44/12</f>
        <v>2.273253825840267E-10</v>
      </c>
      <c r="AC108" s="24">
        <f t="shared" si="57"/>
        <v>1.5065274005347669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-5.6843418860808015E-14</v>
      </c>
      <c r="O109" s="14">
        <f>N109*VLOOKUP('Données projet'!$B$9,Paramètres!$A$1:$I$89,3,0)*VLOOKUP('Données projet'!$B$9,Paramètres!$A$1:$I$89,5,0)</f>
        <v>-5.9412741393316544E-14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370.70149842199339</v>
      </c>
      <c r="T109" s="62">
        <f t="shared" si="88"/>
        <v>518.81287201117186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1.4653313293212016</v>
      </c>
      <c r="AB109" s="23">
        <f>EXP(-LN(2)/2)*AB108+(1-EXP(-LN(2)/2))/(LN(2)/2)*V109*Y109*VLOOKUP('Données projet'!$B$9,Paramètres!$A$1:$I$89,3,0)*0.475*44/12</f>
        <v>1.6074331956099158E-10</v>
      </c>
      <c r="AC109" s="24">
        <f t="shared" si="57"/>
        <v>1.465331329481945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-5.6843418860808015E-14</v>
      </c>
      <c r="O110" s="14">
        <f>N110*VLOOKUP('Données projet'!$B$9,Paramètres!$A$1:$I$89,3,0)*VLOOKUP('Données projet'!$B$9,Paramètres!$A$1:$I$89,5,0)</f>
        <v>-5.9412741393316544E-14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370.70149842199339</v>
      </c>
      <c r="T110" s="62">
        <f t="shared" si="88"/>
        <v>518.81287201117186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1.4252617670624879</v>
      </c>
      <c r="AB110" s="23">
        <f>EXP(-LN(2)/2)*AB109+(1-EXP(-LN(2)/2))/(LN(2)/2)*V110*Y110*VLOOKUP('Données projet'!$B$9,Paramètres!$A$1:$I$89,3,0)*0.475*44/12</f>
        <v>1.1366269129201336E-10</v>
      </c>
      <c r="AC110" s="24">
        <f t="shared" si="57"/>
        <v>1.4252617671761505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-5.6843418860808015E-14</v>
      </c>
      <c r="O111" s="14">
        <f>N111*VLOOKUP('Données projet'!$B$9,Paramètres!$A$1:$I$89,3,0)*VLOOKUP('Données projet'!$B$9,Paramètres!$A$1:$I$89,5,0)</f>
        <v>-5.9412741393316544E-14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370.70149842199339</v>
      </c>
      <c r="T111" s="62">
        <f t="shared" si="88"/>
        <v>518.81287201117186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1.3862879090909053</v>
      </c>
      <c r="AB111" s="23">
        <f>EXP(-LN(2)/2)*AB110+(1-EXP(-LN(2)/2))/(LN(2)/2)*V111*Y111*VLOOKUP('Données projet'!$B$9,Paramètres!$A$1:$I$89,3,0)*0.475*44/12</f>
        <v>8.0371659780495803E-11</v>
      </c>
      <c r="AC111" s="24">
        <f t="shared" si="57"/>
        <v>1.386287909171277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-5.6843418860808015E-14</v>
      </c>
      <c r="O112" s="14">
        <f>N112*VLOOKUP('Données projet'!$B$9,Paramètres!$A$1:$I$89,3,0)*VLOOKUP('Données projet'!$B$9,Paramètres!$A$1:$I$89,5,0)</f>
        <v>-5.9412741393316544E-14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370.70149842199339</v>
      </c>
      <c r="T112" s="62">
        <f t="shared" si="88"/>
        <v>518.81287201117186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1.3483797933151018</v>
      </c>
      <c r="AB112" s="23">
        <f>EXP(-LN(2)/2)*AB111+(1-EXP(-LN(2)/2))/(LN(2)/2)*V112*Y112*VLOOKUP('Données projet'!$B$9,Paramètres!$A$1:$I$89,3,0)*0.475*44/12</f>
        <v>5.6831345646006694E-11</v>
      </c>
      <c r="AC112" s="24">
        <f t="shared" si="57"/>
        <v>1.3483797933719333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-5.6843418860808015E-14</v>
      </c>
      <c r="O113" s="14">
        <f>N113*VLOOKUP('Données projet'!$B$9,Paramètres!$A$1:$I$89,3,0)*VLOOKUP('Données projet'!$B$9,Paramètres!$A$1:$I$89,5,0)</f>
        <v>-5.9412741393316544E-14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370.70149842199339</v>
      </c>
      <c r="T113" s="62">
        <f t="shared" si="88"/>
        <v>518.81287201117186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1.3115082769586888</v>
      </c>
      <c r="AB113" s="23">
        <f>EXP(-LN(2)/2)*AB112+(1-EXP(-LN(2)/2))/(LN(2)/2)*V113*Y113*VLOOKUP('Données projet'!$B$9,Paramètres!$A$1:$I$89,3,0)*0.475*44/12</f>
        <v>4.0185829890247908E-11</v>
      </c>
      <c r="AC113" s="24">
        <f t="shared" si="57"/>
        <v>1.3115082769988746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-5.6843418860808015E-14</v>
      </c>
      <c r="O114" s="14">
        <f>N114*VLOOKUP('Données projet'!$B$9,Paramètres!$A$1:$I$89,3,0)*VLOOKUP('Données projet'!$B$9,Paramètres!$A$1:$I$89,5,0)</f>
        <v>-5.9412741393316544E-14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370.70149842199339</v>
      </c>
      <c r="T114" s="62">
        <f t="shared" si="88"/>
        <v>518.81287201117186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1.2756450141560307</v>
      </c>
      <c r="AB114" s="23">
        <f>EXP(-LN(2)/2)*AB113+(1-EXP(-LN(2)/2))/(LN(2)/2)*V114*Y114*VLOOKUP('Données projet'!$B$9,Paramètres!$A$1:$I$89,3,0)*0.475*44/12</f>
        <v>2.841567282300335E-11</v>
      </c>
      <c r="AC114" s="24">
        <f t="shared" si="57"/>
        <v>1.2756450141844464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-5.6843418860808015E-14</v>
      </c>
      <c r="O115" s="14">
        <f>N115*VLOOKUP('Données projet'!$B$9,Paramètres!$A$1:$I$89,3,0)*VLOOKUP('Données projet'!$B$9,Paramètres!$A$1:$I$89,5,0)</f>
        <v>-5.9412741393316544E-14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370.70149842199339</v>
      </c>
      <c r="T115" s="62">
        <f t="shared" si="88"/>
        <v>518.81287201117186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1.2407624341606782</v>
      </c>
      <c r="AB115" s="23">
        <f>EXP(-LN(2)/2)*AB114+(1-EXP(-LN(2)/2))/(LN(2)/2)*V115*Y115*VLOOKUP('Données projet'!$B$9,Paramètres!$A$1:$I$89,3,0)*0.475*44/12</f>
        <v>2.0092914945123957E-11</v>
      </c>
      <c r="AC115" s="24">
        <f t="shared" si="57"/>
        <v>1.240762434180771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-5.6843418860808015E-14</v>
      </c>
      <c r="O116" s="14">
        <f>N116*VLOOKUP('Données projet'!$B$9,Paramètres!$A$1:$I$89,3,0)*VLOOKUP('Données projet'!$B$9,Paramètres!$A$1:$I$89,5,0)</f>
        <v>-5.9412741393316544E-14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370.70149842199339</v>
      </c>
      <c r="T116" s="62">
        <f t="shared" si="88"/>
        <v>518.81287201117186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1.2068337201496939</v>
      </c>
      <c r="AB116" s="23">
        <f>EXP(-LN(2)/2)*AB115+(1-EXP(-LN(2)/2))/(LN(2)/2)*V116*Y116*VLOOKUP('Données projet'!$B$9,Paramètres!$A$1:$I$89,3,0)*0.475*44/12</f>
        <v>1.4207836411501677E-11</v>
      </c>
      <c r="AC116" s="24">
        <f t="shared" si="57"/>
        <v>1.2068337201639017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-5.6843418860808015E-14</v>
      </c>
      <c r="O117" s="14">
        <f>N117*VLOOKUP('Données projet'!$B$9,Paramètres!$A$1:$I$89,3,0)*VLOOKUP('Données projet'!$B$9,Paramètres!$A$1:$I$89,5,0)</f>
        <v>-5.9412741393316544E-14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370.70149842199339</v>
      </c>
      <c r="T117" s="62">
        <f t="shared" si="88"/>
        <v>518.81287201117186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1.1738327886075735</v>
      </c>
      <c r="AB117" s="23">
        <f>EXP(-LN(2)/2)*AB116+(1-EXP(-LN(2)/2))/(LN(2)/2)*V117*Y117*VLOOKUP('Données projet'!$B$9,Paramètres!$A$1:$I$89,3,0)*0.475*44/12</f>
        <v>1.004645747256198E-11</v>
      </c>
      <c r="AC117" s="24">
        <f t="shared" si="57"/>
        <v>1.1738327886176199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-5.6843418860808015E-14</v>
      </c>
      <c r="O118" s="14">
        <f>N118*VLOOKUP('Données projet'!$B$9,Paramètres!$A$1:$I$89,3,0)*VLOOKUP('Données projet'!$B$9,Paramètres!$A$1:$I$89,5,0)</f>
        <v>-5.9412741393316544E-14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370.70149842199339</v>
      </c>
      <c r="T118" s="62">
        <f t="shared" si="88"/>
        <v>518.81287201117186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1.1417342692739159</v>
      </c>
      <c r="AB118" s="23">
        <f>EXP(-LN(2)/2)*AB117+(1-EXP(-LN(2)/2))/(LN(2)/2)*V118*Y118*VLOOKUP('Données projet'!$B$9,Paramètres!$A$1:$I$89,3,0)*0.475*44/12</f>
        <v>7.10391820575084E-12</v>
      </c>
      <c r="AC118" s="24">
        <f t="shared" si="57"/>
        <v>1.1417342692810197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-5.9412741393316544E-14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370.70149842199339</v>
      </c>
      <c r="T119" s="62">
        <f t="shared" si="88"/>
        <v>518.81287201117186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1.110513485639425</v>
      </c>
      <c r="AB119" s="23">
        <f>EXP(-LN(2)/2)*AB118+(1-EXP(-LN(2)/2))/(LN(2)/2)*V119*Y119*VLOOKUP('Données projet'!$B$9,Paramètres!$A$1:$I$89,3,0)*0.475*44/12</f>
        <v>5.0232287362809909E-12</v>
      </c>
      <c r="AC119" s="24">
        <f t="shared" si="57"/>
        <v>1.1105134856444483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-5.9412741393316544E-14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370.70149842199339</v>
      </c>
      <c r="T120" s="62">
        <f t="shared" si="88"/>
        <v>518.81287201117186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1.0801464359752488</v>
      </c>
      <c r="AB120" s="23">
        <f>EXP(-LN(2)/2)*AB119+(1-EXP(-LN(2)/2))/(LN(2)/2)*V120*Y120*VLOOKUP('Données projet'!$B$9,Paramètres!$A$1:$I$89,3,0)*0.475*44/12</f>
        <v>3.5519591028754204E-12</v>
      </c>
      <c r="AC120" s="24">
        <f t="shared" si="57"/>
        <v>1.0801464359788009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-5.9412741393316544E-14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370.70149842199339</v>
      </c>
      <c r="T121" s="62">
        <f t="shared" si="88"/>
        <v>518.81287201117186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1.0506097748810732</v>
      </c>
      <c r="AB121" s="23">
        <f>EXP(-LN(2)/2)*AB120+(1-EXP(-LN(2)/2))/(LN(2)/2)*V121*Y121*VLOOKUP('Données projet'!$B$9,Paramètres!$A$1:$I$89,3,0)*0.475*44/12</f>
        <v>2.5116143681404959E-12</v>
      </c>
      <c r="AC121" s="24">
        <f t="shared" si="57"/>
        <v>1.0506097748835848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-5.9412741393316544E-14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370.70149842199339</v>
      </c>
      <c r="T122" s="62">
        <f t="shared" si="88"/>
        <v>518.81287201117186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1.0218807953377833</v>
      </c>
      <c r="AB122" s="23">
        <f>EXP(-LN(2)/2)*AB121+(1-EXP(-LN(2)/2))/(LN(2)/2)*V122*Y122*VLOOKUP('Données projet'!$B$9,Paramètres!$A$1:$I$89,3,0)*0.475*44/12</f>
        <v>1.7759795514377106E-12</v>
      </c>
      <c r="AC122" s="24">
        <f t="shared" si="57"/>
        <v>1.0218807953395592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-5.9412741393316544E-14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370.70149842199339</v>
      </c>
      <c r="T123" s="62">
        <f t="shared" si="88"/>
        <v>518.81287201117186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0.99393741125089619</v>
      </c>
      <c r="AB123" s="23">
        <f>EXP(-LN(2)/2)*AB122+(1-EXP(-LN(2)/2))/(LN(2)/2)*V123*Y123*VLOOKUP('Données projet'!$B$9,Paramètres!$A$1:$I$89,3,0)*0.475*44/12</f>
        <v>1.2558071840702481E-12</v>
      </c>
      <c r="AC123" s="24">
        <f t="shared" si="57"/>
        <v>0.99393741125215196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-5.9412741393316544E-14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370.70149842199339</v>
      </c>
      <c r="T124" s="62">
        <f t="shared" si="88"/>
        <v>518.81287201117186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0.96675814047134367</v>
      </c>
      <c r="AB124" s="23">
        <f>EXP(-LN(2)/2)*AB123+(1-EXP(-LN(2)/2))/(LN(2)/2)*V124*Y124*VLOOKUP('Données projet'!$B$9,Paramètres!$A$1:$I$89,3,0)*0.475*44/12</f>
        <v>8.879897757188554E-13</v>
      </c>
      <c r="AC124" s="24">
        <f t="shared" si="57"/>
        <v>0.96675814047223163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-5.9412741393316544E-14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370.70149842199339</v>
      </c>
      <c r="T125" s="62">
        <f t="shared" si="88"/>
        <v>518.81287201117186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0.94032208828055375</v>
      </c>
      <c r="AB125" s="23">
        <f>EXP(-LN(2)/2)*AB124+(1-EXP(-LN(2)/2))/(LN(2)/2)*V125*Y125*VLOOKUP('Données projet'!$B$9,Paramètres!$A$1:$I$89,3,0)*0.475*44/12</f>
        <v>6.2790359203512417E-13</v>
      </c>
      <c r="AC125" s="24">
        <f t="shared" si="57"/>
        <v>0.94032208828118169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-5.9412741393316544E-14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370.70149842199339</v>
      </c>
      <c r="T126" s="62">
        <f t="shared" si="88"/>
        <v>518.81287201117186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0.9146089313271325</v>
      </c>
      <c r="AB126" s="23">
        <f>EXP(-LN(2)/2)*AB125+(1-EXP(-LN(2)/2))/(LN(2)/2)*V126*Y126*VLOOKUP('Données projet'!$B$9,Paramètres!$A$1:$I$89,3,0)*0.475*44/12</f>
        <v>4.439948878594278E-13</v>
      </c>
      <c r="AC126" s="24">
        <f t="shared" si="57"/>
        <v>0.91460893132757648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-5.9412741393316544E-14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370.70149842199339</v>
      </c>
      <c r="T127" s="62">
        <f t="shared" si="88"/>
        <v>518.81287201117186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0.88959890200279879</v>
      </c>
      <c r="AB127" s="23">
        <f>EXP(-LN(2)/2)*AB126+(1-EXP(-LN(2)/2))/(LN(2)/2)*V127*Y127*VLOOKUP('Données projet'!$B$9,Paramètres!$A$1:$I$89,3,0)*0.475*44/12</f>
        <v>3.1395179601756213E-13</v>
      </c>
      <c r="AC127" s="24">
        <f t="shared" si="57"/>
        <v>0.88959890200311276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-5.9412741393316544E-14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370.70149842199339</v>
      </c>
      <c r="T128" s="62">
        <f t="shared" si="88"/>
        <v>518.81287201117186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0.86527277324555918</v>
      </c>
      <c r="AB128" s="23">
        <f>EXP(-LN(2)/2)*AB127+(1-EXP(-LN(2)/2))/(LN(2)/2)*V128*Y128*VLOOKUP('Données projet'!$B$9,Paramètres!$A$1:$I$89,3,0)*0.475*44/12</f>
        <v>2.2199744392971393E-13</v>
      </c>
      <c r="AC128" s="24">
        <f t="shared" si="57"/>
        <v>0.86527277324578122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-5.9412741393316544E-14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370.70149842199339</v>
      </c>
      <c r="T129" s="62">
        <f t="shared" si="88"/>
        <v>518.81287201117186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0.84161184375844178</v>
      </c>
      <c r="AB129" s="23">
        <f>EXP(-LN(2)/2)*AB128+(1-EXP(-LN(2)/2))/(LN(2)/2)*V129*Y129*VLOOKUP('Données projet'!$B$9,Paramètres!$A$1:$I$89,3,0)*0.475*44/12</f>
        <v>1.5697589800878109E-13</v>
      </c>
      <c r="AC129" s="24">
        <f t="shared" si="57"/>
        <v>0.84161184375859877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-5.9412741393316544E-14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370.70149842199339</v>
      </c>
      <c r="T130" s="62">
        <f t="shared" si="88"/>
        <v>518.81287201117186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0.8185979236324239</v>
      </c>
      <c r="AB130" s="23">
        <f>EXP(-LN(2)/2)*AB129+(1-EXP(-LN(2)/2))/(LN(2)/2)*V130*Y130*VLOOKUP('Données projet'!$B$9,Paramètres!$A$1:$I$89,3,0)*0.475*44/12</f>
        <v>1.1099872196485698E-13</v>
      </c>
      <c r="AC130" s="24">
        <f t="shared" si="57"/>
        <v>0.81859792363253492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-5.9412741393316544E-14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370.70149842199339</v>
      </c>
      <c r="T131" s="62">
        <f t="shared" si="88"/>
        <v>518.81287201117186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0.79621332036250136</v>
      </c>
      <c r="AB131" s="23">
        <f>EXP(-LN(2)/2)*AB130+(1-EXP(-LN(2)/2))/(LN(2)/2)*V131*Y131*VLOOKUP('Données projet'!$B$9,Paramètres!$A$1:$I$89,3,0)*0.475*44/12</f>
        <v>7.8487949004390559E-14</v>
      </c>
      <c r="AC131" s="24">
        <f t="shared" si="57"/>
        <v>0.79621332036257986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-5.9412741393316544E-14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370.70149842199339</v>
      </c>
      <c r="T132" s="62">
        <f t="shared" si="88"/>
        <v>518.81287201117186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0.77444082524614999</v>
      </c>
      <c r="AB132" s="23">
        <f>EXP(-LN(2)/2)*AB131+(1-EXP(-LN(2)/2))/(LN(2)/2)*V132*Y132*VLOOKUP('Données projet'!$B$9,Paramètres!$A$1:$I$89,3,0)*0.475*44/12</f>
        <v>5.54993609824285E-14</v>
      </c>
      <c r="AC132" s="24">
        <f t="shared" ref="AC132:AC153" si="111">SUM(Z132:AB132)</f>
        <v>0.7744408252462055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-5.9412741393316544E-14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370.70149842199339</v>
      </c>
      <c r="T133" s="62">
        <f t="shared" ref="T133:T196" si="142">$T$3</f>
        <v>518.81287201117186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0.75326370015372102</v>
      </c>
      <c r="AB133" s="23">
        <f>EXP(-LN(2)/2)*AB132+(1-EXP(-LN(2)/2))/(LN(2)/2)*V133*Y133*VLOOKUP('Données projet'!$B$9,Paramètres!$A$1:$I$89,3,0)*0.475*44/12</f>
        <v>3.9243974502195286E-14</v>
      </c>
      <c r="AC133" s="24">
        <f t="shared" si="111"/>
        <v>0.75326370015376021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-5.9412741393316544E-14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370.70149842199339</v>
      </c>
      <c r="T134" s="62">
        <f t="shared" si="142"/>
        <v>518.81287201117186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0.73266566466060112</v>
      </c>
      <c r="AB134" s="23">
        <f>EXP(-LN(2)/2)*AB133+(1-EXP(-LN(2)/2))/(LN(2)/2)*V134*Y134*VLOOKUP('Données projet'!$B$9,Paramètres!$A$1:$I$89,3,0)*0.475*44/12</f>
        <v>2.7749680491214253E-14</v>
      </c>
      <c r="AC134" s="24">
        <f t="shared" si="111"/>
        <v>0.73266566466062888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-5.9412741393316544E-14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370.70149842199339</v>
      </c>
      <c r="T135" s="62">
        <f t="shared" si="142"/>
        <v>518.81287201117186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0.71263088353124426</v>
      </c>
      <c r="AB135" s="23">
        <f>EXP(-LN(2)/2)*AB134+(1-EXP(-LN(2)/2))/(LN(2)/2)*V135*Y135*VLOOKUP('Données projet'!$B$9,Paramètres!$A$1:$I$89,3,0)*0.475*44/12</f>
        <v>1.9621987251097646E-14</v>
      </c>
      <c r="AC135" s="24">
        <f t="shared" si="111"/>
        <v>0.71263088353126391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-5.9412741393316544E-14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370.70149842199339</v>
      </c>
      <c r="T136" s="62">
        <f t="shared" si="142"/>
        <v>518.81287201117186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0.69314395454545297</v>
      </c>
      <c r="AB136" s="23">
        <f>EXP(-LN(2)/2)*AB135+(1-EXP(-LN(2)/2))/(LN(2)/2)*V136*Y136*VLOOKUP('Données projet'!$B$9,Paramètres!$A$1:$I$89,3,0)*0.475*44/12</f>
        <v>1.387484024560713E-14</v>
      </c>
      <c r="AC136" s="24">
        <f t="shared" si="111"/>
        <v>0.69314395454546684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-5.9412741393316544E-14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370.70149842199339</v>
      </c>
      <c r="T137" s="62">
        <f t="shared" si="142"/>
        <v>518.81287201117186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0.67418989665755114</v>
      </c>
      <c r="AB137" s="23">
        <f>EXP(-LN(2)/2)*AB136+(1-EXP(-LN(2)/2))/(LN(2)/2)*V137*Y137*VLOOKUP('Données projet'!$B$9,Paramètres!$A$1:$I$89,3,0)*0.475*44/12</f>
        <v>9.8109936255488246E-15</v>
      </c>
      <c r="AC137" s="24">
        <f t="shared" si="111"/>
        <v>0.67418989665756091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-5.9412741393316544E-14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370.70149842199339</v>
      </c>
      <c r="T138" s="62">
        <f t="shared" si="142"/>
        <v>518.81287201117186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0.65575413847934461</v>
      </c>
      <c r="AB138" s="23">
        <f>EXP(-LN(2)/2)*AB137+(1-EXP(-LN(2)/2))/(LN(2)/2)*V138*Y138*VLOOKUP('Données projet'!$B$9,Paramètres!$A$1:$I$89,3,0)*0.475*44/12</f>
        <v>6.9374201228035657E-15</v>
      </c>
      <c r="AC138" s="24">
        <f t="shared" si="111"/>
        <v>0.65575413847935149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-5.9412741393316544E-14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370.70149842199339</v>
      </c>
      <c r="T139" s="62">
        <f t="shared" si="142"/>
        <v>518.81287201117186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0.63782250707801558</v>
      </c>
      <c r="AB139" s="23">
        <f>EXP(-LN(2)/2)*AB138+(1-EXP(-LN(2)/2))/(LN(2)/2)*V139*Y139*VLOOKUP('Données projet'!$B$9,Paramètres!$A$1:$I$89,3,0)*0.475*44/12</f>
        <v>4.9054968127744131E-15</v>
      </c>
      <c r="AC139" s="24">
        <f t="shared" si="111"/>
        <v>0.63782250707802046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-5.9412741393316544E-14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370.70149842199339</v>
      </c>
      <c r="T140" s="62">
        <f t="shared" si="142"/>
        <v>518.81287201117186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0.62038121708033933</v>
      </c>
      <c r="AB140" s="23">
        <f>EXP(-LN(2)/2)*AB139+(1-EXP(-LN(2)/2))/(LN(2)/2)*V140*Y140*VLOOKUP('Données projet'!$B$9,Paramètres!$A$1:$I$89,3,0)*0.475*44/12</f>
        <v>3.4687100614017833E-15</v>
      </c>
      <c r="AC140" s="24">
        <f t="shared" si="111"/>
        <v>0.62038121708034277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-5.9412741393316544E-14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370.70149842199339</v>
      </c>
      <c r="T141" s="62">
        <f t="shared" si="142"/>
        <v>518.81287201117186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0.60341686007484718</v>
      </c>
      <c r="AB141" s="23">
        <f>EXP(-LN(2)/2)*AB140+(1-EXP(-LN(2)/2))/(LN(2)/2)*V141*Y141*VLOOKUP('Données projet'!$B$9,Paramètres!$A$1:$I$89,3,0)*0.475*44/12</f>
        <v>2.4527484063872069E-15</v>
      </c>
      <c r="AC141" s="24">
        <f t="shared" si="111"/>
        <v>0.60341686007484963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-5.9412741393316544E-14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370.70149842199339</v>
      </c>
      <c r="T142" s="62">
        <f t="shared" si="142"/>
        <v>518.81287201117186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0.58691639430378695</v>
      </c>
      <c r="AB142" s="23">
        <f>EXP(-LN(2)/2)*AB141+(1-EXP(-LN(2)/2))/(LN(2)/2)*V142*Y142*VLOOKUP('Données projet'!$B$9,Paramètres!$A$1:$I$89,3,0)*0.475*44/12</f>
        <v>1.734355030700892E-15</v>
      </c>
      <c r="AC142" s="24">
        <f t="shared" si="111"/>
        <v>0.58691639430378872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-5.9412741393316544E-14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370.70149842199339</v>
      </c>
      <c r="T143" s="62">
        <f t="shared" si="142"/>
        <v>518.81287201117186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0.57086713463695815</v>
      </c>
      <c r="AB143" s="23">
        <f>EXP(-LN(2)/2)*AB142+(1-EXP(-LN(2)/2))/(LN(2)/2)*V143*Y143*VLOOKUP('Données projet'!$B$9,Paramètres!$A$1:$I$89,3,0)*0.475*44/12</f>
        <v>1.2263742031936037E-15</v>
      </c>
      <c r="AC143" s="24">
        <f t="shared" si="111"/>
        <v>0.57086713463695937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-5.9412741393316544E-14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370.70149842199339</v>
      </c>
      <c r="T144" s="62">
        <f t="shared" si="142"/>
        <v>518.81287201117186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0.5552567428197126</v>
      </c>
      <c r="AB144" s="23">
        <f>EXP(-LN(2)/2)*AB143+(1-EXP(-LN(2)/2))/(LN(2)/2)*V144*Y144*VLOOKUP('Données projet'!$B$9,Paramètres!$A$1:$I$89,3,0)*0.475*44/12</f>
        <v>8.6717751535044611E-16</v>
      </c>
      <c r="AC144" s="24">
        <f t="shared" si="111"/>
        <v>0.55525674281971349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-5.9412741393316544E-14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370.70149842199339</v>
      </c>
      <c r="T145" s="62">
        <f t="shared" si="142"/>
        <v>518.81287201117186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0.54007321798762453</v>
      </c>
      <c r="AB145" s="23">
        <f>EXP(-LN(2)/2)*AB144+(1-EXP(-LN(2)/2))/(LN(2)/2)*V145*Y145*VLOOKUP('Données projet'!$B$9,Paramètres!$A$1:$I$89,3,0)*0.475*44/12</f>
        <v>6.1318710159680193E-16</v>
      </c>
      <c r="AC145" s="24">
        <f t="shared" si="111"/>
        <v>0.5400732179876252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-5.9412741393316544E-14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370.70149842199339</v>
      </c>
      <c r="T146" s="62">
        <f t="shared" si="142"/>
        <v>518.81287201117186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0.52530488744053672</v>
      </c>
      <c r="AB146" s="23">
        <f>EXP(-LN(2)/2)*AB145+(1-EXP(-LN(2)/2))/(LN(2)/2)*V146*Y146*VLOOKUP('Données projet'!$B$9,Paramètres!$A$1:$I$89,3,0)*0.475*44/12</f>
        <v>4.3358875767522315E-16</v>
      </c>
      <c r="AC146" s="24">
        <f t="shared" si="111"/>
        <v>0.52530488744053716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-5.9412741393316544E-14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370.70149842199339</v>
      </c>
      <c r="T147" s="62">
        <f t="shared" si="142"/>
        <v>518.81287201117186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0.51094039766889177</v>
      </c>
      <c r="AB147" s="23">
        <f>EXP(-LN(2)/2)*AB146+(1-EXP(-LN(2)/2))/(LN(2)/2)*V147*Y147*VLOOKUP('Données projet'!$B$9,Paramètres!$A$1:$I$89,3,0)*0.475*44/12</f>
        <v>3.0659355079840101E-16</v>
      </c>
      <c r="AC147" s="24">
        <f t="shared" si="111"/>
        <v>0.5109403976688921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-5.9412741393316544E-14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370.70149842199339</v>
      </c>
      <c r="T148" s="62">
        <f t="shared" si="142"/>
        <v>518.81287201117186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0.4969687056254482</v>
      </c>
      <c r="AB148" s="23">
        <f>EXP(-LN(2)/2)*AB147+(1-EXP(-LN(2)/2))/(LN(2)/2)*V148*Y148*VLOOKUP('Données projet'!$B$9,Paramètres!$A$1:$I$89,3,0)*0.475*44/12</f>
        <v>2.167943788376116E-16</v>
      </c>
      <c r="AC148" s="24">
        <f t="shared" si="111"/>
        <v>0.49696870562544843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-5.9412741393316544E-14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370.70149842199339</v>
      </c>
      <c r="T149" s="62">
        <f t="shared" si="142"/>
        <v>518.81287201117186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0.48337907023567195</v>
      </c>
      <c r="AB149" s="23">
        <f>EXP(-LN(2)/2)*AB148+(1-EXP(-LN(2)/2))/(LN(2)/2)*V149*Y149*VLOOKUP('Données projet'!$B$9,Paramètres!$A$1:$I$89,3,0)*0.475*44/12</f>
        <v>1.5329677539920053E-16</v>
      </c>
      <c r="AC149" s="24">
        <f t="shared" si="111"/>
        <v>0.48337907023567211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-5.9412741393316544E-14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370.70149842199339</v>
      </c>
      <c r="T150" s="62">
        <f t="shared" si="142"/>
        <v>518.81287201117186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0.47016104414027698</v>
      </c>
      <c r="AB150" s="23">
        <f>EXP(-LN(2)/2)*AB149+(1-EXP(-LN(2)/2))/(LN(2)/2)*V150*Y150*VLOOKUP('Données projet'!$B$9,Paramètres!$A$1:$I$89,3,0)*0.475*44/12</f>
        <v>1.0839718941880583E-16</v>
      </c>
      <c r="AC150" s="24">
        <f t="shared" si="111"/>
        <v>0.4701610441402771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-5.9412741393316544E-14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370.70149842199339</v>
      </c>
      <c r="T151" s="62">
        <f t="shared" si="142"/>
        <v>518.81287201117186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0.45730446566356636</v>
      </c>
      <c r="AB151" s="23">
        <f>EXP(-LN(2)/2)*AB150+(1-EXP(-LN(2)/2))/(LN(2)/2)*V151*Y151*VLOOKUP('Données projet'!$B$9,Paramètres!$A$1:$I$89,3,0)*0.475*44/12</f>
        <v>7.6648387699600278E-17</v>
      </c>
      <c r="AC151" s="24">
        <f t="shared" si="111"/>
        <v>0.45730446566356642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-5.9412741393316544E-14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370.70149842199339</v>
      </c>
      <c r="T152" s="62">
        <f t="shared" si="142"/>
        <v>518.81287201117186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0.44479945100139945</v>
      </c>
      <c r="AB152" s="23">
        <f>EXP(-LN(2)/2)*AB151+(1-EXP(-LN(2)/2))/(LN(2)/2)*V152*Y152*VLOOKUP('Données projet'!$B$9,Paramètres!$A$1:$I$89,3,0)*0.475*44/12</f>
        <v>5.4198594709402919E-17</v>
      </c>
      <c r="AC152" s="24">
        <f t="shared" si="111"/>
        <v>0.4447994510013995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-5.9412741393316544E-14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370.70149842199339</v>
      </c>
      <c r="T153" s="62">
        <f t="shared" si="142"/>
        <v>518.81287201117186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0.43263638662277965</v>
      </c>
      <c r="AB153" s="23">
        <f>EXP(-LN(2)/2)*AB152+(1-EXP(-LN(2)/2))/(LN(2)/2)*V153*Y153*VLOOKUP('Données projet'!$B$9,Paramètres!$A$1:$I$89,3,0)*0.475*44/12</f>
        <v>3.8324193849800145E-17</v>
      </c>
      <c r="AC153" s="24">
        <f t="shared" si="111"/>
        <v>0.4326363866227797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-5.9412741393316544E-14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370.70149842199339</v>
      </c>
      <c r="T154" s="62">
        <f t="shared" si="142"/>
        <v>518.81287201117186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0.42080592187922095</v>
      </c>
      <c r="AB154" s="23">
        <f>EXP(-LN(2)/2)*AB153+(1-EXP(-LN(2)/2))/(LN(2)/2)*V154*Y154*VLOOKUP('Données projet'!$B$9,Paramètres!$A$1:$I$89,3,0)*0.475*44/12</f>
        <v>2.7099297354701462E-17</v>
      </c>
      <c r="AC154" s="24">
        <f t="shared" ref="AC154:AC203" si="163">SUM(Z154:AB154)</f>
        <v>0.42080592187922095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-5.9412741393316544E-14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370.70149842199339</v>
      </c>
      <c r="T155" s="62">
        <f t="shared" si="142"/>
        <v>518.81287201117186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0.409298961816212</v>
      </c>
      <c r="AB155" s="23">
        <f>EXP(-LN(2)/2)*AB154+(1-EXP(-LN(2)/2))/(LN(2)/2)*V155*Y155*VLOOKUP('Données projet'!$B$9,Paramètres!$A$1:$I$89,3,0)*0.475*44/12</f>
        <v>1.9162096924900076E-17</v>
      </c>
      <c r="AC155" s="24">
        <f t="shared" si="163"/>
        <v>0.409298961816212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-5.9412741393316544E-14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370.70149842199339</v>
      </c>
      <c r="T156" s="62">
        <f t="shared" si="142"/>
        <v>518.81287201117186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0.39810666018125074</v>
      </c>
      <c r="AB156" s="23">
        <f>EXP(-LN(2)/2)*AB155+(1-EXP(-LN(2)/2))/(LN(2)/2)*V156*Y156*VLOOKUP('Données projet'!$B$9,Paramètres!$A$1:$I$89,3,0)*0.475*44/12</f>
        <v>1.3549648677350734E-17</v>
      </c>
      <c r="AC156" s="24">
        <f t="shared" si="163"/>
        <v>0.39810666018125074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-5.9412741393316544E-14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370.70149842199339</v>
      </c>
      <c r="T157" s="62">
        <f t="shared" si="142"/>
        <v>518.81287201117186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0.38722041262307505</v>
      </c>
      <c r="AB157" s="23">
        <f>EXP(-LN(2)/2)*AB156+(1-EXP(-LN(2)/2))/(LN(2)/2)*V157*Y157*VLOOKUP('Données projet'!$B$9,Paramètres!$A$1:$I$89,3,0)*0.475*44/12</f>
        <v>9.5810484624500394E-18</v>
      </c>
      <c r="AC157" s="24">
        <f t="shared" si="163"/>
        <v>0.38722041262307505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-5.9412741393316544E-14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370.70149842199339</v>
      </c>
      <c r="T158" s="62">
        <f t="shared" si="142"/>
        <v>518.81287201117186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0.37663185007686056</v>
      </c>
      <c r="AB158" s="23">
        <f>EXP(-LN(2)/2)*AB157+(1-EXP(-LN(2)/2))/(LN(2)/2)*V158*Y158*VLOOKUP('Données projet'!$B$9,Paramètres!$A$1:$I$89,3,0)*0.475*44/12</f>
        <v>6.7748243386753679E-18</v>
      </c>
      <c r="AC158" s="24">
        <f t="shared" si="163"/>
        <v>0.37663185007686056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-5.9412741393316544E-14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370.70149842199339</v>
      </c>
      <c r="T159" s="62">
        <f t="shared" si="142"/>
        <v>518.81287201117186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0.36633283233030062</v>
      </c>
      <c r="AB159" s="23">
        <f>EXP(-LN(2)/2)*AB158+(1-EXP(-LN(2)/2))/(LN(2)/2)*V159*Y159*VLOOKUP('Données projet'!$B$9,Paramètres!$A$1:$I$89,3,0)*0.475*44/12</f>
        <v>4.7905242312250205E-18</v>
      </c>
      <c r="AC159" s="24">
        <f t="shared" si="163"/>
        <v>0.36633283233030062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-5.9412741393316544E-14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370.70149842199339</v>
      </c>
      <c r="T160" s="62">
        <f t="shared" si="142"/>
        <v>518.81287201117186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0.35631544176562219</v>
      </c>
      <c r="AB160" s="23">
        <f>EXP(-LN(2)/2)*AB159+(1-EXP(-LN(2)/2))/(LN(2)/2)*V160*Y160*VLOOKUP('Données projet'!$B$9,Paramètres!$A$1:$I$89,3,0)*0.475*44/12</f>
        <v>3.3874121693376847E-18</v>
      </c>
      <c r="AC160" s="24">
        <f t="shared" si="163"/>
        <v>0.35631544176562219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-5.9412741393316544E-14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370.70149842199339</v>
      </c>
      <c r="T161" s="62">
        <f t="shared" si="142"/>
        <v>518.81287201117186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0.34657197727272654</v>
      </c>
      <c r="AB161" s="23">
        <f>EXP(-LN(2)/2)*AB160+(1-EXP(-LN(2)/2))/(LN(2)/2)*V161*Y161*VLOOKUP('Données projet'!$B$9,Paramètres!$A$1:$I$89,3,0)*0.475*44/12</f>
        <v>2.3952621156125106E-18</v>
      </c>
      <c r="AC161" s="24">
        <f t="shared" si="163"/>
        <v>0.34657197727272654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-5.9412741393316544E-14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370.70149842199339</v>
      </c>
      <c r="T162" s="62">
        <f t="shared" si="142"/>
        <v>518.81287201117186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0.33709494832877562</v>
      </c>
      <c r="AB162" s="23">
        <f>EXP(-LN(2)/2)*AB161+(1-EXP(-LN(2)/2))/(LN(2)/2)*V162*Y162*VLOOKUP('Données projet'!$B$9,Paramètres!$A$1:$I$89,3,0)*0.475*44/12</f>
        <v>1.6937060846688426E-18</v>
      </c>
      <c r="AC162" s="24">
        <f t="shared" si="163"/>
        <v>0.33709494832877562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-5.9412741393316544E-14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370.70149842199339</v>
      </c>
      <c r="T163" s="62">
        <f t="shared" si="142"/>
        <v>518.81287201117186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0.32787706923967236</v>
      </c>
      <c r="AB163" s="23">
        <f>EXP(-LN(2)/2)*AB162+(1-EXP(-LN(2)/2))/(LN(2)/2)*V163*Y163*VLOOKUP('Données projet'!$B$9,Paramètres!$A$1:$I$89,3,0)*0.475*44/12</f>
        <v>1.1976310578062555E-18</v>
      </c>
      <c r="AC163" s="24">
        <f t="shared" si="163"/>
        <v>0.32787706923967236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-5.9412741393316544E-14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370.70149842199339</v>
      </c>
      <c r="T164" s="62">
        <f t="shared" si="142"/>
        <v>518.81287201117186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0.31891125353900784</v>
      </c>
      <c r="AB164" s="23">
        <f>EXP(-LN(2)/2)*AB163+(1-EXP(-LN(2)/2))/(LN(2)/2)*V164*Y164*VLOOKUP('Données projet'!$B$9,Paramètres!$A$1:$I$89,3,0)*0.475*44/12</f>
        <v>8.4685304233442138E-19</v>
      </c>
      <c r="AC164" s="24">
        <f t="shared" si="163"/>
        <v>0.31891125353900784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-5.9412741393316544E-14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370.70149842199339</v>
      </c>
      <c r="T165" s="62">
        <f t="shared" si="142"/>
        <v>518.81287201117186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0.31019060854016972</v>
      </c>
      <c r="AB165" s="23">
        <f>EXP(-LN(2)/2)*AB164+(1-EXP(-LN(2)/2))/(LN(2)/2)*V165*Y165*VLOOKUP('Données projet'!$B$9,Paramètres!$A$1:$I$89,3,0)*0.475*44/12</f>
        <v>5.9881552890312785E-19</v>
      </c>
      <c r="AC165" s="24">
        <f t="shared" si="163"/>
        <v>0.31019060854016972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-5.9412741393316544E-14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370.70149842199339</v>
      </c>
      <c r="T166" s="62">
        <f t="shared" si="142"/>
        <v>518.81287201117186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0.30170843003742365</v>
      </c>
      <c r="AB166" s="23">
        <f>EXP(-LN(2)/2)*AB165+(1-EXP(-LN(2)/2))/(LN(2)/2)*V166*Y166*VLOOKUP('Données projet'!$B$9,Paramètres!$A$1:$I$89,3,0)*0.475*44/12</f>
        <v>4.2342652116721078E-19</v>
      </c>
      <c r="AC166" s="24">
        <f t="shared" si="163"/>
        <v>0.30170843003742365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-5.9412741393316544E-14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370.70149842199339</v>
      </c>
      <c r="T167" s="62">
        <f t="shared" si="142"/>
        <v>518.81287201117186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0.29345819715189353</v>
      </c>
      <c r="AB167" s="23">
        <f>EXP(-LN(2)/2)*AB166+(1-EXP(-LN(2)/2))/(LN(2)/2)*V167*Y167*VLOOKUP('Données projet'!$B$9,Paramètres!$A$1:$I$89,3,0)*0.475*44/12</f>
        <v>2.9940776445156397E-19</v>
      </c>
      <c r="AC167" s="24">
        <f t="shared" si="163"/>
        <v>0.29345819715189353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-5.9412741393316544E-14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370.70149842199339</v>
      </c>
      <c r="T168" s="62">
        <f t="shared" si="142"/>
        <v>518.81287201117186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0.28543356731847913</v>
      </c>
      <c r="AB168" s="23">
        <f>EXP(-LN(2)/2)*AB167+(1-EXP(-LN(2)/2))/(LN(2)/2)*V168*Y168*VLOOKUP('Données projet'!$B$9,Paramètres!$A$1:$I$89,3,0)*0.475*44/12</f>
        <v>2.1171326058360542E-19</v>
      </c>
      <c r="AC168" s="24">
        <f t="shared" si="163"/>
        <v>0.28543356731847913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-5.9412741393316544E-14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370.70149842199339</v>
      </c>
      <c r="T169" s="62">
        <f t="shared" si="142"/>
        <v>518.81287201117186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0.27762837140985636</v>
      </c>
      <c r="AB169" s="23">
        <f>EXP(-LN(2)/2)*AB168+(1-EXP(-LN(2)/2))/(LN(2)/2)*V169*Y169*VLOOKUP('Données projet'!$B$9,Paramètres!$A$1:$I$89,3,0)*0.475*44/12</f>
        <v>1.4970388222578201E-19</v>
      </c>
      <c r="AC169" s="24">
        <f t="shared" si="163"/>
        <v>0.27762837140985636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-5.9412741393316544E-14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370.70149842199339</v>
      </c>
      <c r="T170" s="62">
        <f t="shared" si="142"/>
        <v>518.81287201117186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0.27003660899381232</v>
      </c>
      <c r="AB170" s="23">
        <f>EXP(-LN(2)/2)*AB169+(1-EXP(-LN(2)/2))/(LN(2)/2)*V170*Y170*VLOOKUP('Données projet'!$B$9,Paramètres!$A$1:$I$89,3,0)*0.475*44/12</f>
        <v>1.0585663029180273E-19</v>
      </c>
      <c r="AC170" s="24">
        <f t="shared" si="163"/>
        <v>0.27003660899381232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-5.9412741393316544E-14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370.70149842199339</v>
      </c>
      <c r="T171" s="62">
        <f t="shared" si="142"/>
        <v>518.81287201117186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0.26265244372026841</v>
      </c>
      <c r="AB171" s="23">
        <f>EXP(-LN(2)/2)*AB170+(1-EXP(-LN(2)/2))/(LN(2)/2)*V171*Y171*VLOOKUP('Données projet'!$B$9,Paramètres!$A$1:$I$89,3,0)*0.475*44/12</f>
        <v>7.4851941112891017E-20</v>
      </c>
      <c r="AC171" s="24">
        <f t="shared" si="163"/>
        <v>0.26265244372026841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-5.9412741393316544E-14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370.70149842199339</v>
      </c>
      <c r="T172" s="62">
        <f t="shared" si="142"/>
        <v>518.81287201117186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0.25547019883444594</v>
      </c>
      <c r="AB172" s="23">
        <f>EXP(-LN(2)/2)*AB171+(1-EXP(-LN(2)/2))/(LN(2)/2)*V172*Y172*VLOOKUP('Données projet'!$B$9,Paramètres!$A$1:$I$89,3,0)*0.475*44/12</f>
        <v>5.2928315145901372E-20</v>
      </c>
      <c r="AC172" s="24">
        <f t="shared" si="163"/>
        <v>0.25547019883444594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-5.9412741393316544E-14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370.70149842199339</v>
      </c>
      <c r="T173" s="62">
        <f t="shared" si="142"/>
        <v>518.81287201117186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0.24848435281272413</v>
      </c>
      <c r="AB173" s="23">
        <f>EXP(-LN(2)/2)*AB172+(1-EXP(-LN(2)/2))/(LN(2)/2)*V173*Y173*VLOOKUP('Données projet'!$B$9,Paramètres!$A$1:$I$89,3,0)*0.475*44/12</f>
        <v>3.7425970556445515E-20</v>
      </c>
      <c r="AC173" s="24">
        <f t="shared" si="163"/>
        <v>0.24848435281272413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-5.9412741393316544E-14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370.70149842199339</v>
      </c>
      <c r="T174" s="62">
        <f t="shared" si="142"/>
        <v>518.81287201117186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0.241689535117836</v>
      </c>
      <c r="AB174" s="23">
        <f>EXP(-LN(2)/2)*AB173+(1-EXP(-LN(2)/2))/(LN(2)/2)*V174*Y174*VLOOKUP('Données projet'!$B$9,Paramètres!$A$1:$I$89,3,0)*0.475*44/12</f>
        <v>2.6464157572950692E-20</v>
      </c>
      <c r="AC174" s="24">
        <f t="shared" si="163"/>
        <v>0.241689535117836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-5.9412741393316544E-14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370.70149842199339</v>
      </c>
      <c r="T175" s="62">
        <f t="shared" si="142"/>
        <v>518.81287201117186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0.23508052207013852</v>
      </c>
      <c r="AB175" s="23">
        <f>EXP(-LN(2)/2)*AB174+(1-EXP(-LN(2)/2))/(LN(2)/2)*V175*Y175*VLOOKUP('Données projet'!$B$9,Paramètres!$A$1:$I$89,3,0)*0.475*44/12</f>
        <v>1.871298527822276E-20</v>
      </c>
      <c r="AC175" s="24">
        <f t="shared" si="163"/>
        <v>0.23508052207013852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-5.9412741393316544E-14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370.70149842199339</v>
      </c>
      <c r="T176" s="62">
        <f t="shared" si="142"/>
        <v>518.81287201117186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0.22865223283178321</v>
      </c>
      <c r="AB176" s="23">
        <f>EXP(-LN(2)/2)*AB175+(1-EXP(-LN(2)/2))/(LN(2)/2)*V176*Y176*VLOOKUP('Données projet'!$B$9,Paramètres!$A$1:$I$89,3,0)*0.475*44/12</f>
        <v>1.3232078786475348E-20</v>
      </c>
      <c r="AC176" s="24">
        <f t="shared" si="163"/>
        <v>0.22865223283178321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-5.9412741393316544E-14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370.70149842199339</v>
      </c>
      <c r="T177" s="62">
        <f t="shared" si="142"/>
        <v>518.81287201117186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0.22239972550069975</v>
      </c>
      <c r="AB177" s="23">
        <f>EXP(-LN(2)/2)*AB176+(1-EXP(-LN(2)/2))/(LN(2)/2)*V177*Y177*VLOOKUP('Données projet'!$B$9,Paramètres!$A$1:$I$89,3,0)*0.475*44/12</f>
        <v>9.3564926391113817E-21</v>
      </c>
      <c r="AC177" s="24">
        <f t="shared" si="163"/>
        <v>0.22239972550069975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-5.9412741393316544E-14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370.70149842199339</v>
      </c>
      <c r="T178" s="62">
        <f t="shared" si="142"/>
        <v>518.81287201117186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0.21631819331138985</v>
      </c>
      <c r="AB178" s="23">
        <f>EXP(-LN(2)/2)*AB177+(1-EXP(-LN(2)/2))/(LN(2)/2)*V178*Y178*VLOOKUP('Données projet'!$B$9,Paramètres!$A$1:$I$89,3,0)*0.475*44/12</f>
        <v>6.6160393932376745E-21</v>
      </c>
      <c r="AC178" s="24">
        <f t="shared" si="163"/>
        <v>0.21631819331138985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-5.9412741393316544E-14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370.70149842199339</v>
      </c>
      <c r="T179" s="62">
        <f t="shared" si="142"/>
        <v>518.81287201117186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0.2104029609396105</v>
      </c>
      <c r="AB179" s="23">
        <f>EXP(-LN(2)/2)*AB178+(1-EXP(-LN(2)/2))/(LN(2)/2)*V179*Y179*VLOOKUP('Données projet'!$B$9,Paramètres!$A$1:$I$89,3,0)*0.475*44/12</f>
        <v>4.6782463195556916E-21</v>
      </c>
      <c r="AC179" s="24">
        <f t="shared" si="163"/>
        <v>0.2104029609396105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-5.9412741393316544E-14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370.70149842199339</v>
      </c>
      <c r="T180" s="62">
        <f t="shared" si="142"/>
        <v>518.81287201117186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0.20464948090810603</v>
      </c>
      <c r="AB180" s="23">
        <f>EXP(-LN(2)/2)*AB179+(1-EXP(-LN(2)/2))/(LN(2)/2)*V180*Y180*VLOOKUP('Données projet'!$B$9,Paramètres!$A$1:$I$89,3,0)*0.475*44/12</f>
        <v>3.308019696618838E-21</v>
      </c>
      <c r="AC180" s="24">
        <f t="shared" si="163"/>
        <v>0.20464948090810603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-5.9412741393316544E-14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370.70149842199339</v>
      </c>
      <c r="T181" s="62">
        <f t="shared" si="142"/>
        <v>518.81287201117186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0.1990533300906254</v>
      </c>
      <c r="AB181" s="23">
        <f>EXP(-LN(2)/2)*AB180+(1-EXP(-LN(2)/2))/(LN(2)/2)*V181*Y181*VLOOKUP('Données projet'!$B$9,Paramètres!$A$1:$I$89,3,0)*0.475*44/12</f>
        <v>2.3391231597778462E-21</v>
      </c>
      <c r="AC181" s="24">
        <f t="shared" si="163"/>
        <v>0.1990533300906254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-5.9412741393316544E-14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370.70149842199339</v>
      </c>
      <c r="T182" s="62">
        <f t="shared" si="142"/>
        <v>518.81287201117186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0.19361020631153755</v>
      </c>
      <c r="AB182" s="23">
        <f>EXP(-LN(2)/2)*AB181+(1-EXP(-LN(2)/2))/(LN(2)/2)*V182*Y182*VLOOKUP('Données projet'!$B$9,Paramètres!$A$1:$I$89,3,0)*0.475*44/12</f>
        <v>1.6540098483094192E-21</v>
      </c>
      <c r="AC182" s="24">
        <f t="shared" si="163"/>
        <v>0.19361020631153755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-5.9412741393316544E-14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370.70149842199339</v>
      </c>
      <c r="T183" s="62">
        <f t="shared" si="142"/>
        <v>518.81287201117186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0.18831592503843031</v>
      </c>
      <c r="AB183" s="23">
        <f>EXP(-LN(2)/2)*AB182+(1-EXP(-LN(2)/2))/(LN(2)/2)*V183*Y183*VLOOKUP('Données projet'!$B$9,Paramètres!$A$1:$I$89,3,0)*0.475*44/12</f>
        <v>1.1695615798889233E-21</v>
      </c>
      <c r="AC183" s="24">
        <f t="shared" si="163"/>
        <v>0.18831592503843031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-5.9412741393316544E-14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370.70149842199339</v>
      </c>
      <c r="T184" s="62">
        <f t="shared" si="142"/>
        <v>518.81287201117186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0.18316641616515034</v>
      </c>
      <c r="AB184" s="23">
        <f>EXP(-LN(2)/2)*AB183+(1-EXP(-LN(2)/2))/(LN(2)/2)*V184*Y184*VLOOKUP('Données projet'!$B$9,Paramètres!$A$1:$I$89,3,0)*0.475*44/12</f>
        <v>8.2700492415470979E-22</v>
      </c>
      <c r="AC184" s="24">
        <f t="shared" si="163"/>
        <v>0.18316641616515034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-5.9412741393316544E-14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370.70149842199339</v>
      </c>
      <c r="T185" s="62">
        <f t="shared" si="142"/>
        <v>518.81287201117186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0.17815772088281109</v>
      </c>
      <c r="AB185" s="23">
        <f>EXP(-LN(2)/2)*AB184+(1-EXP(-LN(2)/2))/(LN(2)/2)*V185*Y185*VLOOKUP('Données projet'!$B$9,Paramètres!$A$1:$I$89,3,0)*0.475*44/12</f>
        <v>5.8478078994446173E-22</v>
      </c>
      <c r="AC185" s="24">
        <f t="shared" si="163"/>
        <v>0.17815772088281109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-5.9412741393316544E-14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370.70149842199339</v>
      </c>
      <c r="T186" s="62">
        <f t="shared" si="142"/>
        <v>518.81287201117186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0.17328598863636327</v>
      </c>
      <c r="AB186" s="23">
        <f>EXP(-LN(2)/2)*AB185+(1-EXP(-LN(2)/2))/(LN(2)/2)*V186*Y186*VLOOKUP('Données projet'!$B$9,Paramètres!$A$1:$I$89,3,0)*0.475*44/12</f>
        <v>4.1350246207735494E-22</v>
      </c>
      <c r="AC186" s="24">
        <f t="shared" si="163"/>
        <v>0.17328598863636327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-5.9412741393316544E-14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370.70149842199339</v>
      </c>
      <c r="T187" s="62">
        <f t="shared" si="142"/>
        <v>518.81287201117186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0.16854747416438781</v>
      </c>
      <c r="AB187" s="23">
        <f>EXP(-LN(2)/2)*AB186+(1-EXP(-LN(2)/2))/(LN(2)/2)*V187*Y187*VLOOKUP('Données projet'!$B$9,Paramètres!$A$1:$I$89,3,0)*0.475*44/12</f>
        <v>2.9239039497223091E-22</v>
      </c>
      <c r="AC187" s="24">
        <f t="shared" si="163"/>
        <v>0.16854747416438781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-5.9412741393316544E-14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370.70149842199339</v>
      </c>
      <c r="T188" s="62">
        <f t="shared" si="142"/>
        <v>518.81287201117186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0.16393853461983618</v>
      </c>
      <c r="AB188" s="23">
        <f>EXP(-LN(2)/2)*AB187+(1-EXP(-LN(2)/2))/(LN(2)/2)*V188*Y188*VLOOKUP('Données projet'!$B$9,Paramètres!$A$1:$I$89,3,0)*0.475*44/12</f>
        <v>2.0675123103867749E-22</v>
      </c>
      <c r="AC188" s="24">
        <f t="shared" si="163"/>
        <v>0.16393853461983618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-5.9412741393316544E-14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370.70149842199339</v>
      </c>
      <c r="T189" s="62">
        <f t="shared" si="142"/>
        <v>518.81287201117186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0.15945562676950392</v>
      </c>
      <c r="AB189" s="23">
        <f>EXP(-LN(2)/2)*AB188+(1-EXP(-LN(2)/2))/(LN(2)/2)*V189*Y189*VLOOKUP('Données projet'!$B$9,Paramètres!$A$1:$I$89,3,0)*0.475*44/12</f>
        <v>1.4619519748611548E-22</v>
      </c>
      <c r="AC189" s="24">
        <f t="shared" si="163"/>
        <v>0.15945562676950392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-5.9412741393316544E-14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370.70149842199339</v>
      </c>
      <c r="T190" s="62">
        <f t="shared" si="142"/>
        <v>518.81287201117186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0.15509530427008486</v>
      </c>
      <c r="AB190" s="23">
        <f>EXP(-LN(2)/2)*AB189+(1-EXP(-LN(2)/2))/(LN(2)/2)*V190*Y190*VLOOKUP('Données projet'!$B$9,Paramètres!$A$1:$I$89,3,0)*0.475*44/12</f>
        <v>1.0337561551933877E-22</v>
      </c>
      <c r="AC190" s="24">
        <f t="shared" si="163"/>
        <v>0.15509530427008486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-5.9412741393316544E-14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370.70149842199339</v>
      </c>
      <c r="T191" s="62">
        <f t="shared" si="142"/>
        <v>518.81287201117186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0.15085421501871182</v>
      </c>
      <c r="AB191" s="23">
        <f>EXP(-LN(2)/2)*AB190+(1-EXP(-LN(2)/2))/(LN(2)/2)*V191*Y191*VLOOKUP('Données projet'!$B$9,Paramètres!$A$1:$I$89,3,0)*0.475*44/12</f>
        <v>7.3097598743057751E-23</v>
      </c>
      <c r="AC191" s="24">
        <f t="shared" si="163"/>
        <v>0.15085421501871182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-5.9412741393316544E-14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370.70149842199339</v>
      </c>
      <c r="T192" s="62">
        <f t="shared" si="142"/>
        <v>518.81287201117186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0.14672909857594676</v>
      </c>
      <c r="AB192" s="23">
        <f>EXP(-LN(2)/2)*AB191+(1-EXP(-LN(2)/2))/(LN(2)/2)*V192*Y192*VLOOKUP('Données projet'!$B$9,Paramètres!$A$1:$I$89,3,0)*0.475*44/12</f>
        <v>5.1687807759669391E-23</v>
      </c>
      <c r="AC192" s="24">
        <f t="shared" si="163"/>
        <v>0.14672909857594676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-5.9412741393316544E-14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370.70149842199339</v>
      </c>
      <c r="T193" s="62">
        <f t="shared" si="142"/>
        <v>518.81287201117186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0.14271678365923957</v>
      </c>
      <c r="AB193" s="23">
        <f>EXP(-LN(2)/2)*AB192+(1-EXP(-LN(2)/2))/(LN(2)/2)*V193*Y193*VLOOKUP('Données projet'!$B$9,Paramètres!$A$1:$I$89,3,0)*0.475*44/12</f>
        <v>3.6548799371528882E-23</v>
      </c>
      <c r="AC193" s="24">
        <f t="shared" si="163"/>
        <v>0.14271678365923957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-5.9412741393316544E-14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370.70149842199339</v>
      </c>
      <c r="T194" s="62">
        <f t="shared" si="142"/>
        <v>518.81287201117186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0.13881418570492818</v>
      </c>
      <c r="AB194" s="23">
        <f>EXP(-LN(2)/2)*AB193+(1-EXP(-LN(2)/2))/(LN(2)/2)*V194*Y194*VLOOKUP('Données projet'!$B$9,Paramètres!$A$1:$I$89,3,0)*0.475*44/12</f>
        <v>2.5843903879834701E-23</v>
      </c>
      <c r="AC194" s="24">
        <f t="shared" si="163"/>
        <v>0.13881418570492818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-5.9412741393316544E-14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370.70149842199339</v>
      </c>
      <c r="T195" s="62">
        <f t="shared" si="142"/>
        <v>518.81287201117186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0.13501830449690616</v>
      </c>
      <c r="AB195" s="23">
        <f>EXP(-LN(2)/2)*AB194+(1-EXP(-LN(2)/2))/(LN(2)/2)*V195*Y195*VLOOKUP('Données projet'!$B$9,Paramètres!$A$1:$I$89,3,0)*0.475*44/12</f>
        <v>1.8274399685764444E-23</v>
      </c>
      <c r="AC195" s="24">
        <f t="shared" si="163"/>
        <v>0.13501830449690616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-5.9412741393316544E-14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370.70149842199339</v>
      </c>
      <c r="T196" s="62">
        <f t="shared" si="142"/>
        <v>518.81287201117186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0.13132622186013421</v>
      </c>
      <c r="AB196" s="23">
        <f>EXP(-LN(2)/2)*AB195+(1-EXP(-LN(2)/2))/(LN(2)/2)*V196*Y196*VLOOKUP('Données projet'!$B$9,Paramètres!$A$1:$I$89,3,0)*0.475*44/12</f>
        <v>1.2921951939917352E-23</v>
      </c>
      <c r="AC196" s="24">
        <f t="shared" si="163"/>
        <v>0.13132622186013421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-5.9412741393316544E-14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370.70149842199339</v>
      </c>
      <c r="T197" s="62">
        <f t="shared" ref="T197:T203" si="204">$T$3</f>
        <v>518.81287201117186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0.12773509941722297</v>
      </c>
      <c r="AB197" s="23">
        <f>EXP(-LN(2)/2)*AB196+(1-EXP(-LN(2)/2))/(LN(2)/2)*V197*Y197*VLOOKUP('Données projet'!$B$9,Paramètres!$A$1:$I$89,3,0)*0.475*44/12</f>
        <v>9.1371998428822233E-24</v>
      </c>
      <c r="AC197" s="24">
        <f t="shared" si="163"/>
        <v>0.12773509941722297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-5.9412741393316544E-14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370.70149842199339</v>
      </c>
      <c r="T198" s="62">
        <f t="shared" si="204"/>
        <v>518.81287201117186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0.12424217640636206</v>
      </c>
      <c r="AB198" s="23">
        <f>EXP(-LN(2)/2)*AB197+(1-EXP(-LN(2)/2))/(LN(2)/2)*V198*Y198*VLOOKUP('Données projet'!$B$9,Paramètres!$A$1:$I$89,3,0)*0.475*44/12</f>
        <v>6.4609759699586768E-24</v>
      </c>
      <c r="AC198" s="24">
        <f t="shared" si="163"/>
        <v>0.12424217640636206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-5.9412741393316544E-14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370.70149842199339</v>
      </c>
      <c r="T199" s="62">
        <f t="shared" si="204"/>
        <v>518.81287201117186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0.120844767558918</v>
      </c>
      <c r="AB199" s="23">
        <f>EXP(-LN(2)/2)*AB198+(1-EXP(-LN(2)/2))/(LN(2)/2)*V199*Y199*VLOOKUP('Données projet'!$B$9,Paramètres!$A$1:$I$89,3,0)*0.475*44/12</f>
        <v>4.5685999214411124E-24</v>
      </c>
      <c r="AC199" s="24">
        <f t="shared" si="163"/>
        <v>0.120844767558918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-5.9412741393316544E-14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370.70149842199339</v>
      </c>
      <c r="T200" s="62">
        <f t="shared" si="204"/>
        <v>518.81287201117186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0.11754026103506926</v>
      </c>
      <c r="AB200" s="23">
        <f>EXP(-LN(2)/2)*AB199+(1-EXP(-LN(2)/2))/(LN(2)/2)*V200*Y200*VLOOKUP('Données projet'!$B$9,Paramètres!$A$1:$I$89,3,0)*0.475*44/12</f>
        <v>3.2304879849793391E-24</v>
      </c>
      <c r="AC200" s="24">
        <f t="shared" si="163"/>
        <v>0.11754026103506926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-5.9412741393316544E-14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370.70149842199339</v>
      </c>
      <c r="T201" s="62">
        <f t="shared" si="204"/>
        <v>518.81287201117186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0.1143261164158916</v>
      </c>
      <c r="AB201" s="23">
        <f>EXP(-LN(2)/2)*AB200+(1-EXP(-LN(2)/2))/(LN(2)/2)*V201*Y201*VLOOKUP('Données projet'!$B$9,Paramètres!$A$1:$I$89,3,0)*0.475*44/12</f>
        <v>2.2842999607205566E-24</v>
      </c>
      <c r="AC201" s="24">
        <f t="shared" si="163"/>
        <v>0.1143261164158916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-5.9412741393316544E-14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370.70149842199339</v>
      </c>
      <c r="T202" s="62">
        <f t="shared" si="204"/>
        <v>518.81287201117186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0.11119986275034988</v>
      </c>
      <c r="AB202" s="23">
        <f>EXP(-LN(2)/2)*AB201+(1-EXP(-LN(2)/2))/(LN(2)/2)*V202*Y202*VLOOKUP('Données projet'!$B$9,Paramètres!$A$1:$I$89,3,0)*0.475*44/12</f>
        <v>1.6152439924896698E-24</v>
      </c>
      <c r="AC202" s="24">
        <f t="shared" si="163"/>
        <v>0.11119986275034988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-5.9412741393316544E-14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370.70149842199339</v>
      </c>
      <c r="T203" s="62">
        <f t="shared" si="204"/>
        <v>518.81287201117186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0.10815909665569493</v>
      </c>
      <c r="AB203" s="23">
        <f>EXP(-LN(2)/2)*AB202+(1-EXP(-LN(2)/2))/(LN(2)/2)*V203*Y203*VLOOKUP('Données projet'!$B$9,Paramètres!$A$1:$I$89,3,0)*0.475*44/12</f>
        <v>1.1421499803602785E-24</v>
      </c>
      <c r="AC203" s="24">
        <f t="shared" si="163"/>
        <v>0.10815909665569493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1.3655017210306359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N14" sqref="N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chevelu</v>
      </c>
      <c r="B6" s="155">
        <f>'Données projet'!D9</f>
        <v>1.37</v>
      </c>
      <c r="C6" s="156">
        <f ca="1">IF(OR('Données projet'!B9="",'Données projet'!C9="",'Données projet'!C9=0%),0,Calculateur!S3)</f>
        <v>370.70149842199339</v>
      </c>
      <c r="D6" s="156">
        <f>IF(OR('Données projet'!B9="",'Données projet'!C9="",'Données projet'!C9=0%),0,Calculateur!T3)</f>
        <v>518.81287201117186</v>
      </c>
      <c r="E6" s="156">
        <f ca="1">MIN(C6,D6)</f>
        <v>370.70149842199339</v>
      </c>
      <c r="F6" s="156">
        <f ca="1">E6*B6</f>
        <v>507.861052838131</v>
      </c>
      <c r="G6" s="156">
        <f ca="1">F6*(100%-'Données projet'!$C$24)*(100%-'Données projet'!$C$25)*(100%-'Données projet'!$C$26)*(100%-'Données projet'!$C$27)</f>
        <v>434.221200176602</v>
      </c>
      <c r="H6" s="157">
        <f>IF(OR('Données projet'!B9="",'Données projet'!C9="",'Données projet'!C9=0%),0,AVERAGE(Calculateur!$AC$3:$AC$33)*B6)</f>
        <v>20.896646186763849</v>
      </c>
      <c r="I6" s="158">
        <f>H6*(100%-'Données projet'!$C$24)*(100%-'Données projet'!$C$25)*(100%-'Données projet'!$C$26)*(100%-'Données projet'!$C$27)</f>
        <v>17.866632489683091</v>
      </c>
      <c r="J6" s="159">
        <f>IF(OR('Données projet'!B9="",'Données projet'!C9="",'Données projet'!C9=0%),0,SUM(Calculateur!$V$3:$V$33)*VLOOKUP('Données projet'!$B$9,Paramètres!$A$1:$I$89,9,0)*B6)</f>
        <v>64.047499999999999</v>
      </c>
      <c r="K6" s="160">
        <f>J6*(100%-'Données projet'!$C$24)*(100%-'Données projet'!$C$25)*(100%-'Données projet'!$C$26)*(100%-'Données projet'!$C$27)</f>
        <v>54.760612499999993</v>
      </c>
      <c r="L6" s="161">
        <f ca="1">G6+I6+K6</f>
        <v>506.84844516628505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507.861052838131</v>
      </c>
      <c r="G16" s="175">
        <f t="shared" ca="1" si="3"/>
        <v>434.221200176602</v>
      </c>
      <c r="H16" s="176">
        <f t="shared" si="3"/>
        <v>20.896646186763849</v>
      </c>
      <c r="I16" s="176">
        <f t="shared" si="3"/>
        <v>17.866632489683091</v>
      </c>
      <c r="J16" s="177">
        <f t="shared" si="3"/>
        <v>64.047499999999999</v>
      </c>
      <c r="K16" s="177">
        <f t="shared" si="3"/>
        <v>54.760612499999993</v>
      </c>
      <c r="L16" s="178">
        <f t="shared" ca="1" si="3"/>
        <v>506.84844516628505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chevelu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F36" sqref="F3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chevelu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5036.6260006787752</v>
      </c>
      <c r="U10" s="190">
        <f>'Données projet'!D9</f>
        <v>1.37</v>
      </c>
      <c r="V10" s="189">
        <f>U10*T10</f>
        <v>6900.1776209299223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chevelu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8951/1.37</f>
        <v>6533.5766423357663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5202/1.37</f>
        <v>3797.0802919708026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2500/1.37</f>
        <v>1824.817518248175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34</v>
      </c>
      <c r="C23" s="206">
        <v>20</v>
      </c>
      <c r="D23" s="194">
        <f>B23*C23</f>
        <v>680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-9318.1376877855364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50</v>
      </c>
      <c r="C24" s="206">
        <v>25</v>
      </c>
      <c r="D24" s="194">
        <f t="shared" ref="D24:D42" si="2">B24*C24</f>
        <v>1250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52</v>
      </c>
      <c r="C25" s="206">
        <v>30</v>
      </c>
      <c r="D25" s="194">
        <f t="shared" si="2"/>
        <v>1560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-9318.1376877855364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51</v>
      </c>
      <c r="C26" s="206">
        <v>35</v>
      </c>
      <c r="D26" s="194">
        <f t="shared" si="2"/>
        <v>1785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49</v>
      </c>
      <c r="C27" s="206">
        <v>40</v>
      </c>
      <c r="D27" s="194">
        <f t="shared" si="2"/>
        <v>1960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45</v>
      </c>
      <c r="C28" s="206">
        <v>45</v>
      </c>
      <c r="D28" s="194">
        <f t="shared" si="2"/>
        <v>2025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41</v>
      </c>
      <c r="C29" s="206">
        <v>50</v>
      </c>
      <c r="D29" s="194">
        <f t="shared" si="2"/>
        <v>2050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37</v>
      </c>
      <c r="C30" s="206">
        <v>70</v>
      </c>
      <c r="D30" s="194">
        <f t="shared" si="2"/>
        <v>2590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258</v>
      </c>
      <c r="C31" s="206">
        <v>80</v>
      </c>
      <c r="D31" s="194">
        <f t="shared" si="2"/>
        <v>20640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2024-12-18T16:04:32Z</dcterms:modified>
</cp:coreProperties>
</file>