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Lartigue (32) - DEVAUX\Projet 2\Doc fin\"/>
    </mc:Choice>
  </mc:AlternateContent>
  <xr:revisionPtr revIDLastSave="0" documentId="13_ncr:1_{384A9394-166F-4182-BB78-84048D879F83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  <sheet name="vérification" sheetId="8" state="hidden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8" l="1"/>
  <c r="K9" i="8"/>
  <c r="J9" i="8"/>
  <c r="I9" i="8"/>
  <c r="H9" i="8"/>
  <c r="G9" i="8"/>
  <c r="F9" i="8"/>
  <c r="E9" i="8"/>
  <c r="M7" i="8"/>
  <c r="M6" i="8"/>
  <c r="C3" i="8" l="1"/>
  <c r="L3" i="8"/>
  <c r="K3" i="8"/>
  <c r="J3" i="8"/>
  <c r="I3" i="8"/>
  <c r="H3" i="8"/>
  <c r="G3" i="8"/>
  <c r="F3" i="8"/>
  <c r="E3" i="8"/>
  <c r="D3" i="8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4" i="8" s="1"/>
  <c r="D11" i="1"/>
  <c r="E4" i="8" s="1"/>
  <c r="C4" i="8" l="1"/>
  <c r="I37" i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F4" i="8" s="1"/>
  <c r="D13" i="1"/>
  <c r="G4" i="8" s="1"/>
  <c r="D14" i="1"/>
  <c r="D15" i="1"/>
  <c r="D16" i="1"/>
  <c r="D17" i="1"/>
  <c r="D18" i="1"/>
  <c r="L4" i="8" s="1"/>
  <c r="U18" i="6" l="1"/>
  <c r="V18" i="6" s="1"/>
  <c r="K4" i="8"/>
  <c r="U17" i="6"/>
  <c r="V17" i="6" s="1"/>
  <c r="J4" i="8"/>
  <c r="U16" i="6"/>
  <c r="V16" i="6" s="1"/>
  <c r="I4" i="8"/>
  <c r="U15" i="6"/>
  <c r="V15" i="6" s="1"/>
  <c r="H4" i="8"/>
  <c r="M4" i="8"/>
  <c r="P66" i="6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32" i="2" a="1"/>
  <c r="BC32" i="2" s="1"/>
  <c r="BC31" i="2" a="1"/>
  <c r="BC31" i="2" s="1"/>
  <c r="BC151" i="2" a="1"/>
  <c r="BC151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114" i="2" l="1" a="1"/>
  <c r="BC114" i="2" s="1"/>
  <c r="BC7" i="2" a="1"/>
  <c r="BC7" i="2" s="1"/>
  <c r="BC185" i="2" a="1"/>
  <c r="BC185" i="2" s="1"/>
  <c r="BC143" i="2" a="1"/>
  <c r="BC143" i="2" s="1"/>
  <c r="BC117" i="2" a="1"/>
  <c r="BC117" i="2" s="1"/>
  <c r="BC181" i="2" a="1"/>
  <c r="BC181" i="2" s="1"/>
  <c r="BC84" i="2" a="1"/>
  <c r="BC84" i="2" s="1"/>
  <c r="BC65" i="2" a="1"/>
  <c r="BC65" i="2" s="1"/>
  <c r="BC82" i="2" a="1"/>
  <c r="BC82" i="2" s="1"/>
  <c r="BC164" i="2" a="1"/>
  <c r="BC164" i="2" s="1"/>
  <c r="BC192" i="2" a="1"/>
  <c r="BC192" i="2" s="1"/>
  <c r="BC47" i="2" a="1"/>
  <c r="BC47" i="2" s="1"/>
  <c r="BC55" i="2" a="1"/>
  <c r="BC55" i="2" s="1"/>
  <c r="BC18" i="2" a="1"/>
  <c r="BC18" i="2" s="1"/>
  <c r="BC38" i="2" a="1"/>
  <c r="BC38" i="2" s="1"/>
  <c r="BC130" i="2" a="1"/>
  <c r="BC130" i="2" s="1"/>
  <c r="BX107" i="2" a="1"/>
  <c r="BX107" i="2" s="1"/>
  <c r="BC58" i="2" a="1"/>
  <c r="BC58" i="2" s="1"/>
  <c r="AH90" i="2" a="1"/>
  <c r="AH90" i="2" s="1"/>
  <c r="AH62" i="2" a="1"/>
  <c r="AH62" i="2" s="1"/>
  <c r="BC126" i="2" a="1"/>
  <c r="BC126" i="2" s="1"/>
  <c r="BC68" i="2" a="1"/>
  <c r="BC68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CN203" i="2" s="1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D9" i="8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5" i="2" l="1"/>
  <c r="BI52" i="2"/>
  <c r="BI117" i="2"/>
  <c r="BI47" i="2"/>
  <c r="BI129" i="2"/>
  <c r="BI79" i="2"/>
  <c r="BI116" i="2"/>
  <c r="BI66" i="2"/>
  <c r="BI103" i="2"/>
  <c r="BI166" i="2"/>
  <c r="BI174" i="2"/>
  <c r="BI39" i="2"/>
  <c r="BI107" i="2"/>
  <c r="BI8" i="2"/>
  <c r="BI146" i="2"/>
  <c r="BI161" i="2"/>
  <c r="BI7" i="2"/>
  <c r="BI53" i="2"/>
  <c r="BI26" i="2"/>
  <c r="BI27" i="2"/>
  <c r="BI104" i="2"/>
  <c r="BI151" i="2"/>
  <c r="BI17" i="2"/>
  <c r="BI40" i="2"/>
  <c r="BI134" i="2"/>
  <c r="BI185" i="2"/>
  <c r="BI180" i="2"/>
  <c r="BI168" i="2"/>
  <c r="BI87" i="2"/>
  <c r="BI114" i="2"/>
  <c r="BI75" i="2"/>
  <c r="BI13" i="2"/>
  <c r="BI177" i="2"/>
  <c r="BI65" i="2"/>
  <c r="BI135" i="2"/>
  <c r="BI19" i="2"/>
  <c r="BI70" i="2"/>
  <c r="BI41" i="2"/>
  <c r="BI120" i="2"/>
  <c r="BI31" i="2"/>
  <c r="BI83" i="2"/>
  <c r="BI145" i="2"/>
  <c r="BI51" i="2"/>
  <c r="BI14" i="2"/>
  <c r="BI63" i="2"/>
  <c r="BI186" i="2"/>
  <c r="BI62" i="2"/>
  <c r="BI123" i="2"/>
  <c r="BI3" i="2"/>
  <c r="C8" i="4" s="1"/>
  <c r="E8" i="4" s="1"/>
  <c r="F8" i="4" s="1"/>
  <c r="G8" i="4" s="1"/>
  <c r="L8" i="4" s="1"/>
  <c r="BI37" i="2"/>
  <c r="BI100" i="2"/>
  <c r="BI163" i="2"/>
  <c r="BI60" i="2"/>
  <c r="BI121" i="2"/>
  <c r="BI85" i="2"/>
  <c r="BI24" i="2"/>
  <c r="BI183" i="2"/>
  <c r="BI88" i="2"/>
  <c r="BI156" i="2"/>
  <c r="BI169" i="2"/>
  <c r="BI76" i="2"/>
  <c r="BI6" i="2"/>
  <c r="BI101" i="2"/>
  <c r="BI138" i="2"/>
  <c r="BI201" i="2"/>
  <c r="BI131" i="2"/>
  <c r="BI157" i="2"/>
  <c r="BI20" i="2"/>
  <c r="BI58" i="2"/>
  <c r="BI23" i="2"/>
  <c r="BI126" i="2"/>
  <c r="BI172" i="2"/>
  <c r="BI68" i="2"/>
  <c r="BI109" i="2"/>
  <c r="BI12" i="2"/>
  <c r="BI32" i="2"/>
  <c r="BI55" i="2"/>
  <c r="BI71" i="2"/>
  <c r="BI142" i="2"/>
  <c r="BI44" i="2"/>
  <c r="BI61" i="2"/>
  <c r="BI69" i="2"/>
  <c r="BI90" i="2"/>
  <c r="BI22" i="2"/>
  <c r="BI45" i="2"/>
  <c r="BI132" i="2"/>
  <c r="BI159" i="2"/>
  <c r="BI59" i="2"/>
  <c r="BI48" i="2"/>
  <c r="BI67" i="2"/>
  <c r="BI33" i="2"/>
  <c r="BI182" i="2"/>
  <c r="BI200" i="2"/>
  <c r="BI46" i="2"/>
  <c r="BI141" i="2"/>
  <c r="BI130" i="2"/>
  <c r="BI196" i="2"/>
  <c r="BI113" i="2"/>
  <c r="BI49" i="2"/>
  <c r="BI122" i="2"/>
  <c r="BI34" i="2"/>
  <c r="BI77" i="2"/>
  <c r="BI93" i="2"/>
  <c r="BI140" i="2"/>
  <c r="BI36" i="2"/>
  <c r="BI192" i="2"/>
  <c r="BI38" i="2"/>
  <c r="BI194" i="2"/>
  <c r="BI50" i="2"/>
  <c r="BI158" i="2"/>
  <c r="BI127" i="2"/>
  <c r="BI28" i="2"/>
  <c r="BI184" i="2"/>
  <c r="BI128" i="2"/>
  <c r="BI80" i="2"/>
  <c r="BI119" i="2"/>
  <c r="BI165" i="2"/>
  <c r="BI91" i="2"/>
  <c r="BI154" i="2"/>
  <c r="BI74" i="2"/>
  <c r="BI111" i="2"/>
  <c r="BI115" i="2"/>
  <c r="BI96" i="2"/>
  <c r="BI199" i="2"/>
  <c r="BI136" i="2"/>
  <c r="BI72" i="2"/>
  <c r="BI9" i="2"/>
  <c r="BI82" i="2"/>
  <c r="BI195" i="2"/>
  <c r="BI84" i="2"/>
  <c r="BI108" i="2"/>
  <c r="BI153" i="2"/>
  <c r="BI30" i="2"/>
  <c r="BI16" i="2"/>
  <c r="BI11" i="2"/>
  <c r="BI193" i="2"/>
  <c r="BI118" i="2"/>
  <c r="BI102" i="2"/>
  <c r="BI178" i="2"/>
  <c r="BI170" i="2"/>
  <c r="BI81" i="2"/>
  <c r="BI190" i="2"/>
  <c r="BI147" i="2"/>
  <c r="BI10" i="2"/>
  <c r="BI148" i="2"/>
  <c r="BI149" i="2"/>
  <c r="BI89" i="2"/>
  <c r="BI137" i="2"/>
  <c r="BI164" i="2"/>
  <c r="BI99" i="2"/>
  <c r="BI203" i="2"/>
  <c r="BI94" i="2"/>
  <c r="BI97" i="2"/>
  <c r="BI197" i="2"/>
  <c r="BI110" i="2"/>
  <c r="BI143" i="2"/>
  <c r="BI139" i="2"/>
  <c r="BI42" i="2"/>
  <c r="BI181" i="2"/>
  <c r="BI124" i="2"/>
  <c r="BI105" i="2"/>
  <c r="BI112" i="2"/>
  <c r="BI18" i="2"/>
  <c r="BI35" i="2"/>
  <c r="BI162" i="2"/>
  <c r="BI175" i="2"/>
  <c r="BI21" i="2"/>
  <c r="BI179" i="2"/>
  <c r="BI15" i="2"/>
  <c r="BI29" i="2"/>
  <c r="BI98" i="2"/>
  <c r="BI191" i="2"/>
  <c r="BI25" i="2"/>
  <c r="BI73" i="2"/>
  <c r="BI54" i="2"/>
  <c r="BI4" i="2"/>
  <c r="BI125" i="2"/>
  <c r="BI106" i="2"/>
  <c r="BI152" i="2"/>
  <c r="BI171" i="2"/>
  <c r="BI144" i="2"/>
  <c r="BI160" i="2"/>
  <c r="BI155" i="2"/>
  <c r="BI202" i="2"/>
  <c r="BI56" i="2"/>
  <c r="BI150" i="2"/>
  <c r="BI5" i="2"/>
  <c r="BI64" i="2"/>
  <c r="BI43" i="2"/>
  <c r="BI187" i="2"/>
  <c r="BI198" i="2"/>
  <c r="BI176" i="2"/>
  <c r="BI133" i="2"/>
  <c r="BI92" i="2"/>
  <c r="BI78" i="2"/>
  <c r="BI86" i="2"/>
  <c r="BI188" i="2"/>
  <c r="BI173" i="2"/>
  <c r="BI189" i="2"/>
  <c r="BI57" i="2"/>
  <c r="BI16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C9" i="8" s="1"/>
  <c r="F16" i="4"/>
  <c r="M9" i="8" l="1"/>
  <c r="BS161" i="2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<sst xmlns="http://schemas.openxmlformats.org/spreadsheetml/2006/main" count="1182" uniqueCount="332">
  <si>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</si>
  <si>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</si>
  <si>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</si>
  <si>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</si>
  <si>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</si>
  <si>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</si>
  <si>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</si>
  <si>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</si>
  <si>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</si>
  <si>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</si>
  <si>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</si>
  <si>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</si>
  <si>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</si>
  <si>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</si>
  <si>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</si>
  <si>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</si>
  <si>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</si>
  <si>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</si>
  <si>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</si>
  <si>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</si>
  <si>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</si>
  <si>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</si>
  <si>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</si>
  <si>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</si>
  <si>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</si>
  <si>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</si>
  <si>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</si>
  <si>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</si>
  <si>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</si>
  <si>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</si>
  <si>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</si>
  <si>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</si>
  <si>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</si>
  <si>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</si>
  <si>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</si>
  <si>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</si>
  <si>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</si>
  <si>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</si>
  <si>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</si>
  <si>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</si>
  <si>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</si>
  <si>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</si>
  <si>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</si>
  <si>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</si>
  <si>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</si>
  <si>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</si>
  <si>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</si>
  <si>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</si>
  <si>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</si>
  <si>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</si>
  <si>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</si>
  <si>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</si>
  <si>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</si>
  <si>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</si>
  <si>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</si>
  <si>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</si>
  <si>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</si>
  <si>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</si>
  <si>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</si>
  <si>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</si>
  <si>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</si>
  <si>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</si>
  <si>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</si>
  <si>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</si>
  <si>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</si>
  <si>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</si>
  <si>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</si>
  <si>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</si>
  <si>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</si>
  <si>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</si>
  <si>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</si>
  <si>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</si>
  <si>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</si>
  <si>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</si>
  <si>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</si>
  <si>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</si>
  <si>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</si>
  <si>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</si>
  <si>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</si>
  <si>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</si>
  <si>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</si>
  <si>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</si>
  <si>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</si>
  <si>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</si>
  <si>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</si>
  <si>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</si>
  <si>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</si>
  <si>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</si>
  <si>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</si>
  <si>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</si>
  <si>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</si>
  <si>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</si>
  <si>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</si>
  <si>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</si>
  <si>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</si>
  <si>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</si>
  <si>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</si>
  <si>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</si>
  <si>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</si>
  <si>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</si>
  <si>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</si>
  <si>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</si>
  <si>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</si>
  <si>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</si>
  <si>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</si>
  <si>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</si>
  <si>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</si>
  <si>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</si>
  <si>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</si>
  <si>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</si>
  <si>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</si>
  <si>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</si>
  <si>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</si>
  <si>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</si>
  <si>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</si>
  <si>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</si>
  <si>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</si>
  <si>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</si>
  <si>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</si>
  <si>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</si>
  <si>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</si>
  <si>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</si>
  <si>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</si>
  <si>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</si>
  <si>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</si>
  <si>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</si>
  <si>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</si>
  <si>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</si>
  <si>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</si>
  <si>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</si>
  <si>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</si>
  <si>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</si>
  <si>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</si>
  <si>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</si>
  <si>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</si>
  <si>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</si>
  <si>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</si>
  <si>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</si>
  <si>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</si>
  <si>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</si>
  <si>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</si>
  <si>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</si>
  <si>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</si>
  <si>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</si>
  <si>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</si>
  <si>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</si>
  <si>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</si>
  <si>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</si>
  <si>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</si>
  <si>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</si>
  <si>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</si>
  <si>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</si>
  <si>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</si>
  <si>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</si>
  <si>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</si>
  <si>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</si>
  <si>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</si>
  <si>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</si>
  <si>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</si>
  <si>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</si>
  <si>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</si>
  <si>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</si>
  <si>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</si>
  <si>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</si>
  <si>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</si>
  <si>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</si>
  <si>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</si>
  <si>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</si>
  <si>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</si>
  <si>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</si>
  <si>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</si>
  <si>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</si>
  <si>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</si>
  <si>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</si>
  <si>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</si>
  <si>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</si>
  <si>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</si>
  <si>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</si>
  <si>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</si>
  <si>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</si>
  <si>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</si>
  <si>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</si>
  <si>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</si>
  <si>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</si>
  <si>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</si>
  <si>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</si>
  <si>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</si>
  <si>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</si>
  <si>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</si>
  <si>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</si>
  <si>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</si>
  <si>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</si>
  <si>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</si>
  <si>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</si>
  <si>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</si>
  <si>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</si>
  <si>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</si>
  <si>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</si>
  <si>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</si>
  <si>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</si>
  <si>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</si>
  <si>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</si>
  <si>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</si>
  <si>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</si>
  <si>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</si>
  <si>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</si>
  <si>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</si>
  <si>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</si>
  <si>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</si>
  <si>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</si>
  <si>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</si>
  <si>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</si>
  <si>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</si>
  <si>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</si>
  <si>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</si>
  <si>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</si>
  <si>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</si>
  <si>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</si>
  <si>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</si>
  <si>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</si>
  <si>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</si>
  <si>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</si>
  <si>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</si>
  <si>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</si>
  <si>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</si>
  <si>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</si>
  <si>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</si>
  <si>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</si>
  <si>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</si>
  <si>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</si>
  <si>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</si>
  <si>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</si>
  <si>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</si>
  <si>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</si>
  <si>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</si>
  <si>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</si>
  <si>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</si>
  <si>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</si>
  <si>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</si>
  <si>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</si>
  <si>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</si>
  <si>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</si>
  <si>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</si>
  <si>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</si>
  <si>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</si>
  <si>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</si>
  <si>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</si>
  <si>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</si>
  <si>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</si>
  <si>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</si>
  <si>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</si>
  <si>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</si>
  <si>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</si>
  <si>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</si>
  <si>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</si>
  <si>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</si>
  <si>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</si>
  <si>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</si>
  <si>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</si>
  <si>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</si>
  <si>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</si>
  <si>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</si>
  <si>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</si>
  <si>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</si>
  <si>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</si>
  <si>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</si>
  <si>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</si>
  <si>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</si>
  <si>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</si>
  <si>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</si>
  <si>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</si>
  <si>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</si>
  <si>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</si>
  <si>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</si>
  <si>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</si>
  <si>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</si>
  <si>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</si>
  <si>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</si>
  <si>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</si>
  <si>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</si>
  <si>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</si>
  <si>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</si>
  <si>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</si>
  <si>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</si>
  <si>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</si>
  <si>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</si>
  <si>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</si>
  <si>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</si>
  <si>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</si>
  <si>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</si>
  <si>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</si>
  <si>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</si>
  <si>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</si>
  <si>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</si>
  <si>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</si>
  <si>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</si>
  <si>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</si>
  <si>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</si>
  <si>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</si>
  <si>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</si>
  <si>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</si>
  <si>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</si>
  <si>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</si>
  <si>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</si>
  <si>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</si>
  <si>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</si>
  <si>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</si>
  <si>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</si>
  <si>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</si>
  <si>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</si>
  <si>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</si>
  <si>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</si>
  <si>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</si>
  <si>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</si>
  <si>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</si>
  <si>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</si>
  <si>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</si>
  <si>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</si>
  <si>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</si>
  <si>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</si>
  <si>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</si>
  <si>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</si>
  <si>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</si>
  <si>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</si>
  <si>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Répartition de essences</t>
  </si>
  <si>
    <t>Essences prévues</t>
  </si>
  <si>
    <t>Surfaces doc 8</t>
  </si>
  <si>
    <t>Essence planté</t>
  </si>
  <si>
    <t>Total</t>
  </si>
  <si>
    <t>Nombre de plants</t>
  </si>
  <si>
    <t>Densité essence objectif</t>
  </si>
  <si>
    <t>écart 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</si>
</sst>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0&quot; plants/ha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6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3" fontId="10" fillId="21" borderId="1" xfId="3" applyFont="1" applyFill="1" applyBorder="1" applyAlignment="1">
      <alignment horizontal="center" vertical="center"/>
    </xf>
    <xf numFmtId="0" fontId="10" fillId="21" borderId="1" xfId="0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43" fontId="10" fillId="21" borderId="4" xfId="3" applyFont="1" applyFill="1" applyBorder="1" applyAlignment="1">
      <alignment horizontal="center" vertical="center"/>
    </xf>
    <xf numFmtId="0" fontId="10" fillId="21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21" borderId="54" xfId="0" applyFont="1" applyFill="1" applyBorder="1" applyAlignment="1">
      <alignment horizontal="center" vertical="center"/>
    </xf>
    <xf numFmtId="2" fontId="10" fillId="21" borderId="46" xfId="0" applyNumberFormat="1" applyFon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2" fontId="0" fillId="5" borderId="18" xfId="0" applyNumberFormat="1" applyFill="1" applyBorder="1" applyAlignment="1">
      <alignment horizontal="center" vertical="center"/>
    </xf>
    <xf numFmtId="0" fontId="0" fillId="22" borderId="0" xfId="0" applyFill="1"/>
    <xf numFmtId="2" fontId="0" fillId="22" borderId="0" xfId="0" applyNumberFormat="1" applyFill="1"/>
    <xf numFmtId="2" fontId="11" fillId="5" borderId="55" xfId="0" applyNumberFormat="1" applyFont="1" applyFill="1" applyBorder="1" applyAlignment="1">
      <alignment horizontal="center" vertical="center"/>
    </xf>
    <xf numFmtId="1" fontId="10" fillId="23" borderId="55" xfId="0" applyNumberFormat="1" applyFont="1" applyFill="1" applyBorder="1" applyAlignment="1">
      <alignment horizontal="center" vertical="center"/>
    </xf>
    <xf numFmtId="2" fontId="10" fillId="23" borderId="55" xfId="0" applyNumberFormat="1" applyFont="1" applyFill="1" applyBorder="1" applyAlignment="1">
      <alignment horizontal="center" vertical="center"/>
    </xf>
    <xf numFmtId="0" fontId="10" fillId="21" borderId="56" xfId="0" applyFont="1" applyFill="1" applyBorder="1" applyAlignment="1">
      <alignment horizontal="center" vertical="center"/>
    </xf>
    <xf numFmtId="0" fontId="10" fillId="21" borderId="55" xfId="0" applyFont="1" applyFill="1" applyBorder="1" applyAlignment="1">
      <alignment horizontal="center" vertical="center"/>
    </xf>
    <xf numFmtId="0" fontId="10" fillId="21" borderId="57" xfId="0" applyFont="1" applyFill="1" applyBorder="1" applyAlignment="1">
      <alignment horizontal="center" vertical="center"/>
    </xf>
    <xf numFmtId="43" fontId="32" fillId="5" borderId="1" xfId="3" applyFont="1" applyFill="1" applyBorder="1" applyAlignment="1">
      <alignment horizontal="center" vertical="center"/>
    </xf>
    <xf numFmtId="43" fontId="32" fillId="5" borderId="55" xfId="3" applyFont="1" applyFill="1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</cellXfs>
  <cellStyles count="4">
    <cellStyle name="Lien hypertexte" xfId="2" builtinId="8"/>
    <cellStyle name="Milliers" xfId="3" builtinId="3"/>
    <cellStyle name="Normal" xfId="0" builtinId="0"/>
    <cellStyle name="Pourcentage" xfId="1" builtinId="5"/>
  </cellStyles>
  <dxfs count="1">
    <dxf>
      <font>
        <color theme="4" tint="-0.24994659260841701"/>
      </font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3.0390461285480193</c:v>
                </c:pt>
                <c:pt idx="2">
                  <c:v>3.5820082011770853</c:v>
                </c:pt>
                <c:pt idx="3">
                  <c:v>4.2223305446090311</c:v>
                </c:pt>
                <c:pt idx="4">
                  <c:v>4.9775309648326838</c:v>
                </c:pt>
                <c:pt idx="5">
                  <c:v>5.868289290782422</c:v>
                </c:pt>
                <c:pt idx="6">
                  <c:v>6.919019824455714</c:v>
                </c:pt>
                <c:pt idx="7">
                  <c:v>8.1585477106915896</c:v>
                </c:pt>
                <c:pt idx="8">
                  <c:v>9.6209081390309201</c:v>
                </c:pt>
                <c:pt idx="9">
                  <c:v>11.346290739854856</c:v>
                </c:pt>
                <c:pt idx="10">
                  <c:v>13.382155617350314</c:v>
                </c:pt>
                <c:pt idx="11">
                  <c:v>15.784552288259455</c:v>
                </c:pt>
                <c:pt idx="12">
                  <c:v>18.619678504496793</c:v>
                </c:pt>
                <c:pt idx="13">
                  <c:v>21.965722691301057</c:v>
                </c:pt>
                <c:pt idx="14">
                  <c:v>25.915041722051782</c:v>
                </c:pt>
                <c:pt idx="15">
                  <c:v>30.576735202784167</c:v>
                </c:pt>
                <c:pt idx="16">
                  <c:v>36.079688621942118</c:v>
                </c:pt>
                <c:pt idx="17">
                  <c:v>42.576170951428125</c:v>
                </c:pt>
                <c:pt idx="18">
                  <c:v>50.246087939256903</c:v>
                </c:pt>
                <c:pt idx="19">
                  <c:v>59.302010856844014</c:v>
                </c:pt>
                <c:pt idx="20">
                  <c:v>69.995122381643057</c:v>
                </c:pt>
                <c:pt idx="21">
                  <c:v>82.62224723173459</c:v>
                </c:pt>
                <c:pt idx="22">
                  <c:v>97.534165860904935</c:v>
                </c:pt>
                <c:pt idx="23">
                  <c:v>115.14544584424293</c:v>
                </c:pt>
                <c:pt idx="24">
                  <c:v>135.94606856949596</c:v>
                </c:pt>
                <c:pt idx="25">
                  <c:v>160.51517972277688</c:v>
                </c:pt>
                <c:pt idx="26">
                  <c:v>158.31162856255909</c:v>
                </c:pt>
                <c:pt idx="27">
                  <c:v>173.72181380960993</c:v>
                </c:pt>
                <c:pt idx="28">
                  <c:v>189.09987078266829</c:v>
                </c:pt>
                <c:pt idx="29">
                  <c:v>204.4487812295192</c:v>
                </c:pt>
                <c:pt idx="30">
                  <c:v>219.7710421086791</c:v>
                </c:pt>
                <c:pt idx="31">
                  <c:v>190.85545638141195</c:v>
                </c:pt>
                <c:pt idx="32">
                  <c:v>207.95327986760662</c:v>
                </c:pt>
                <c:pt idx="33">
                  <c:v>225.01864445582441</c:v>
                </c:pt>
                <c:pt idx="34">
                  <c:v>242.05435856211645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249.90766763554748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304.73423115701871</c:v>
                </c:pt>
                <c:pt idx="41">
                  <c:v>277.35142797945286</c:v>
                </c:pt>
                <c:pt idx="42">
                  <c:v>295.61299167711019</c:v>
                </c:pt>
                <c:pt idx="43">
                  <c:v>313.84940040812506</c:v>
                </c:pt>
                <c:pt idx="44">
                  <c:v>332.06232108561716</c:v>
                </c:pt>
                <c:pt idx="45">
                  <c:v>350.25322285655176</c:v>
                </c:pt>
                <c:pt idx="46">
                  <c:v>322.95870071836066</c:v>
                </c:pt>
                <c:pt idx="47">
                  <c:v>341.16043929184929</c:v>
                </c:pt>
                <c:pt idx="48">
                  <c:v>359.34082988600289</c:v>
                </c:pt>
                <c:pt idx="49">
                  <c:v>377.50110417225511</c:v>
                </c:pt>
                <c:pt idx="50">
                  <c:v>395.64236567985591</c:v>
                </c:pt>
                <c:pt idx="51">
                  <c:v>367.55861487745005</c:v>
                </c:pt>
                <c:pt idx="52">
                  <c:v>384.84622774857991</c:v>
                </c:pt>
                <c:pt idx="53">
                  <c:v>402.11697226951833</c:v>
                </c:pt>
                <c:pt idx="54">
                  <c:v>419.3716746420655</c:v>
                </c:pt>
                <c:pt idx="55">
                  <c:v>436.61108755732999</c:v>
                </c:pt>
                <c:pt idx="56">
                  <c:v>407.29503182673926</c:v>
                </c:pt>
                <c:pt idx="57">
                  <c:v>423.25185013219863</c:v>
                </c:pt>
                <c:pt idx="58">
                  <c:v>439.19572410876793</c:v>
                </c:pt>
                <c:pt idx="59">
                  <c:v>455.12718968444216</c:v>
                </c:pt>
                <c:pt idx="60">
                  <c:v>471.04674221919907</c:v>
                </c:pt>
                <c:pt idx="61">
                  <c:v>441.34933861906433</c:v>
                </c:pt>
                <c:pt idx="62">
                  <c:v>456.84878825602203</c:v>
                </c:pt>
                <c:pt idx="63">
                  <c:v>472.33700882458038</c:v>
                </c:pt>
                <c:pt idx="64">
                  <c:v>487.81442026172436</c:v>
                </c:pt>
                <c:pt idx="65">
                  <c:v>503.28141369303734</c:v>
                </c:pt>
                <c:pt idx="66">
                  <c:v>472.76708100439265</c:v>
                </c:pt>
                <c:pt idx="67">
                  <c:v>487.38463458913157</c:v>
                </c:pt>
                <c:pt idx="68">
                  <c:v>501.99288641186803</c:v>
                </c:pt>
                <c:pt idx="69">
                  <c:v>516.59214520035437</c:v>
                </c:pt>
                <c:pt idx="70">
                  <c:v>531.18270081556841</c:v>
                </c:pt>
                <c:pt idx="71">
                  <c:v>499.84518527975473</c:v>
                </c:pt>
                <c:pt idx="72">
                  <c:v>513.58713617235435</c:v>
                </c:pt>
                <c:pt idx="73">
                  <c:v>527.32132625656061</c:v>
                </c:pt>
                <c:pt idx="74">
                  <c:v>541.04798608205112</c:v>
                </c:pt>
                <c:pt idx="75">
                  <c:v>554.76733354996077</c:v>
                </c:pt>
                <c:pt idx="76">
                  <c:v>522.60105914818303</c:v>
                </c:pt>
                <c:pt idx="77">
                  <c:v>535.47242448427448</c:v>
                </c:pt>
                <c:pt idx="78">
                  <c:v>548.33728653000833</c:v>
                </c:pt>
                <c:pt idx="79">
                  <c:v>561.19581932256801</c:v>
                </c:pt>
                <c:pt idx="80">
                  <c:v>574.04818827573672</c:v>
                </c:pt>
                <c:pt idx="81">
                  <c:v>541.04798608205112</c:v>
                </c:pt>
                <c:pt idx="82">
                  <c:v>553.05280785462708</c:v>
                </c:pt>
                <c:pt idx="83">
                  <c:v>565.052169900031</c:v>
                </c:pt>
                <c:pt idx="84">
                  <c:v>577.04620447443301</c:v>
                </c:pt>
                <c:pt idx="85">
                  <c:v>589.03503788906949</c:v>
                </c:pt>
                <c:pt idx="86">
                  <c:v>555.6245547409618</c:v>
                </c:pt>
                <c:pt idx="87">
                  <c:v>567.19434879973335</c:v>
                </c:pt>
                <c:pt idx="88">
                  <c:v>578.75921052572869</c:v>
                </c:pt>
                <c:pt idx="89">
                  <c:v>590.31925234777327</c:v>
                </c:pt>
                <c:pt idx="90">
                  <c:v>601.87458193334146</c:v>
                </c:pt>
                <c:pt idx="91">
                  <c:v>567.622764260351</c:v>
                </c:pt>
                <c:pt idx="92">
                  <c:v>578.33096894357823</c:v>
                </c:pt>
                <c:pt idx="93">
                  <c:v>589.03503788906926</c:v>
                </c:pt>
                <c:pt idx="94">
                  <c:v>599.73505683441124</c:v>
                </c:pt>
                <c:pt idx="95">
                  <c:v>610.43110820893185</c:v>
                </c:pt>
                <c:pt idx="96">
                  <c:v>575.76138030334971</c:v>
                </c:pt>
                <c:pt idx="97">
                  <c:v>586.03831044894594</c:v>
                </c:pt>
                <c:pt idx="98">
                  <c:v>596.31148632519512</c:v>
                </c:pt>
                <c:pt idx="99">
                  <c:v>606.58098171901804</c:v>
                </c:pt>
                <c:pt idx="100">
                  <c:v>616.84686771553993</c:v>
                </c:pt>
                <c:pt idx="101">
                  <c:v>581.32852138015028</c:v>
                </c:pt>
                <c:pt idx="102">
                  <c:v>590.74731089993566</c:v>
                </c:pt>
                <c:pt idx="103">
                  <c:v>600.16297452894207</c:v>
                </c:pt>
                <c:pt idx="104">
                  <c:v>609.57556821855781</c:v>
                </c:pt>
                <c:pt idx="105">
                  <c:v>618.98514605149205</c:v>
                </c:pt>
                <c:pt idx="106">
                  <c:v>585.1820440334875</c:v>
                </c:pt>
                <c:pt idx="107">
                  <c:v>594.17154727265404</c:v>
                </c:pt>
                <c:pt idx="108">
                  <c:v>603.15822108828741</c:v>
                </c:pt>
                <c:pt idx="109">
                  <c:v>612.14211357944725</c:v>
                </c:pt>
                <c:pt idx="110">
                  <c:v>621.12327131831148</c:v>
                </c:pt>
                <c:pt idx="111">
                  <c:v>588.60695345087686</c:v>
                </c:pt>
                <c:pt idx="112">
                  <c:v>596.7394549467042</c:v>
                </c:pt>
                <c:pt idx="113">
                  <c:v>604.8696516932963</c:v>
                </c:pt>
                <c:pt idx="114">
                  <c:v>612.99757903900309</c:v>
                </c:pt>
                <c:pt idx="115">
                  <c:v>621.12327131831159</c:v>
                </c:pt>
                <c:pt idx="116">
                  <c:v>590.31925234777316</c:v>
                </c:pt>
                <c:pt idx="117">
                  <c:v>598.02332252750432</c:v>
                </c:pt>
                <c:pt idx="118">
                  <c:v>605.72532925827124</c:v>
                </c:pt>
                <c:pt idx="119">
                  <c:v>613.42530247966863</c:v>
                </c:pt>
                <c:pt idx="120">
                  <c:v>621.12327131831182</c:v>
                </c:pt>
                <c:pt idx="121">
                  <c:v>3.1675048597887374E-12</c:v>
                </c:pt>
                <c:pt idx="122">
                  <c:v>3.1675048597887374E-12</c:v>
                </c:pt>
                <c:pt idx="123">
                  <c:v>3.1675048597887374E-12</c:v>
                </c:pt>
                <c:pt idx="124">
                  <c:v>3.1675048597887374E-12</c:v>
                </c:pt>
                <c:pt idx="125">
                  <c:v>3.1675048597887374E-12</c:v>
                </c:pt>
                <c:pt idx="126">
                  <c:v>3.1675048597887374E-12</c:v>
                </c:pt>
                <c:pt idx="127">
                  <c:v>3.1675048597887374E-12</c:v>
                </c:pt>
                <c:pt idx="128">
                  <c:v>3.1675048597887374E-12</c:v>
                </c:pt>
                <c:pt idx="129">
                  <c:v>3.1675048597887374E-12</c:v>
                </c:pt>
                <c:pt idx="130">
                  <c:v>3.1675048597887374E-12</c:v>
                </c:pt>
                <c:pt idx="131">
                  <c:v>3.1675048597887374E-12</c:v>
                </c:pt>
                <c:pt idx="132">
                  <c:v>3.1675048597887374E-12</c:v>
                </c:pt>
                <c:pt idx="133">
                  <c:v>3.1675048597887374E-12</c:v>
                </c:pt>
                <c:pt idx="134">
                  <c:v>3.1675048597887374E-12</c:v>
                </c:pt>
                <c:pt idx="135">
                  <c:v>3.1675048597887374E-12</c:v>
                </c:pt>
                <c:pt idx="136">
                  <c:v>3.1675048597887374E-12</c:v>
                </c:pt>
                <c:pt idx="137">
                  <c:v>3.1675048597887374E-12</c:v>
                </c:pt>
                <c:pt idx="138">
                  <c:v>3.1675048597887374E-12</c:v>
                </c:pt>
                <c:pt idx="139">
                  <c:v>3.1675048597887374E-12</c:v>
                </c:pt>
                <c:pt idx="140">
                  <c:v>3.1675048597887374E-12</c:v>
                </c:pt>
                <c:pt idx="141">
                  <c:v>3.1675048597887374E-12</c:v>
                </c:pt>
                <c:pt idx="142">
                  <c:v>3.1675048597887374E-12</c:v>
                </c:pt>
                <c:pt idx="143">
                  <c:v>3.1675048597887374E-12</c:v>
                </c:pt>
                <c:pt idx="144">
                  <c:v>3.1675048597887374E-12</c:v>
                </c:pt>
                <c:pt idx="145">
                  <c:v>3.1675048597887374E-12</c:v>
                </c:pt>
                <c:pt idx="146">
                  <c:v>3.1675048597887374E-12</c:v>
                </c:pt>
                <c:pt idx="147">
                  <c:v>3.1675048597887374E-12</c:v>
                </c:pt>
                <c:pt idx="148">
                  <c:v>3.1675048597887374E-12</c:v>
                </c:pt>
                <c:pt idx="149">
                  <c:v>3.1675048597887374E-12</c:v>
                </c:pt>
                <c:pt idx="150">
                  <c:v>3.1675048597887374E-12</c:v>
                </c:pt>
                <c:pt idx="151">
                  <c:v>3.1675048597887374E-12</c:v>
                </c:pt>
                <c:pt idx="152">
                  <c:v>3.1675048597887374E-12</c:v>
                </c:pt>
                <c:pt idx="153">
                  <c:v>3.1675048597887374E-12</c:v>
                </c:pt>
                <c:pt idx="154">
                  <c:v>3.1675048597887374E-12</c:v>
                </c:pt>
                <c:pt idx="155">
                  <c:v>3.1675048597887374E-12</c:v>
                </c:pt>
                <c:pt idx="156">
                  <c:v>3.1675048597887374E-12</c:v>
                </c:pt>
                <c:pt idx="157">
                  <c:v>3.1675048597887374E-12</c:v>
                </c:pt>
                <c:pt idx="158">
                  <c:v>3.1675048597887374E-12</c:v>
                </c:pt>
                <c:pt idx="159">
                  <c:v>3.1675048597887374E-12</c:v>
                </c:pt>
                <c:pt idx="160">
                  <c:v>3.1675048597887374E-12</c:v>
                </c:pt>
                <c:pt idx="161">
                  <c:v>3.1675048597887374E-12</c:v>
                </c:pt>
                <c:pt idx="162">
                  <c:v>3.1675048597887374E-12</c:v>
                </c:pt>
                <c:pt idx="163">
                  <c:v>3.1675048597887374E-12</c:v>
                </c:pt>
                <c:pt idx="164">
                  <c:v>3.1675048597887374E-12</c:v>
                </c:pt>
                <c:pt idx="165">
                  <c:v>3.1675048597887374E-12</c:v>
                </c:pt>
                <c:pt idx="166">
                  <c:v>3.1675048597887374E-12</c:v>
                </c:pt>
                <c:pt idx="167">
                  <c:v>3.1675048597887374E-12</c:v>
                </c:pt>
                <c:pt idx="168">
                  <c:v>3.1675048597887374E-12</c:v>
                </c:pt>
                <c:pt idx="169">
                  <c:v>3.1675048597887374E-12</c:v>
                </c:pt>
                <c:pt idx="170">
                  <c:v>3.1675048597887374E-12</c:v>
                </c:pt>
                <c:pt idx="171">
                  <c:v>3.1675048597887374E-12</c:v>
                </c:pt>
                <c:pt idx="172">
                  <c:v>3.1675048597887374E-12</c:v>
                </c:pt>
                <c:pt idx="173">
                  <c:v>3.1675048597887374E-12</c:v>
                </c:pt>
                <c:pt idx="174">
                  <c:v>3.1675048597887374E-12</c:v>
                </c:pt>
                <c:pt idx="175">
                  <c:v>3.1675048597887374E-12</c:v>
                </c:pt>
                <c:pt idx="176">
                  <c:v>3.1675048597887374E-12</c:v>
                </c:pt>
                <c:pt idx="177">
                  <c:v>3.1675048597887374E-12</c:v>
                </c:pt>
                <c:pt idx="178">
                  <c:v>3.1675048597887374E-12</c:v>
                </c:pt>
                <c:pt idx="179">
                  <c:v>3.1675048597887374E-12</c:v>
                </c:pt>
                <c:pt idx="180">
                  <c:v>3.1675048597887374E-12</c:v>
                </c:pt>
                <c:pt idx="181">
                  <c:v>3.1675048597887374E-12</c:v>
                </c:pt>
                <c:pt idx="182">
                  <c:v>3.1675048597887374E-12</c:v>
                </c:pt>
                <c:pt idx="183">
                  <c:v>3.1675048597887374E-12</c:v>
                </c:pt>
                <c:pt idx="184">
                  <c:v>3.1675048597887374E-12</c:v>
                </c:pt>
                <c:pt idx="185">
                  <c:v>3.1675048597887374E-12</c:v>
                </c:pt>
                <c:pt idx="186">
                  <c:v>3.1675048597887374E-12</c:v>
                </c:pt>
                <c:pt idx="187">
                  <c:v>3.1675048597887374E-12</c:v>
                </c:pt>
                <c:pt idx="188">
                  <c:v>3.1675048597887374E-12</c:v>
                </c:pt>
                <c:pt idx="189">
                  <c:v>3.1675048597887374E-12</c:v>
                </c:pt>
                <c:pt idx="190">
                  <c:v>3.1675048597887374E-12</c:v>
                </c:pt>
                <c:pt idx="191">
                  <c:v>3.1675048597887374E-12</c:v>
                </c:pt>
                <c:pt idx="192">
                  <c:v>3.1675048597887374E-12</c:v>
                </c:pt>
                <c:pt idx="193">
                  <c:v>3.1675048597887374E-12</c:v>
                </c:pt>
                <c:pt idx="194">
                  <c:v>3.1675048597887374E-12</c:v>
                </c:pt>
                <c:pt idx="195">
                  <c:v>3.1675048597887374E-12</c:v>
                </c:pt>
                <c:pt idx="196">
                  <c:v>3.1675048597887374E-12</c:v>
                </c:pt>
                <c:pt idx="197">
                  <c:v>3.1675048597887374E-12</c:v>
                </c:pt>
                <c:pt idx="198">
                  <c:v>3.1675048597887374E-12</c:v>
                </c:pt>
                <c:pt idx="199">
                  <c:v>3.1675048597887374E-12</c:v>
                </c:pt>
                <c:pt idx="200">
                  <c:v>3.1675048597887374E-12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vérification!$B$6</c:f>
              <c:strCache>
                <c:ptCount val="1"/>
                <c:pt idx="0">
                  <c:v>Nombre de plants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DF-420B-982B-CD0D7B63E51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8DF-420B-982B-CD0D7B63E51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8DF-420B-982B-CD0D7B63E51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8DF-420B-982B-CD0D7B63E51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8DF-420B-982B-CD0D7B63E51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DF-420B-982B-CD0D7B63E51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DF-420B-982B-CD0D7B63E51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8DF-420B-982B-CD0D7B63E51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8DF-420B-982B-CD0D7B63E51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8DF-420B-982B-CD0D7B63E512}"/>
              </c:ext>
            </c:extLst>
          </c:dPt>
          <c:cat>
            <c:numRef>
              <c:f>vérification!$C$5:$L$5</c:f>
              <c:numCache>
                <c:formatCode>General</c:formatCode>
                <c:ptCount val="10"/>
              </c:numCache>
            </c:numRef>
          </c:cat>
          <c:val>
            <c:numRef>
              <c:f>vérification!$C$6:$L$6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A5E7-4173-BF31-C2A9A3407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2.1295883841675698</c:v>
                </c:pt>
                <c:pt idx="2">
                  <c:v>2.6183010229241539</c:v>
                </c:pt>
                <c:pt idx="3">
                  <c:v>3.219599731773831</c:v>
                </c:pt>
                <c:pt idx="4">
                  <c:v>3.9595154786884472</c:v>
                </c:pt>
                <c:pt idx="5">
                  <c:v>4.8701182595926094</c:v>
                </c:pt>
                <c:pt idx="6">
                  <c:v>5.9909225271685296</c:v>
                </c:pt>
                <c:pt idx="7">
                  <c:v>7.3706206465688275</c:v>
                </c:pt>
                <c:pt idx="8">
                  <c:v>9.0692211432014602</c:v>
                </c:pt>
                <c:pt idx="9">
                  <c:v>11.160686515995073</c:v>
                </c:pt>
                <c:pt idx="10">
                  <c:v>13.736187631630221</c:v>
                </c:pt>
                <c:pt idx="11">
                  <c:v>16.908119188508362</c:v>
                </c:pt>
                <c:pt idx="12">
                  <c:v>20.815054676478152</c:v>
                </c:pt>
                <c:pt idx="13">
                  <c:v>25.627861183311392</c:v>
                </c:pt>
                <c:pt idx="14">
                  <c:v>31.557246195200772</c:v>
                </c:pt>
                <c:pt idx="15">
                  <c:v>38.863072534636395</c:v>
                </c:pt>
                <c:pt idx="16">
                  <c:v>47.865856653573566</c:v>
                </c:pt>
                <c:pt idx="17">
                  <c:v>58.960963211844557</c:v>
                </c:pt>
                <c:pt idx="18">
                  <c:v>72.636129620687001</c:v>
                </c:pt>
                <c:pt idx="19">
                  <c:v>89.493103460024415</c:v>
                </c:pt>
                <c:pt idx="20">
                  <c:v>110.27436011367904</c:v>
                </c:pt>
                <c:pt idx="21">
                  <c:v>112.03893205390368</c:v>
                </c:pt>
                <c:pt idx="22">
                  <c:v>122.61245229101463</c:v>
                </c:pt>
                <c:pt idx="23">
                  <c:v>133.16379985429114</c:v>
                </c:pt>
                <c:pt idx="24">
                  <c:v>143.69498143753458</c:v>
                </c:pt>
                <c:pt idx="25">
                  <c:v>154.20768498250132</c:v>
                </c:pt>
                <c:pt idx="26">
                  <c:v>126.71827041123917</c:v>
                </c:pt>
                <c:pt idx="27">
                  <c:v>140.18671834451746</c:v>
                </c:pt>
                <c:pt idx="28">
                  <c:v>153.62410522695768</c:v>
                </c:pt>
                <c:pt idx="29">
                  <c:v>167.03353298741314</c:v>
                </c:pt>
                <c:pt idx="30">
                  <c:v>180.41756394892988</c:v>
                </c:pt>
                <c:pt idx="31">
                  <c:v>155.37468709930818</c:v>
                </c:pt>
                <c:pt idx="32">
                  <c:v>171.1095161428722</c:v>
                </c:pt>
                <c:pt idx="33">
                  <c:v>186.81028563699499</c:v>
                </c:pt>
                <c:pt idx="34">
                  <c:v>202.48026245890085</c:v>
                </c:pt>
                <c:pt idx="35">
                  <c:v>218.12216592131381</c:v>
                </c:pt>
                <c:pt idx="36">
                  <c:v>193.77834866786895</c:v>
                </c:pt>
                <c:pt idx="37">
                  <c:v>210.01490336956445</c:v>
                </c:pt>
                <c:pt idx="38">
                  <c:v>226.2225036201547</c:v>
                </c:pt>
                <c:pt idx="39">
                  <c:v>242.40351617973047</c:v>
                </c:pt>
                <c:pt idx="40">
                  <c:v>258.55996582862014</c:v>
                </c:pt>
                <c:pt idx="41">
                  <c:v>234.60514077955398</c:v>
                </c:pt>
                <c:pt idx="42">
                  <c:v>251.06169458557397</c:v>
                </c:pt>
                <c:pt idx="43">
                  <c:v>267.49380301700216</c:v>
                </c:pt>
                <c:pt idx="44">
                  <c:v>283.90317910452893</c:v>
                </c:pt>
                <c:pt idx="45">
                  <c:v>300.2913216340458</c:v>
                </c:pt>
                <c:pt idx="46">
                  <c:v>275.8451748960195</c:v>
                </c:pt>
                <c:pt idx="47">
                  <c:v>291.66854559956113</c:v>
                </c:pt>
                <c:pt idx="48">
                  <c:v>307.47274922302051</c:v>
                </c:pt>
                <c:pt idx="49">
                  <c:v>323.25890960508139</c:v>
                </c:pt>
                <c:pt idx="50">
                  <c:v>339.02803185205124</c:v>
                </c:pt>
                <c:pt idx="51">
                  <c:v>313.50226463243462</c:v>
                </c:pt>
                <c:pt idx="52">
                  <c:v>328.13477724523267</c:v>
                </c:pt>
                <c:pt idx="53">
                  <c:v>342.75288975194491</c:v>
                </c:pt>
                <c:pt idx="54">
                  <c:v>357.35730278704</c:v>
                </c:pt>
                <c:pt idx="55">
                  <c:v>371.94865504264635</c:v>
                </c:pt>
                <c:pt idx="56">
                  <c:v>345.33111561712332</c:v>
                </c:pt>
                <c:pt idx="57">
                  <c:v>358.78839513118527</c:v>
                </c:pt>
                <c:pt idx="58">
                  <c:v>372.23463344711035</c:v>
                </c:pt>
                <c:pt idx="59">
                  <c:v>385.67028561105195</c:v>
                </c:pt>
                <c:pt idx="60">
                  <c:v>399.09577237538934</c:v>
                </c:pt>
                <c:pt idx="61">
                  <c:v>371.66267184297811</c:v>
                </c:pt>
                <c:pt idx="62">
                  <c:v>384.24145121256805</c:v>
                </c:pt>
                <c:pt idx="63">
                  <c:v>396.81128385496095</c:v>
                </c:pt>
                <c:pt idx="64">
                  <c:v>409.37249313446256</c:v>
                </c:pt>
                <c:pt idx="65">
                  <c:v>421.92538095054584</c:v>
                </c:pt>
                <c:pt idx="66">
                  <c:v>393.66964638244121</c:v>
                </c:pt>
                <c:pt idx="67">
                  <c:v>405.37666134724668</c:v>
                </c:pt>
                <c:pt idx="68">
                  <c:v>417.07636960302989</c:v>
                </c:pt>
                <c:pt idx="69">
                  <c:v>428.76900502959637</c:v>
                </c:pt>
                <c:pt idx="70">
                  <c:v>440.4547877086984</c:v>
                </c:pt>
                <c:pt idx="71">
                  <c:v>411.37009257413553</c:v>
                </c:pt>
                <c:pt idx="72">
                  <c:v>422.21057939270116</c:v>
                </c:pt>
                <c:pt idx="73">
                  <c:v>433.04507509293188</c:v>
                </c:pt>
                <c:pt idx="74">
                  <c:v>443.87375072613833</c:v>
                </c:pt>
                <c:pt idx="75">
                  <c:v>454.69676831549236</c:v>
                </c:pt>
                <c:pt idx="76">
                  <c:v>425.06233617824211</c:v>
                </c:pt>
                <c:pt idx="77">
                  <c:v>435.32527437722064</c:v>
                </c:pt>
                <c:pt idx="78">
                  <c:v>445.58302035961742</c:v>
                </c:pt>
                <c:pt idx="79">
                  <c:v>455.83571053274028</c:v>
                </c:pt>
                <c:pt idx="80">
                  <c:v>466.08347466593324</c:v>
                </c:pt>
                <c:pt idx="81">
                  <c:v>435.89528407935296</c:v>
                </c:pt>
                <c:pt idx="82">
                  <c:v>445.58302035961742</c:v>
                </c:pt>
                <c:pt idx="83">
                  <c:v>455.26624703610543</c:v>
                </c:pt>
                <c:pt idx="84">
                  <c:v>464.94507357382503</c:v>
                </c:pt>
                <c:pt idx="85">
                  <c:v>474.61960450741594</c:v>
                </c:pt>
                <c:pt idx="86">
                  <c:v>443.87375072613833</c:v>
                </c:pt>
                <c:pt idx="87">
                  <c:v>452.98824059157391</c:v>
                </c:pt>
                <c:pt idx="88">
                  <c:v>462.09881038696238</c:v>
                </c:pt>
                <c:pt idx="89">
                  <c:v>471.20554832072474</c:v>
                </c:pt>
                <c:pt idx="90">
                  <c:v>480.30853891265798</c:v>
                </c:pt>
                <c:pt idx="91">
                  <c:v>449.00113896695387</c:v>
                </c:pt>
                <c:pt idx="92">
                  <c:v>457.5440098958083</c:v>
                </c:pt>
                <c:pt idx="93">
                  <c:v>466.08347466593301</c:v>
                </c:pt>
                <c:pt idx="94">
                  <c:v>474.61960450741572</c:v>
                </c:pt>
                <c:pt idx="95">
                  <c:v>483.15246787827965</c:v>
                </c:pt>
                <c:pt idx="96">
                  <c:v>451.56436224672251</c:v>
                </c:pt>
                <c:pt idx="97">
                  <c:v>459.82153055595603</c:v>
                </c:pt>
                <c:pt idx="98">
                  <c:v>468.07553402529197</c:v>
                </c:pt>
                <c:pt idx="99">
                  <c:v>476.32643635557253</c:v>
                </c:pt>
                <c:pt idx="100">
                  <c:v>484.5742988599518</c:v>
                </c:pt>
                <c:pt idx="101">
                  <c:v>453.84252164192867</c:v>
                </c:pt>
                <c:pt idx="102">
                  <c:v>461.52951293255023</c:v>
                </c:pt>
                <c:pt idx="103">
                  <c:v>469.21377248409726</c:v>
                </c:pt>
                <c:pt idx="104">
                  <c:v>476.89535136408062</c:v>
                </c:pt>
                <c:pt idx="105">
                  <c:v>484.57429885995163</c:v>
                </c:pt>
                <c:pt idx="106">
                  <c:v>454.69676831549208</c:v>
                </c:pt>
                <c:pt idx="107">
                  <c:v>461.81416353195027</c:v>
                </c:pt>
                <c:pt idx="108">
                  <c:v>468.92921839125489</c:v>
                </c:pt>
                <c:pt idx="109">
                  <c:v>476.0419734310799</c:v>
                </c:pt>
                <c:pt idx="110">
                  <c:v>483.15246787827965</c:v>
                </c:pt>
                <c:pt idx="111">
                  <c:v>454.12727434910954</c:v>
                </c:pt>
                <c:pt idx="112">
                  <c:v>460.67553864161101</c:v>
                </c:pt>
                <c:pt idx="113">
                  <c:v>467.22181647445245</c:v>
                </c:pt>
                <c:pt idx="114">
                  <c:v>473.76613962300468</c:v>
                </c:pt>
                <c:pt idx="115">
                  <c:v>480.30853891265809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160.02029104347795</c:v>
                </c:pt>
                <c:pt idx="22">
                  <c:v>175.13585803907259</c:v>
                </c:pt>
                <c:pt idx="23">
                  <c:v>190.22078828852798</c:v>
                </c:pt>
                <c:pt idx="24">
                  <c:v>205.2778545096966</c:v>
                </c:pt>
                <c:pt idx="25">
                  <c:v>220.30938898976538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221.97807266554162</c:v>
                </c:pt>
                <c:pt idx="32">
                  <c:v>244.47808276569106</c:v>
                </c:pt>
                <c:pt idx="33">
                  <c:v>266.93103161478729</c:v>
                </c:pt>
                <c:pt idx="34">
                  <c:v>289.3414331694662</c:v>
                </c:pt>
                <c:pt idx="35">
                  <c:v>311.71304479765803</c:v>
                </c:pt>
                <c:pt idx="36">
                  <c:v>276.89622424264081</c:v>
                </c:pt>
                <c:pt idx="37">
                  <c:v>300.11758429718861</c:v>
                </c:pt>
                <c:pt idx="38">
                  <c:v>323.29893699066071</c:v>
                </c:pt>
                <c:pt idx="39">
                  <c:v>346.4435525568872</c:v>
                </c:pt>
                <c:pt idx="40">
                  <c:v>369.55422870449632</c:v>
                </c:pt>
                <c:pt idx="41">
                  <c:v>335.28894123596257</c:v>
                </c:pt>
                <c:pt idx="42">
                  <c:v>358.82833079757535</c:v>
                </c:pt>
                <c:pt idx="43">
                  <c:v>382.33394334423559</c:v>
                </c:pt>
                <c:pt idx="44">
                  <c:v>405.80814582937325</c:v>
                </c:pt>
                <c:pt idx="45">
                  <c:v>429.25300917701088</c:v>
                </c:pt>
                <c:pt idx="46">
                  <c:v>394.28074727616126</c:v>
                </c:pt>
                <c:pt idx="47">
                  <c:v>416.91714761061024</c:v>
                </c:pt>
                <c:pt idx="48">
                  <c:v>439.52706413119489</c:v>
                </c:pt>
                <c:pt idx="49">
                  <c:v>462.11204968448237</c:v>
                </c:pt>
                <c:pt idx="50">
                  <c:v>484.67349306043207</c:v>
                </c:pt>
                <c:pt idx="51">
                  <c:v>448.15328569496359</c:v>
                </c:pt>
                <c:pt idx="52">
                  <c:v>469.08803973384329</c:v>
                </c:pt>
                <c:pt idx="53">
                  <c:v>490.00289665080521</c:v>
                </c:pt>
                <c:pt idx="54">
                  <c:v>510.89882453659499</c:v>
                </c:pt>
                <c:pt idx="55">
                  <c:v>531.77670589409706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531.36750389275585</c:v>
                </c:pt>
                <c:pt idx="62">
                  <c:v>549.3661998253956</c:v>
                </c:pt>
                <c:pt idx="63">
                  <c:v>567.35253375731543</c:v>
                </c:pt>
                <c:pt idx="64">
                  <c:v>585.32695249209939</c:v>
                </c:pt>
                <c:pt idx="65">
                  <c:v>603.28987317463418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588.18544859108772</c:v>
                </c:pt>
                <c:pt idx="72">
                  <c:v>603.69799084952581</c:v>
                </c:pt>
                <c:pt idx="73">
                  <c:v>619.20225497367608</c:v>
                </c:pt>
                <c:pt idx="74">
                  <c:v>634.69847731101868</c:v>
                </c:pt>
                <c:pt idx="75">
                  <c:v>650.18688173454336</c:v>
                </c:pt>
                <c:pt idx="76">
                  <c:v>607.77885306593191</c:v>
                </c:pt>
                <c:pt idx="77">
                  <c:v>622.4652781759479</c:v>
                </c:pt>
                <c:pt idx="78">
                  <c:v>637.1445290217099</c:v>
                </c:pt>
                <c:pt idx="79">
                  <c:v>651.81679408188654</c:v>
                </c:pt>
                <c:pt idx="80">
                  <c:v>666.48225266324471</c:v>
                </c:pt>
                <c:pt idx="81">
                  <c:v>623.2809785427969</c:v>
                </c:pt>
                <c:pt idx="82">
                  <c:v>637.1445290217099</c:v>
                </c:pt>
                <c:pt idx="83">
                  <c:v>651.00184842596218</c:v>
                </c:pt>
                <c:pt idx="84">
                  <c:v>664.85308800712107</c:v>
                </c:pt>
                <c:pt idx="85">
                  <c:v>678.69839220429378</c:v>
                </c:pt>
                <c:pt idx="86">
                  <c:v>634.69847731101868</c:v>
                </c:pt>
                <c:pt idx="87">
                  <c:v>647.74185514581279</c:v>
                </c:pt>
                <c:pt idx="88">
                  <c:v>660.77981648497882</c:v>
                </c:pt>
                <c:pt idx="89">
                  <c:v>673.81248320912653</c:v>
                </c:pt>
                <c:pt idx="90">
                  <c:v>686.83997210216705</c:v>
                </c:pt>
                <c:pt idx="91">
                  <c:v>642.03605120322266</c:v>
                </c:pt>
                <c:pt idx="92">
                  <c:v>654.26150513657501</c:v>
                </c:pt>
                <c:pt idx="93">
                  <c:v>666.48225266324471</c:v>
                </c:pt>
                <c:pt idx="94">
                  <c:v>678.69839220429355</c:v>
                </c:pt>
                <c:pt idx="95">
                  <c:v>690.91001835052748</c:v>
                </c:pt>
                <c:pt idx="96">
                  <c:v>645.70418757261734</c:v>
                </c:pt>
                <c:pt idx="97">
                  <c:v>657.5208271917312</c:v>
                </c:pt>
                <c:pt idx="98">
                  <c:v>669.33309384269342</c:v>
                </c:pt>
                <c:pt idx="99">
                  <c:v>681.14107554314921</c:v>
                </c:pt>
                <c:pt idx="100">
                  <c:v>692.94485701159203</c:v>
                </c:pt>
                <c:pt idx="101">
                  <c:v>648.96439218997557</c:v>
                </c:pt>
                <c:pt idx="102">
                  <c:v>659.96510025530517</c:v>
                </c:pt>
                <c:pt idx="103">
                  <c:v>670.96203378278858</c:v>
                </c:pt>
                <c:pt idx="104">
                  <c:v>681.95526333416171</c:v>
                </c:pt>
                <c:pt idx="105">
                  <c:v>692.94485701159181</c:v>
                </c:pt>
                <c:pt idx="106">
                  <c:v>650.18688173454302</c:v>
                </c:pt>
                <c:pt idx="107">
                  <c:v>660.37246095701687</c:v>
                </c:pt>
                <c:pt idx="108">
                  <c:v>670.55480642750729</c:v>
                </c:pt>
                <c:pt idx="109">
                  <c:v>680.73397415831266</c:v>
                </c:pt>
                <c:pt idx="110">
                  <c:v>690.91001835052737</c:v>
                </c:pt>
                <c:pt idx="111">
                  <c:v>649.37189397752024</c:v>
                </c:pt>
                <c:pt idx="112">
                  <c:v>658.74298707117862</c:v>
                </c:pt>
                <c:pt idx="113">
                  <c:v>668.11133540519438</c:v>
                </c:pt>
                <c:pt idx="114">
                  <c:v>677.47698288468996</c:v>
                </c:pt>
                <c:pt idx="115">
                  <c:v>686.83997210216705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2.5722677930534954</c:v>
                </c:pt>
                <c:pt idx="2">
                  <c:v>2.9621842966335081</c:v>
                </c:pt>
                <c:pt idx="3">
                  <c:v>3.4114188821959091</c:v>
                </c:pt>
                <c:pt idx="4">
                  <c:v>3.9290262090163979</c:v>
                </c:pt>
                <c:pt idx="5">
                  <c:v>4.5254474752842002</c:v>
                </c:pt>
                <c:pt idx="6">
                  <c:v>5.2127233645153082</c:v>
                </c:pt>
                <c:pt idx="7">
                  <c:v>6.0047397856420881</c:v>
                </c:pt>
                <c:pt idx="8">
                  <c:v>6.9175114696400923</c:v>
                </c:pt>
                <c:pt idx="9">
                  <c:v>7.9695092689740825</c:v>
                </c:pt>
                <c:pt idx="10">
                  <c:v>9.182037911044862</c:v>
                </c:pt>
                <c:pt idx="11">
                  <c:v>10.579672002068646</c:v>
                </c:pt>
                <c:pt idx="12">
                  <c:v>12.190759285230749</c:v>
                </c:pt>
                <c:pt idx="13">
                  <c:v>14.048001551728753</c:v>
                </c:pt>
                <c:pt idx="14">
                  <c:v>16.189125214584752</c:v>
                </c:pt>
                <c:pt idx="15">
                  <c:v>18.657655416524996</c:v>
                </c:pt>
                <c:pt idx="16">
                  <c:v>37.727903052748182</c:v>
                </c:pt>
                <c:pt idx="17">
                  <c:v>56.524479039485897</c:v>
                </c:pt>
                <c:pt idx="18">
                  <c:v>75.154841693095705</c:v>
                </c:pt>
                <c:pt idx="19">
                  <c:v>93.666644730165203</c:v>
                </c:pt>
                <c:pt idx="20">
                  <c:v>112.08679847851981</c:v>
                </c:pt>
                <c:pt idx="21">
                  <c:v>91.358114590501216</c:v>
                </c:pt>
                <c:pt idx="22">
                  <c:v>110.93786523534801</c:v>
                </c:pt>
                <c:pt idx="23">
                  <c:v>130.43254725556011</c:v>
                </c:pt>
                <c:pt idx="24">
                  <c:v>149.85670075971819</c:v>
                </c:pt>
                <c:pt idx="25">
                  <c:v>169.2207687360675</c:v>
                </c:pt>
                <c:pt idx="26">
                  <c:v>147.57479897505831</c:v>
                </c:pt>
                <c:pt idx="27">
                  <c:v>165.80757333279715</c:v>
                </c:pt>
                <c:pt idx="28">
                  <c:v>183.99299337840969</c:v>
                </c:pt>
                <c:pt idx="29">
                  <c:v>202.13640047813919</c:v>
                </c:pt>
                <c:pt idx="30">
                  <c:v>220.24209728386407</c:v>
                </c:pt>
                <c:pt idx="31">
                  <c:v>196.84864368888995</c:v>
                </c:pt>
                <c:pt idx="32">
                  <c:v>213.07952740360665</c:v>
                </c:pt>
                <c:pt idx="33">
                  <c:v>229.28193394845096</c:v>
                </c:pt>
                <c:pt idx="34">
                  <c:v>245.45815924548182</c:v>
                </c:pt>
                <c:pt idx="35">
                  <c:v>261.61017170872896</c:v>
                </c:pt>
                <c:pt idx="36">
                  <c:v>236.43267338641553</c:v>
                </c:pt>
                <c:pt idx="37">
                  <c:v>250.71952474895636</c:v>
                </c:pt>
                <c:pt idx="38">
                  <c:v>264.98792439409277</c:v>
                </c:pt>
                <c:pt idx="39">
                  <c:v>279.23900597474045</c:v>
                </c:pt>
                <c:pt idx="40">
                  <c:v>293.47377793906486</c:v>
                </c:pt>
                <c:pt idx="41">
                  <c:v>266.48883532606988</c:v>
                </c:pt>
                <c:pt idx="42">
                  <c:v>278.86419064084299</c:v>
                </c:pt>
                <c:pt idx="43">
                  <c:v>291.22722867703141</c:v>
                </c:pt>
                <c:pt idx="44">
                  <c:v>303.57854617810898</c:v>
                </c:pt>
                <c:pt idx="45">
                  <c:v>315.91868734548348</c:v>
                </c:pt>
                <c:pt idx="46">
                  <c:v>292.72497100977256</c:v>
                </c:pt>
                <c:pt idx="47">
                  <c:v>303.20443066214938</c:v>
                </c:pt>
                <c:pt idx="48">
                  <c:v>313.67583358542839</c:v>
                </c:pt>
                <c:pt idx="49">
                  <c:v>324.1394867954732</c:v>
                </c:pt>
                <c:pt idx="50">
                  <c:v>334.59567585759856</c:v>
                </c:pt>
                <c:pt idx="51">
                  <c:v>319.28230720978132</c:v>
                </c:pt>
                <c:pt idx="52">
                  <c:v>328.24815038016737</c:v>
                </c:pt>
                <c:pt idx="53">
                  <c:v>337.20858844808708</c:v>
                </c:pt>
                <c:pt idx="54">
                  <c:v>346.16378539221324</c:v>
                </c:pt>
                <c:pt idx="55">
                  <c:v>355.11389600890431</c:v>
                </c:pt>
                <c:pt idx="56">
                  <c:v>342.05996063814388</c:v>
                </c:pt>
                <c:pt idx="57">
                  <c:v>349.52066488969587</c:v>
                </c:pt>
                <c:pt idx="58">
                  <c:v>356.97787588797127</c:v>
                </c:pt>
                <c:pt idx="59">
                  <c:v>364.43167696167421</c:v>
                </c:pt>
                <c:pt idx="60">
                  <c:v>371.88214774985937</c:v>
                </c:pt>
                <c:pt idx="61">
                  <c:v>361.45056054643447</c:v>
                </c:pt>
                <c:pt idx="62">
                  <c:v>367.78479630486135</c:v>
                </c:pt>
                <c:pt idx="63">
                  <c:v>374.11665105684841</c:v>
                </c:pt>
                <c:pt idx="64">
                  <c:v>380.4461708244699</c:v>
                </c:pt>
                <c:pt idx="65">
                  <c:v>386.77339997206701</c:v>
                </c:pt>
                <c:pt idx="66">
                  <c:v>377.46786129486026</c:v>
                </c:pt>
                <c:pt idx="67">
                  <c:v>383.05177541071208</c:v>
                </c:pt>
                <c:pt idx="68">
                  <c:v>388.63392005694874</c:v>
                </c:pt>
                <c:pt idx="69">
                  <c:v>394.21432426135442</c:v>
                </c:pt>
                <c:pt idx="70">
                  <c:v>399.79301616201764</c:v>
                </c:pt>
                <c:pt idx="71">
                  <c:v>393.47036990588703</c:v>
                </c:pt>
                <c:pt idx="72">
                  <c:v>398.30553085732464</c:v>
                </c:pt>
                <c:pt idx="73">
                  <c:v>403.13942078264904</c:v>
                </c:pt>
                <c:pt idx="74">
                  <c:v>407.97205708923889</c:v>
                </c:pt>
                <c:pt idx="75">
                  <c:v>412.80345673799064</c:v>
                </c:pt>
                <c:pt idx="76">
                  <c:v>403.88298445816548</c:v>
                </c:pt>
                <c:pt idx="77">
                  <c:v>407.97205708923889</c:v>
                </c:pt>
                <c:pt idx="78">
                  <c:v>412.06024430985235</c:v>
                </c:pt>
                <c:pt idx="79">
                  <c:v>416.14755615430431</c:v>
                </c:pt>
                <c:pt idx="80">
                  <c:v>420.23400244347653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14</xdr:row>
      <xdr:rowOff>71437</xdr:rowOff>
    </xdr:from>
    <xdr:to>
      <xdr:col>8</xdr:col>
      <xdr:colOff>609600</xdr:colOff>
      <xdr:row>28</xdr:row>
      <xdr:rowOff>147637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7950EFA-E2B6-4DC4-9579-18E197079F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312" t="s">
        <v>291</v>
      </c>
      <c r="C12" s="312"/>
      <c r="D12" s="312"/>
      <c r="E12" s="312"/>
      <c r="F12" s="312"/>
      <c r="G12" s="312"/>
      <c r="H12" s="312"/>
      <c r="I12" s="312"/>
      <c r="J12" s="312"/>
      <c r="K12" s="312"/>
      <c r="L12" s="312"/>
      <c r="M12" s="312"/>
    </row>
    <row r="13" spans="2:13" ht="15" customHeight="1" x14ac:dyDescent="0.25"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2"/>
      <c r="M13" s="312"/>
    </row>
    <row r="14" spans="2:13" ht="15" customHeight="1" x14ac:dyDescent="0.25">
      <c r="B14" s="312"/>
      <c r="C14" s="312"/>
      <c r="D14" s="312"/>
      <c r="E14" s="312"/>
      <c r="F14" s="312"/>
      <c r="G14" s="312"/>
      <c r="H14" s="312"/>
      <c r="I14" s="312"/>
      <c r="J14" s="312"/>
      <c r="K14" s="312"/>
      <c r="L14" s="312"/>
      <c r="M14" s="312"/>
    </row>
    <row r="15" spans="2:13" ht="18.75" customHeight="1" x14ac:dyDescent="0.25"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312"/>
      <c r="M15" s="312"/>
    </row>
    <row r="16" spans="2:13" ht="18.75" customHeight="1" x14ac:dyDescent="0.25">
      <c r="B16" s="312"/>
      <c r="C16" s="312"/>
      <c r="D16" s="312"/>
      <c r="E16" s="312"/>
      <c r="F16" s="312"/>
      <c r="G16" s="312"/>
      <c r="H16" s="312"/>
      <c r="I16" s="312"/>
      <c r="J16" s="312"/>
      <c r="K16" s="312"/>
      <c r="L16" s="312"/>
      <c r="M16" s="312"/>
    </row>
    <row r="18" spans="2:13" ht="12" customHeight="1" x14ac:dyDescent="0.25">
      <c r="B18" s="312" t="s">
        <v>292</v>
      </c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</row>
    <row r="19" spans="2:13" ht="12" customHeight="1" x14ac:dyDescent="0.25">
      <c r="B19" s="312"/>
      <c r="C19" s="312"/>
      <c r="D19" s="312"/>
      <c r="E19" s="312"/>
      <c r="F19" s="312"/>
      <c r="G19" s="312"/>
      <c r="H19" s="312"/>
      <c r="I19" s="312"/>
      <c r="J19" s="312"/>
      <c r="K19" s="312"/>
      <c r="L19" s="312"/>
      <c r="M19" s="312"/>
    </row>
    <row r="20" spans="2:13" ht="12" customHeight="1" x14ac:dyDescent="0.25">
      <c r="B20" s="312"/>
      <c r="C20" s="312"/>
      <c r="D20" s="312"/>
      <c r="E20" s="312"/>
      <c r="F20" s="312"/>
      <c r="G20" s="312"/>
      <c r="H20" s="312"/>
      <c r="I20" s="312"/>
      <c r="J20" s="312"/>
      <c r="K20" s="312"/>
      <c r="L20" s="312"/>
      <c r="M20" s="312"/>
    </row>
    <row r="21" spans="2:13" ht="12" customHeight="1" x14ac:dyDescent="0.25">
      <c r="B21" s="312"/>
      <c r="C21" s="312"/>
      <c r="D21" s="312"/>
      <c r="E21" s="312"/>
      <c r="F21" s="312"/>
      <c r="G21" s="312"/>
      <c r="H21" s="312"/>
      <c r="I21" s="312"/>
      <c r="J21" s="312"/>
      <c r="K21" s="312"/>
      <c r="L21" s="312"/>
      <c r="M21" s="312"/>
    </row>
    <row r="22" spans="2:13" ht="12" customHeight="1" x14ac:dyDescent="0.25"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</row>
    <row r="23" spans="2:13" ht="12" customHeight="1" x14ac:dyDescent="0.25">
      <c r="B23" s="312"/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</row>
    <row r="24" spans="2:13" ht="12" customHeight="1" x14ac:dyDescent="0.25"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</row>
    <row r="25" spans="2:13" ht="12" customHeight="1" x14ac:dyDescent="0.25"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2:13" ht="12" customHeight="1" x14ac:dyDescent="0.25">
      <c r="B26" s="312"/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</row>
    <row r="27" spans="2:13" ht="12" customHeight="1" x14ac:dyDescent="0.25">
      <c r="B27" s="312"/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</row>
    <row r="28" spans="2:13" ht="12" customHeight="1" x14ac:dyDescent="0.25">
      <c r="B28" s="312"/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</row>
    <row r="29" spans="2:13" ht="12" customHeight="1" x14ac:dyDescent="0.25">
      <c r="B29" s="312"/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</row>
    <row r="30" spans="2:13" ht="12" customHeight="1" x14ac:dyDescent="0.25">
      <c r="B30" s="312"/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</row>
    <row r="31" spans="2:13" ht="12" customHeight="1" x14ac:dyDescent="0.25">
      <c r="B31" s="312"/>
      <c r="C31" s="312"/>
      <c r="D31" s="312"/>
      <c r="E31" s="312"/>
      <c r="F31" s="312"/>
      <c r="G31" s="312"/>
      <c r="H31" s="312"/>
      <c r="I31" s="312"/>
      <c r="J31" s="312"/>
      <c r="K31" s="312"/>
      <c r="L31" s="312"/>
      <c r="M31" s="31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F22" sqref="F2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317" t="s">
        <v>190</v>
      </c>
      <c r="D1" s="317"/>
      <c r="E1" s="31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18" t="s">
        <v>192</v>
      </c>
      <c r="C3" s="319"/>
      <c r="D3" s="319"/>
      <c r="E3" s="319"/>
      <c r="F3" s="32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24" t="s">
        <v>231</v>
      </c>
      <c r="B5" s="324"/>
      <c r="C5" s="26">
        <v>13.98</v>
      </c>
      <c r="D5" s="325" t="s">
        <v>229</v>
      </c>
      <c r="E5" s="32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22" t="s">
        <v>226</v>
      </c>
      <c r="B7" s="32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</v>
      </c>
      <c r="C9" s="35">
        <v>0.75</v>
      </c>
      <c r="D9" s="36">
        <f t="shared" ref="D9:D18" si="0">C9*$C$5</f>
        <v>10.484999999999999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50</v>
      </c>
      <c r="C10" s="35">
        <v>8.3500000000000005E-2</v>
      </c>
      <c r="D10" s="36">
        <f t="shared" si="0"/>
        <v>1.1673300000000002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</v>
      </c>
      <c r="C11" s="35">
        <v>8.3000000000000004E-2</v>
      </c>
      <c r="D11" s="36">
        <f t="shared" si="0"/>
        <v>1.1603400000000001</v>
      </c>
      <c r="E11" s="37">
        <v>115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21</v>
      </c>
      <c r="C12" s="35">
        <v>8.3500000000000005E-2</v>
      </c>
      <c r="D12" s="36">
        <f t="shared" si="0"/>
        <v>1.1673300000000002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13.979999999999999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21" t="s">
        <v>232</v>
      </c>
      <c r="B22" s="32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23" t="s">
        <v>227</v>
      </c>
      <c r="B30" s="32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pubescent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313" t="s">
        <v>186</v>
      </c>
      <c r="D34" s="313"/>
      <c r="E34" s="314" t="s">
        <v>187</v>
      </c>
      <c r="F34" s="315"/>
      <c r="G34" s="315"/>
      <c r="H34" s="31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71</v>
      </c>
      <c r="C36" s="63">
        <v>1</v>
      </c>
      <c r="D36" s="63">
        <v>8</v>
      </c>
      <c r="E36" s="54"/>
      <c r="F36" s="54"/>
      <c r="G36" s="54"/>
      <c r="H36" s="54">
        <v>1</v>
      </c>
      <c r="I36" s="52">
        <f>IFERROR(B36/A36,"")</f>
        <v>2.84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98</v>
      </c>
      <c r="C37" s="63">
        <v>2</v>
      </c>
      <c r="D37" s="63">
        <v>21</v>
      </c>
      <c r="E37" s="54"/>
      <c r="F37" s="54"/>
      <c r="G37" s="54"/>
      <c r="H37" s="54">
        <v>1</v>
      </c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116</v>
      </c>
      <c r="C38" s="63">
        <v>3</v>
      </c>
      <c r="D38" s="63">
        <v>21</v>
      </c>
      <c r="E38" s="54"/>
      <c r="F38" s="54"/>
      <c r="G38" s="54"/>
      <c r="H38" s="54"/>
      <c r="I38" s="56">
        <f t="shared" si="1"/>
        <v>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137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158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179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198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214</v>
      </c>
      <c r="C43" s="63">
        <v>8</v>
      </c>
      <c r="D43" s="63">
        <v>21</v>
      </c>
      <c r="E43" s="54"/>
      <c r="F43" s="54"/>
      <c r="G43" s="54"/>
      <c r="H43" s="54"/>
      <c r="I43" s="52">
        <f t="shared" si="1"/>
        <v>7.4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229</v>
      </c>
      <c r="C44" s="63">
        <v>9</v>
      </c>
      <c r="D44" s="63">
        <v>21</v>
      </c>
      <c r="E44" s="54"/>
      <c r="F44" s="54"/>
      <c r="G44" s="54"/>
      <c r="H44" s="54"/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242</v>
      </c>
      <c r="C45" s="63">
        <v>10</v>
      </c>
      <c r="D45" s="63">
        <v>21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253</v>
      </c>
      <c r="C46" s="63">
        <v>11</v>
      </c>
      <c r="D46" s="63">
        <v>21</v>
      </c>
      <c r="E46" s="54"/>
      <c r="F46" s="54"/>
      <c r="G46" s="54"/>
      <c r="H46" s="54"/>
      <c r="I46" s="52">
        <f t="shared" si="1"/>
        <v>6.4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262</v>
      </c>
      <c r="C47" s="63">
        <v>12</v>
      </c>
      <c r="D47" s="63">
        <v>21</v>
      </c>
      <c r="E47" s="54"/>
      <c r="F47" s="54"/>
      <c r="G47" s="54"/>
      <c r="H47" s="54"/>
      <c r="I47" s="52">
        <f t="shared" si="1"/>
        <v>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269</v>
      </c>
      <c r="C48" s="63">
        <v>13</v>
      </c>
      <c r="D48" s="63">
        <v>21</v>
      </c>
      <c r="E48" s="54"/>
      <c r="F48" s="54"/>
      <c r="G48" s="54"/>
      <c r="H48" s="54"/>
      <c r="I48" s="52">
        <f t="shared" si="1"/>
        <v>5.6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275</v>
      </c>
      <c r="C49" s="63">
        <v>14</v>
      </c>
      <c r="D49" s="63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279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282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283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4.4000000000000004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284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284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284</v>
      </c>
      <c r="C55" s="53">
        <v>20</v>
      </c>
      <c r="D55" s="53">
        <v>284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Tilleul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313" t="s">
        <v>186</v>
      </c>
      <c r="D60" s="313"/>
      <c r="E60" s="314" t="s">
        <v>187</v>
      </c>
      <c r="F60" s="315"/>
      <c r="G60" s="315"/>
      <c r="H60" s="31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73</v>
      </c>
      <c r="C62" s="63">
        <v>1</v>
      </c>
      <c r="D62" s="63">
        <v>6</v>
      </c>
      <c r="E62" s="54"/>
      <c r="F62" s="54"/>
      <c r="G62" s="54"/>
      <c r="H62" s="54">
        <v>1</v>
      </c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103</v>
      </c>
      <c r="C63" s="63">
        <v>2</v>
      </c>
      <c r="D63" s="63">
        <v>28</v>
      </c>
      <c r="E63" s="54"/>
      <c r="F63" s="54"/>
      <c r="G63" s="54"/>
      <c r="H63" s="54">
        <v>1</v>
      </c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121</v>
      </c>
      <c r="C64" s="63">
        <v>3</v>
      </c>
      <c r="D64" s="63">
        <v>28</v>
      </c>
      <c r="E64" s="54"/>
      <c r="F64" s="54"/>
      <c r="G64" s="54"/>
      <c r="H64" s="54">
        <v>1</v>
      </c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147</v>
      </c>
      <c r="C65" s="63">
        <v>4</v>
      </c>
      <c r="D65" s="63">
        <v>28</v>
      </c>
      <c r="E65" s="54"/>
      <c r="F65" s="54"/>
      <c r="G65" s="54"/>
      <c r="H65" s="54"/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175</v>
      </c>
      <c r="C66" s="63">
        <v>5</v>
      </c>
      <c r="D66" s="63">
        <v>28</v>
      </c>
      <c r="E66" s="54"/>
      <c r="F66" s="54"/>
      <c r="G66" s="54"/>
      <c r="H66" s="54"/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204</v>
      </c>
      <c r="C67" s="63">
        <v>6</v>
      </c>
      <c r="D67" s="63">
        <v>28</v>
      </c>
      <c r="E67" s="54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231</v>
      </c>
      <c r="C68" s="63">
        <v>7</v>
      </c>
      <c r="D68" s="63">
        <v>28</v>
      </c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254</v>
      </c>
      <c r="C69" s="53">
        <v>8</v>
      </c>
      <c r="D69" s="53">
        <v>28</v>
      </c>
      <c r="E69" s="54"/>
      <c r="F69" s="54"/>
      <c r="G69" s="54"/>
      <c r="H69" s="54"/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273</v>
      </c>
      <c r="C70" s="53">
        <v>9</v>
      </c>
      <c r="D70" s="53">
        <v>28</v>
      </c>
      <c r="E70" s="54"/>
      <c r="F70" s="54"/>
      <c r="G70" s="54"/>
      <c r="H70" s="54"/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289</v>
      </c>
      <c r="C71" s="53">
        <v>10</v>
      </c>
      <c r="D71" s="53">
        <v>28</v>
      </c>
      <c r="E71" s="54"/>
      <c r="F71" s="54"/>
      <c r="G71" s="54"/>
      <c r="H71" s="54"/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302</v>
      </c>
      <c r="C72" s="53">
        <v>11</v>
      </c>
      <c r="D72" s="53">
        <v>28</v>
      </c>
      <c r="E72" s="54"/>
      <c r="F72" s="54"/>
      <c r="G72" s="54"/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312</v>
      </c>
      <c r="C73" s="53">
        <v>12</v>
      </c>
      <c r="D73" s="53">
        <v>28</v>
      </c>
      <c r="E73" s="54"/>
      <c r="F73" s="54"/>
      <c r="G73" s="54"/>
      <c r="H73" s="54"/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320</v>
      </c>
      <c r="C74" s="53">
        <v>13</v>
      </c>
      <c r="D74" s="53">
        <v>28</v>
      </c>
      <c r="E74" s="54"/>
      <c r="F74" s="54"/>
      <c r="G74" s="54"/>
      <c r="H74" s="54"/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326</v>
      </c>
      <c r="C75" s="53">
        <v>14</v>
      </c>
      <c r="D75" s="53">
        <v>28</v>
      </c>
      <c r="E75" s="54"/>
      <c r="F75" s="54"/>
      <c r="G75" s="54"/>
      <c r="H75" s="54"/>
      <c r="I75" s="52">
        <f t="shared" si="2"/>
        <v>6.8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53">
        <v>330</v>
      </c>
      <c r="C76" s="53">
        <v>15</v>
      </c>
      <c r="D76" s="53">
        <v>28</v>
      </c>
      <c r="E76" s="54"/>
      <c r="F76" s="54"/>
      <c r="G76" s="54"/>
      <c r="H76" s="54"/>
      <c r="I76" s="52">
        <f t="shared" si="2"/>
        <v>6.4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95</v>
      </c>
      <c r="B77" s="53">
        <v>332</v>
      </c>
      <c r="C77" s="53">
        <v>16</v>
      </c>
      <c r="D77" s="53">
        <v>28</v>
      </c>
      <c r="E77" s="54"/>
      <c r="F77" s="54"/>
      <c r="G77" s="54"/>
      <c r="H77" s="54"/>
      <c r="I77" s="52">
        <f t="shared" si="2"/>
        <v>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100</v>
      </c>
      <c r="B78" s="53">
        <v>333</v>
      </c>
      <c r="C78" s="53">
        <v>17</v>
      </c>
      <c r="D78" s="53">
        <v>27</v>
      </c>
      <c r="E78" s="54"/>
      <c r="F78" s="54"/>
      <c r="G78" s="54"/>
      <c r="H78" s="54"/>
      <c r="I78" s="52">
        <f t="shared" si="2"/>
        <v>5.8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105</v>
      </c>
      <c r="B79" s="53">
        <v>333</v>
      </c>
      <c r="C79" s="53">
        <v>18</v>
      </c>
      <c r="D79" s="53">
        <v>26</v>
      </c>
      <c r="E79" s="54"/>
      <c r="F79" s="54"/>
      <c r="G79" s="54"/>
      <c r="H79" s="54"/>
      <c r="I79" s="52">
        <f t="shared" si="2"/>
        <v>5.4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110</v>
      </c>
      <c r="B80" s="53">
        <v>332</v>
      </c>
      <c r="C80" s="53">
        <v>19</v>
      </c>
      <c r="D80" s="53">
        <v>25</v>
      </c>
      <c r="E80" s="54"/>
      <c r="F80" s="54"/>
      <c r="G80" s="54"/>
      <c r="H80" s="54"/>
      <c r="I80" s="52">
        <f t="shared" si="2"/>
        <v>5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115</v>
      </c>
      <c r="B81" s="53">
        <v>330</v>
      </c>
      <c r="C81" s="53">
        <v>20</v>
      </c>
      <c r="D81" s="53">
        <v>330</v>
      </c>
      <c r="E81" s="54"/>
      <c r="F81" s="54"/>
      <c r="G81" s="54"/>
      <c r="H81" s="54"/>
      <c r="I81" s="52">
        <f t="shared" si="2"/>
        <v>4.5999999999999996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Alisier torminal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313" t="s">
        <v>186</v>
      </c>
      <c r="D86" s="313"/>
      <c r="E86" s="314" t="s">
        <v>187</v>
      </c>
      <c r="F86" s="315"/>
      <c r="G86" s="315"/>
      <c r="H86" s="31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73</v>
      </c>
      <c r="C88" s="63">
        <v>1</v>
      </c>
      <c r="D88" s="63">
        <v>6</v>
      </c>
      <c r="E88" s="54"/>
      <c r="F88" s="54"/>
      <c r="G88" s="54"/>
      <c r="H88" s="93">
        <v>1</v>
      </c>
      <c r="I88" s="56">
        <f>IFERROR(B88/A88,"")</f>
        <v>3.65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103</v>
      </c>
      <c r="C89" s="63">
        <v>2</v>
      </c>
      <c r="D89" s="63">
        <v>28</v>
      </c>
      <c r="E89" s="54"/>
      <c r="F89" s="54"/>
      <c r="G89" s="54"/>
      <c r="H89" s="93">
        <v>1</v>
      </c>
      <c r="I89" s="56">
        <f t="shared" ref="I89:I107" si="3">IF(A89&lt;&gt;0,(B89-(B88-D88))/(A89-A88),"")</f>
        <v>7.2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121</v>
      </c>
      <c r="C90" s="63">
        <v>3</v>
      </c>
      <c r="D90" s="63">
        <v>28</v>
      </c>
      <c r="E90" s="93"/>
      <c r="F90" s="93"/>
      <c r="G90" s="93"/>
      <c r="H90" s="93">
        <v>1</v>
      </c>
      <c r="I90" s="56">
        <f t="shared" si="3"/>
        <v>9.1999999999999993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147</v>
      </c>
      <c r="C91" s="63">
        <v>4</v>
      </c>
      <c r="D91" s="63">
        <v>28</v>
      </c>
      <c r="E91" s="93"/>
      <c r="F91" s="93"/>
      <c r="G91" s="93"/>
      <c r="H91" s="93"/>
      <c r="I91" s="56">
        <f t="shared" si="3"/>
        <v>10.8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175</v>
      </c>
      <c r="C92" s="63">
        <v>5</v>
      </c>
      <c r="D92" s="63">
        <v>28</v>
      </c>
      <c r="E92" s="93"/>
      <c r="F92" s="93"/>
      <c r="G92" s="93"/>
      <c r="H92" s="93"/>
      <c r="I92" s="56">
        <f t="shared" si="3"/>
        <v>11.2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204</v>
      </c>
      <c r="C93" s="63">
        <v>6</v>
      </c>
      <c r="D93" s="63">
        <v>28</v>
      </c>
      <c r="E93" s="93"/>
      <c r="F93" s="93"/>
      <c r="G93" s="93"/>
      <c r="H93" s="93"/>
      <c r="I93" s="56">
        <f t="shared" si="3"/>
        <v>11.4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231</v>
      </c>
      <c r="C94" s="63">
        <v>7</v>
      </c>
      <c r="D94" s="63">
        <v>28</v>
      </c>
      <c r="E94" s="93"/>
      <c r="F94" s="93"/>
      <c r="G94" s="93"/>
      <c r="H94" s="93"/>
      <c r="I94" s="56">
        <f t="shared" si="3"/>
        <v>11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254</v>
      </c>
      <c r="C95" s="63">
        <v>8</v>
      </c>
      <c r="D95" s="63">
        <v>28</v>
      </c>
      <c r="E95" s="93"/>
      <c r="F95" s="93"/>
      <c r="G95" s="93"/>
      <c r="H95" s="93"/>
      <c r="I95" s="56">
        <f t="shared" si="3"/>
        <v>10.199999999999999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273</v>
      </c>
      <c r="C96" s="63">
        <v>9</v>
      </c>
      <c r="D96" s="63">
        <v>28</v>
      </c>
      <c r="E96" s="93"/>
      <c r="F96" s="93"/>
      <c r="G96" s="93"/>
      <c r="H96" s="93"/>
      <c r="I96" s="56">
        <f t="shared" si="3"/>
        <v>9.4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65</v>
      </c>
      <c r="B97" s="63">
        <v>289</v>
      </c>
      <c r="C97" s="63">
        <v>10</v>
      </c>
      <c r="D97" s="63">
        <v>28</v>
      </c>
      <c r="E97" s="93"/>
      <c r="F97" s="93"/>
      <c r="G97" s="93"/>
      <c r="H97" s="93"/>
      <c r="I97" s="56">
        <f t="shared" si="3"/>
        <v>8.8000000000000007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70</v>
      </c>
      <c r="B98" s="63">
        <v>302</v>
      </c>
      <c r="C98" s="63">
        <v>11</v>
      </c>
      <c r="D98" s="63">
        <v>28</v>
      </c>
      <c r="E98" s="93"/>
      <c r="F98" s="93"/>
      <c r="G98" s="93"/>
      <c r="H98" s="93"/>
      <c r="I98" s="56">
        <f t="shared" si="3"/>
        <v>8.1999999999999993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75</v>
      </c>
      <c r="B99" s="63">
        <v>312</v>
      </c>
      <c r="C99" s="63">
        <v>12</v>
      </c>
      <c r="D99" s="63">
        <v>28</v>
      </c>
      <c r="E99" s="93"/>
      <c r="F99" s="93"/>
      <c r="G99" s="93"/>
      <c r="H99" s="93"/>
      <c r="I99" s="56">
        <f t="shared" si="3"/>
        <v>7.6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v>320</v>
      </c>
      <c r="C100" s="63">
        <v>13</v>
      </c>
      <c r="D100" s="63">
        <v>28</v>
      </c>
      <c r="E100" s="68"/>
      <c r="F100" s="68"/>
      <c r="G100" s="68"/>
      <c r="H100" s="68"/>
      <c r="I100" s="56">
        <f t="shared" si="3"/>
        <v>7.2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85</v>
      </c>
      <c r="B101" s="63">
        <v>326</v>
      </c>
      <c r="C101" s="63">
        <v>14</v>
      </c>
      <c r="D101" s="63">
        <v>28</v>
      </c>
      <c r="E101" s="68"/>
      <c r="F101" s="68"/>
      <c r="G101" s="68"/>
      <c r="H101" s="68"/>
      <c r="I101" s="56">
        <f t="shared" si="3"/>
        <v>6.8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90</v>
      </c>
      <c r="B102" s="53">
        <v>330</v>
      </c>
      <c r="C102" s="63">
        <v>15</v>
      </c>
      <c r="D102" s="53">
        <v>28</v>
      </c>
      <c r="E102" s="57"/>
      <c r="F102" s="57"/>
      <c r="G102" s="57"/>
      <c r="H102" s="57"/>
      <c r="I102" s="56">
        <f t="shared" si="3"/>
        <v>6.4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95</v>
      </c>
      <c r="B103" s="53">
        <v>332</v>
      </c>
      <c r="C103" s="63">
        <v>16</v>
      </c>
      <c r="D103" s="53">
        <v>28</v>
      </c>
      <c r="E103" s="57"/>
      <c r="F103" s="57"/>
      <c r="G103" s="57"/>
      <c r="H103" s="57"/>
      <c r="I103" s="56">
        <f t="shared" si="3"/>
        <v>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100</v>
      </c>
      <c r="B104" s="53">
        <v>333</v>
      </c>
      <c r="C104" s="63">
        <v>17</v>
      </c>
      <c r="D104" s="53">
        <v>27</v>
      </c>
      <c r="E104" s="57"/>
      <c r="F104" s="57"/>
      <c r="G104" s="57"/>
      <c r="H104" s="57"/>
      <c r="I104" s="56">
        <f t="shared" si="3"/>
        <v>5.8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105</v>
      </c>
      <c r="B105" s="53">
        <v>333</v>
      </c>
      <c r="C105" s="53">
        <v>18</v>
      </c>
      <c r="D105" s="53">
        <v>26</v>
      </c>
      <c r="E105" s="57"/>
      <c r="F105" s="57"/>
      <c r="G105" s="57"/>
      <c r="H105" s="57"/>
      <c r="I105" s="56">
        <f t="shared" si="3"/>
        <v>5.4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110</v>
      </c>
      <c r="B106" s="53">
        <v>332</v>
      </c>
      <c r="C106" s="53">
        <v>19</v>
      </c>
      <c r="D106" s="53">
        <v>25</v>
      </c>
      <c r="E106" s="57"/>
      <c r="F106" s="57"/>
      <c r="G106" s="57"/>
      <c r="H106" s="57"/>
      <c r="I106" s="56">
        <f t="shared" si="3"/>
        <v>5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115</v>
      </c>
      <c r="B107" s="53">
        <v>330</v>
      </c>
      <c r="C107" s="53">
        <v>20</v>
      </c>
      <c r="D107" s="53">
        <v>330</v>
      </c>
      <c r="E107" s="57"/>
      <c r="F107" s="57"/>
      <c r="G107" s="57"/>
      <c r="H107" s="57"/>
      <c r="I107" s="56">
        <f t="shared" si="3"/>
        <v>4.5999999999999996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Erable champêtre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313" t="s">
        <v>186</v>
      </c>
      <c r="D112" s="313"/>
      <c r="E112" s="314" t="s">
        <v>187</v>
      </c>
      <c r="F112" s="315"/>
      <c r="G112" s="315"/>
      <c r="H112" s="31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3">
        <v>9</v>
      </c>
      <c r="C114" s="53">
        <v>1</v>
      </c>
      <c r="D114" s="63">
        <v>0</v>
      </c>
      <c r="E114" s="54"/>
      <c r="F114" s="54"/>
      <c r="G114" s="54"/>
      <c r="H114" s="54">
        <v>1</v>
      </c>
      <c r="I114" s="56">
        <f>IFERROR(B114/A114,"")</f>
        <v>0.6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3">
        <v>57</v>
      </c>
      <c r="C115" s="53">
        <v>2</v>
      </c>
      <c r="D115" s="63">
        <v>21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9.6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3">
        <v>87</v>
      </c>
      <c r="C116" s="53">
        <v>3</v>
      </c>
      <c r="D116" s="63">
        <v>21</v>
      </c>
      <c r="E116" s="54"/>
      <c r="F116" s="54"/>
      <c r="G116" s="54"/>
      <c r="H116" s="54">
        <v>1</v>
      </c>
      <c r="I116" s="56">
        <f t="shared" si="4"/>
        <v>10.199999999999999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3">
        <v>114</v>
      </c>
      <c r="C117" s="53">
        <v>4</v>
      </c>
      <c r="D117" s="63">
        <v>21</v>
      </c>
      <c r="E117" s="54"/>
      <c r="F117" s="54"/>
      <c r="G117" s="54"/>
      <c r="H117" s="54">
        <v>1</v>
      </c>
      <c r="I117" s="56">
        <f t="shared" si="4"/>
        <v>9.6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35</v>
      </c>
      <c r="B118" s="63">
        <v>136</v>
      </c>
      <c r="C118" s="53">
        <v>5</v>
      </c>
      <c r="D118" s="63">
        <v>21</v>
      </c>
      <c r="E118" s="54"/>
      <c r="F118" s="54"/>
      <c r="G118" s="54"/>
      <c r="H118" s="54"/>
      <c r="I118" s="56">
        <f t="shared" si="4"/>
        <v>8.6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40</v>
      </c>
      <c r="B119" s="63">
        <v>153</v>
      </c>
      <c r="C119" s="53">
        <v>6</v>
      </c>
      <c r="D119" s="63">
        <v>21</v>
      </c>
      <c r="E119" s="54"/>
      <c r="F119" s="54"/>
      <c r="G119" s="54"/>
      <c r="H119" s="54"/>
      <c r="I119" s="56">
        <f t="shared" si="4"/>
        <v>7.6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45</v>
      </c>
      <c r="B120" s="63">
        <v>165</v>
      </c>
      <c r="C120" s="63">
        <v>7</v>
      </c>
      <c r="D120" s="63">
        <v>18</v>
      </c>
      <c r="E120" s="93"/>
      <c r="F120" s="93"/>
      <c r="G120" s="93"/>
      <c r="H120" s="93"/>
      <c r="I120" s="56">
        <f t="shared" si="4"/>
        <v>6.6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50</v>
      </c>
      <c r="B121" s="63">
        <v>175</v>
      </c>
      <c r="C121" s="63">
        <v>8</v>
      </c>
      <c r="D121" s="63">
        <v>13</v>
      </c>
      <c r="E121" s="93"/>
      <c r="F121" s="93"/>
      <c r="G121" s="93"/>
      <c r="H121" s="93"/>
      <c r="I121" s="56">
        <f t="shared" si="4"/>
        <v>5.6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55</v>
      </c>
      <c r="B122" s="63">
        <v>186</v>
      </c>
      <c r="C122" s="63">
        <v>9</v>
      </c>
      <c r="D122" s="63">
        <v>11</v>
      </c>
      <c r="E122" s="93"/>
      <c r="F122" s="93"/>
      <c r="G122" s="93"/>
      <c r="H122" s="93"/>
      <c r="I122" s="56">
        <f t="shared" si="4"/>
        <v>4.8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60</v>
      </c>
      <c r="B123" s="63">
        <v>195</v>
      </c>
      <c r="C123" s="63">
        <v>10</v>
      </c>
      <c r="D123" s="63">
        <v>9</v>
      </c>
      <c r="E123" s="93"/>
      <c r="F123" s="93"/>
      <c r="G123" s="93"/>
      <c r="H123" s="93"/>
      <c r="I123" s="56">
        <f t="shared" si="4"/>
        <v>4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65</v>
      </c>
      <c r="B124" s="63">
        <v>203</v>
      </c>
      <c r="C124" s="63">
        <v>11</v>
      </c>
      <c r="D124" s="63">
        <v>8</v>
      </c>
      <c r="E124" s="93"/>
      <c r="F124" s="93"/>
      <c r="G124" s="93"/>
      <c r="H124" s="93"/>
      <c r="I124" s="56">
        <f t="shared" si="4"/>
        <v>3.4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70</v>
      </c>
      <c r="B125" s="63">
        <v>210</v>
      </c>
      <c r="C125" s="63">
        <v>12</v>
      </c>
      <c r="D125" s="63">
        <v>6</v>
      </c>
      <c r="E125" s="93"/>
      <c r="F125" s="93"/>
      <c r="G125" s="93"/>
      <c r="H125" s="93"/>
      <c r="I125" s="56">
        <f t="shared" si="4"/>
        <v>3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75</v>
      </c>
      <c r="B126" s="63">
        <v>217</v>
      </c>
      <c r="C126" s="63">
        <v>13</v>
      </c>
      <c r="D126" s="63">
        <v>7</v>
      </c>
      <c r="E126" s="68"/>
      <c r="F126" s="68"/>
      <c r="G126" s="68"/>
      <c r="H126" s="68"/>
      <c r="I126" s="56">
        <f t="shared" si="4"/>
        <v>2.6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80</v>
      </c>
      <c r="B127" s="63">
        <v>221</v>
      </c>
      <c r="C127" s="63">
        <v>14</v>
      </c>
      <c r="D127" s="63">
        <v>221</v>
      </c>
      <c r="E127" s="68"/>
      <c r="F127" s="68"/>
      <c r="G127" s="68"/>
      <c r="H127" s="68"/>
      <c r="I127" s="56">
        <f t="shared" si="4"/>
        <v>2.2000000000000002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313" t="s">
        <v>186</v>
      </c>
      <c r="D138" s="313"/>
      <c r="E138" s="314" t="s">
        <v>187</v>
      </c>
      <c r="F138" s="315"/>
      <c r="G138" s="315"/>
      <c r="H138" s="31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313" t="s">
        <v>186</v>
      </c>
      <c r="D164" s="313"/>
      <c r="E164" s="314" t="s">
        <v>187</v>
      </c>
      <c r="F164" s="315"/>
      <c r="G164" s="315"/>
      <c r="H164" s="31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313" t="s">
        <v>186</v>
      </c>
      <c r="D190" s="313"/>
      <c r="E190" s="314" t="s">
        <v>187</v>
      </c>
      <c r="F190" s="315"/>
      <c r="G190" s="315"/>
      <c r="H190" s="31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313" t="s">
        <v>186</v>
      </c>
      <c r="D216" s="313"/>
      <c r="E216" s="314" t="s">
        <v>187</v>
      </c>
      <c r="F216" s="315"/>
      <c r="G216" s="315"/>
      <c r="H216" s="31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313" t="s">
        <v>186</v>
      </c>
      <c r="D242" s="313"/>
      <c r="E242" s="314" t="s">
        <v>187</v>
      </c>
      <c r="F242" s="315"/>
      <c r="G242" s="315"/>
      <c r="H242" s="31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313" t="s">
        <v>186</v>
      </c>
      <c r="D268" s="313"/>
      <c r="E268" s="314" t="s">
        <v>187</v>
      </c>
      <c r="F268" s="315"/>
      <c r="G268" s="315"/>
      <c r="H268" s="31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30" t="s">
        <v>176</v>
      </c>
      <c r="C1" s="331"/>
      <c r="D1" s="331"/>
      <c r="E1" s="331"/>
      <c r="F1" s="331"/>
      <c r="G1" s="331"/>
      <c r="H1" s="332"/>
      <c r="I1" s="327" t="str">
        <f>IF('Données projet'!$B$9="","",'Données projet'!$B$9)</f>
        <v>Chêne pubescent</v>
      </c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9"/>
      <c r="AD1" s="328" t="str">
        <f>IF('Données projet'!$B$10="","",'Données projet'!$B$10)</f>
        <v>Tilleul</v>
      </c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9"/>
      <c r="AY1" s="327" t="str">
        <f>IF('Données projet'!$B$11="","",'Données projet'!$B$11)</f>
        <v>Alisier torminal</v>
      </c>
      <c r="AZ1" s="328"/>
      <c r="BA1" s="328"/>
      <c r="BB1" s="328"/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328"/>
      <c r="BQ1" s="328"/>
      <c r="BR1" s="328"/>
      <c r="BS1" s="329"/>
      <c r="BT1" s="327" t="str">
        <f>IF('Données projet'!$B$12="","",'Données projet'!$B$12)</f>
        <v>Erable champêtre</v>
      </c>
      <c r="BU1" s="328"/>
      <c r="BV1" s="328"/>
      <c r="BW1" s="328"/>
      <c r="BX1" s="328"/>
      <c r="BY1" s="328"/>
      <c r="BZ1" s="328"/>
      <c r="CA1" s="328"/>
      <c r="CB1" s="328"/>
      <c r="CC1" s="328"/>
      <c r="CD1" s="328"/>
      <c r="CE1" s="328"/>
      <c r="CF1" s="328"/>
      <c r="CG1" s="328"/>
      <c r="CH1" s="328"/>
      <c r="CI1" s="328"/>
      <c r="CJ1" s="328"/>
      <c r="CK1" s="328"/>
      <c r="CL1" s="328"/>
      <c r="CM1" s="328"/>
      <c r="CN1" s="329"/>
      <c r="CO1" s="327" t="str">
        <f>IF('Données projet'!$B$13="","",'Données projet'!$B$13)</f>
        <v/>
      </c>
      <c r="CP1" s="328"/>
      <c r="CQ1" s="328"/>
      <c r="CR1" s="328"/>
      <c r="CS1" s="328"/>
      <c r="CT1" s="328"/>
      <c r="CU1" s="328"/>
      <c r="CV1" s="328"/>
      <c r="CW1" s="328"/>
      <c r="CX1" s="328"/>
      <c r="CY1" s="328"/>
      <c r="CZ1" s="328"/>
      <c r="DA1" s="328"/>
      <c r="DB1" s="328"/>
      <c r="DC1" s="328"/>
      <c r="DD1" s="328"/>
      <c r="DE1" s="328"/>
      <c r="DF1" s="328"/>
      <c r="DG1" s="328"/>
      <c r="DH1" s="328"/>
      <c r="DI1" s="329"/>
      <c r="DJ1" s="327" t="str">
        <f>IF('Données projet'!$B$14="","",'Données projet'!$B$14)</f>
        <v/>
      </c>
      <c r="DK1" s="328"/>
      <c r="DL1" s="328"/>
      <c r="DM1" s="328"/>
      <c r="DN1" s="328"/>
      <c r="DO1" s="328"/>
      <c r="DP1" s="328"/>
      <c r="DQ1" s="328"/>
      <c r="DR1" s="328"/>
      <c r="DS1" s="328"/>
      <c r="DT1" s="328"/>
      <c r="DU1" s="328"/>
      <c r="DV1" s="328"/>
      <c r="DW1" s="328"/>
      <c r="DX1" s="328"/>
      <c r="DY1" s="328"/>
      <c r="DZ1" s="328"/>
      <c r="EA1" s="328"/>
      <c r="EB1" s="328"/>
      <c r="EC1" s="328"/>
      <c r="ED1" s="329"/>
      <c r="EE1" s="327" t="str">
        <f>IF('Données projet'!$B$15="","",'Données projet'!$B$15)</f>
        <v/>
      </c>
      <c r="EF1" s="328"/>
      <c r="EG1" s="328"/>
      <c r="EH1" s="328"/>
      <c r="EI1" s="328"/>
      <c r="EJ1" s="328"/>
      <c r="EK1" s="328"/>
      <c r="EL1" s="328"/>
      <c r="EM1" s="328"/>
      <c r="EN1" s="328"/>
      <c r="EO1" s="328"/>
      <c r="EP1" s="328"/>
      <c r="EQ1" s="328"/>
      <c r="ER1" s="328"/>
      <c r="ES1" s="328"/>
      <c r="ET1" s="328"/>
      <c r="EU1" s="328"/>
      <c r="EV1" s="328"/>
      <c r="EW1" s="328"/>
      <c r="EX1" s="328"/>
      <c r="EY1" s="329"/>
      <c r="EZ1" s="327" t="str">
        <f>IF('Données projet'!$B$16="","",'Données projet'!$B$16)</f>
        <v/>
      </c>
      <c r="FA1" s="328"/>
      <c r="FB1" s="328"/>
      <c r="FC1" s="328"/>
      <c r="FD1" s="328"/>
      <c r="FE1" s="328"/>
      <c r="FF1" s="328"/>
      <c r="FG1" s="328"/>
      <c r="FH1" s="328"/>
      <c r="FI1" s="328"/>
      <c r="FJ1" s="328"/>
      <c r="FK1" s="328"/>
      <c r="FL1" s="328"/>
      <c r="FM1" s="328"/>
      <c r="FN1" s="328"/>
      <c r="FO1" s="328"/>
      <c r="FP1" s="328"/>
      <c r="FQ1" s="328"/>
      <c r="FR1" s="328"/>
      <c r="FS1" s="328"/>
      <c r="FT1" s="329"/>
      <c r="FU1" s="327" t="str">
        <f>IF('Données projet'!$B$17="","",'Données projet'!$B$17)</f>
        <v/>
      </c>
      <c r="FV1" s="328"/>
      <c r="FW1" s="328"/>
      <c r="FX1" s="328"/>
      <c r="FY1" s="328"/>
      <c r="FZ1" s="328"/>
      <c r="GA1" s="328"/>
      <c r="GB1" s="328"/>
      <c r="GC1" s="328"/>
      <c r="GD1" s="328"/>
      <c r="GE1" s="328"/>
      <c r="GF1" s="328"/>
      <c r="GG1" s="328"/>
      <c r="GH1" s="328"/>
      <c r="GI1" s="328"/>
      <c r="GJ1" s="328"/>
      <c r="GK1" s="328"/>
      <c r="GL1" s="328"/>
      <c r="GM1" s="328"/>
      <c r="GN1" s="328"/>
      <c r="GO1" s="329"/>
      <c r="GP1" s="327" t="str">
        <f>IF('Données projet'!$B$18="","",'Données projet'!$B$18)</f>
        <v/>
      </c>
      <c r="GQ1" s="328"/>
      <c r="GR1" s="328"/>
      <c r="GS1" s="328"/>
      <c r="GT1" s="328"/>
      <c r="GU1" s="328"/>
      <c r="GV1" s="328"/>
      <c r="GW1" s="328"/>
      <c r="GX1" s="328"/>
      <c r="GY1" s="328"/>
      <c r="GZ1" s="328"/>
      <c r="HA1" s="328"/>
      <c r="HB1" s="328"/>
      <c r="HC1" s="328"/>
      <c r="HD1" s="328"/>
      <c r="HE1" s="328"/>
      <c r="HF1" s="328"/>
      <c r="HG1" s="328"/>
      <c r="HH1" s="328"/>
      <c r="HI1" s="328"/>
      <c r="HJ1" s="32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446.90706503298787</v>
      </c>
      <c r="T3" s="62">
        <f>IF('Données projet'!E9&gt;30,$R$33-$H$33,LOOKUP('Données projet'!$E$9,$A$3:$A$203,R3:R203)-LOOKUP('Données projet'!$E$9,$A$3:$A$203,$H$3:$H$203))</f>
        <v>275.54513370838777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369.59928463850827</v>
      </c>
      <c r="AO3" s="62">
        <f>IF('Données projet'!E10&gt;30,$AM$33-$H$33,LOOKUP('Données projet'!$E$10,$A$3:$A$203,AM3:AM203)-LOOKUP('Données projet'!$E$10,$A$3:$A$203,$H$3:$H$203))</f>
        <v>236.19165554863852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500.25828825677058</v>
      </c>
      <c r="BJ3" s="62">
        <f>IF('Données projet'!E11&gt;30,$BH$33-$H$33,LOOKUP('Données projet'!$E$11,$A$3:$A$203,BH3:BH203)-LOOKUP('Données projet'!$E$11,$A$3:$A$203,$H$3:$H$203))</f>
        <v>313.56299786481338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287.22548699835653</v>
      </c>
      <c r="CE3" s="62">
        <f>IF('Données projet'!E12&gt;30,$CC$33-$H$33,LOOKUP('Données projet'!$E$12,$A$3:$A$203,CC3:CC203)-LOOKUP('Données projet'!$E$12,$A$3:$A$203,$H$3:$H$203))</f>
        <v>276.01618888357268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2.84</v>
      </c>
      <c r="N4" s="14">
        <f>IF('Données projet'!$A$36&gt;35,N3+M4-V3,IF(A4&lt;'Données projet'!$A$36,$K$205^A4,IF(A4='Données projet'!$A$36,'Données projet'!$B$36,N3+M4-V3)))</f>
        <v>1.185906184594963</v>
      </c>
      <c r="O4" s="14">
        <f>N4*VLOOKUP('Données projet'!$B$9,Paramètres!$A$1:$I$89,3,0)*VLOOKUP('Données projet'!$B$9,Paramètres!$A$1:$I$89,5,0)</f>
        <v>1.2025088711792926</v>
      </c>
      <c r="P4" s="14">
        <f>EXP(-1.0587+0.8836*LN(O4)+0.284)</f>
        <v>0.54239799688655566</v>
      </c>
      <c r="Q4" s="22">
        <f t="shared" ref="Q4:Q34" si="2">(O4+P4)*0.475*44/12</f>
        <v>3.0390461285480193</v>
      </c>
      <c r="R4" s="62">
        <f t="shared" si="0"/>
        <v>170.85148008147186</v>
      </c>
      <c r="S4" s="62">
        <f ca="1">AVERAGE(OFFSET($R$3,0,0,'Données projet'!$E$9+1,1))-AVERAGE(OFFSET($H$3,0,0,'Données projet'!$E$9+1,1))</f>
        <v>446.90706503298787</v>
      </c>
      <c r="T4" s="62">
        <f>$T$3</f>
        <v>275.54513370838777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0.83130271126395927</v>
      </c>
      <c r="AK4" s="14">
        <f>EXP(-1.0587+0.8836*LN(AJ4)+0.284)</f>
        <v>0.39142746146383206</v>
      </c>
      <c r="AL4" s="22">
        <f t="shared" ref="AL4:AL67" si="4">(AJ4+AK4)*0.475*44/12</f>
        <v>2.1295883841675698</v>
      </c>
      <c r="AM4" s="62">
        <f t="shared" ref="AM4:AM67" si="5">AL4+(AD4+AE4)*44/12</f>
        <v>169.9420223370914</v>
      </c>
      <c r="AN4" s="62">
        <f ca="1">AVERAGE(OFFSET($AM$3,0,0,'Données projet'!$E$10+1,1))-AVERAGE(OFFSET($H$3,0,0,'Données projet'!$E$10+1,1))</f>
        <v>369.59928463850827</v>
      </c>
      <c r="AO4" s="62">
        <f>$AO$3</f>
        <v>236.19165554863852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3.65</v>
      </c>
      <c r="BD4" s="13">
        <f>IF('Données projet'!$A$88&gt;35,BD3+BC4-BL3,IF(A4&lt;'Données projet'!$A$88,$BA$205^A4,IF(A4='Données projet'!$A$88,'Données projet'!$B$88,BD3+BC4-BL3)))</f>
        <v>1.2392705892426346</v>
      </c>
      <c r="BE4" s="14">
        <f>BD4*VLOOKUP('Données projet'!$B$11,Paramètres!$A$1:$I$89,3,0)*VLOOKUP('Données projet'!$B$11,Paramètres!$A$1:$I$89,5,0)</f>
        <v>1.1986225139154763</v>
      </c>
      <c r="BF4" s="14">
        <f>EXP(-1.0587+0.8836*LN(BE4)+0.284)</f>
        <v>0.54084878793982472</v>
      </c>
      <c r="BG4" s="22">
        <f t="shared" ref="BG4:BG67" si="7">(BE4+BF4)*0.475*44/12</f>
        <v>3.0295791840646493</v>
      </c>
      <c r="BH4" s="62">
        <f t="shared" ref="BH4:BH67" si="8">BG4+(AY4+AZ4)*44/12</f>
        <v>170.8420131369885</v>
      </c>
      <c r="BI4" s="62">
        <f ca="1">AVERAGE(OFFSET($BH$3,0,0,'Données projet'!$E$11+1,1))-AVERAGE(OFFSET($H$3,0,0,'Données projet'!$E$11+1,1))</f>
        <v>500.25828825677058</v>
      </c>
      <c r="BJ4" s="62">
        <f>$BJ$3</f>
        <v>313.56299786481338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0.6</v>
      </c>
      <c r="BY4" s="13">
        <f>IF('Données projet'!$A$114&gt;35,BY3+BX4-CG3,IF(A4&lt;'Données projet'!$A$114,$BV$205^A4,IF(A4='Données projet'!$A$114,'Données projet'!$B$114,BY3+BX4-CG3)))</f>
        <v>1.1577536725165907</v>
      </c>
      <c r="BZ4" s="14">
        <f>BY4*VLOOKUP('Données projet'!$B$12,Paramètres!$A$1:$I$89,3,0)*VLOOKUP('Données projet'!$B$12,Paramètres!$A$1:$I$89,5,0)</f>
        <v>1.0114136083104937</v>
      </c>
      <c r="CA4" s="14">
        <f>EXP(-1.0587+0.8836*LN(BZ4)+0.284)</f>
        <v>0.46548655994988658</v>
      </c>
      <c r="CB4" s="22">
        <f t="shared" ref="CB4:CB67" si="10">(BZ4+CA4)*0.475*44/12</f>
        <v>2.5722677930534954</v>
      </c>
      <c r="CC4" s="62">
        <f t="shared" ref="CC4:CC67" si="11">CB4+(BT4+BU4)*44/12</f>
        <v>170.38470174597734</v>
      </c>
      <c r="CD4" s="62">
        <f ca="1">AVERAGE(OFFSET($CC$3,0,0,'Données projet'!$E$12+1,1))-AVERAGE(OFFSET($H$3,0,0,'Données projet'!$E$12+1,1))</f>
        <v>287.22548699835653</v>
      </c>
      <c r="CE4" s="62">
        <f>$CE$3</f>
        <v>276.01618888357268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2.84</v>
      </c>
      <c r="N5" s="14">
        <f>IF('Données projet'!$A$36&gt;35,N4+M5-V4,IF(A5&lt;'Données projet'!$A$36,$K$205^A5,IF(A5='Données projet'!$A$36,'Données projet'!$B$36,N4+M5-V4)))</f>
        <v>1.4063734786605824</v>
      </c>
      <c r="O5" s="14">
        <f>N5*VLOOKUP('Données projet'!$B$9,Paramètres!$A$1:$I$89,3,0)*VLOOKUP('Données projet'!$B$9,Paramètres!$A$1:$I$89,5,0)</f>
        <v>1.4260627073618306</v>
      </c>
      <c r="P5" s="14">
        <f t="shared" ref="P5:P68" si="33">EXP(-1.0587+0.8836*LN(O5)+0.284)</f>
        <v>0.63059271915132864</v>
      </c>
      <c r="Q5" s="22">
        <f t="shared" si="2"/>
        <v>3.5820082011770853</v>
      </c>
      <c r="R5" s="62">
        <f t="shared" si="0"/>
        <v>174.17928948867791</v>
      </c>
      <c r="S5" s="62">
        <f ca="1">AVERAGE(OFFSET($R$3,0,0,'Données projet'!$E$9+1,1))-AVERAGE(OFFSET($H$3,0,0,'Données projet'!$E$9+1,1))</f>
        <v>446.90706503298787</v>
      </c>
      <c r="T5" s="62">
        <f t="shared" ref="T5:T68" si="34">$T$3</f>
        <v>275.54513370838777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1.0302090008270866</v>
      </c>
      <c r="AK5" s="14">
        <f t="shared" ref="AK5:AK68" si="35">EXP(-1.0587+0.8836*LN(AJ5)+0.284)</f>
        <v>0.47312173003845642</v>
      </c>
      <c r="AL5" s="22">
        <f t="shared" si="4"/>
        <v>2.6183010229241539</v>
      </c>
      <c r="AM5" s="62">
        <f t="shared" si="5"/>
        <v>173.21558231042499</v>
      </c>
      <c r="AN5" s="62">
        <f ca="1">AVERAGE(OFFSET($AM$3,0,0,'Données projet'!$E$10+1,1))-AVERAGE(OFFSET($H$3,0,0,'Données projet'!$E$10+1,1))</f>
        <v>369.59928463850827</v>
      </c>
      <c r="AO5" s="62">
        <f t="shared" ref="AO5:AO68" si="36">$AO$3</f>
        <v>236.19165554863852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3.65</v>
      </c>
      <c r="BD5" s="13">
        <f>IF('Données projet'!$A$88&gt;35,BD4+BC5-BL4,IF(A5&lt;'Données projet'!$A$88,$BA$205^A5,IF(A5='Données projet'!$A$88,'Données projet'!$B$88,BD4+BC5-BL4)))</f>
        <v>1.5357915933617867</v>
      </c>
      <c r="BE5" s="14">
        <f>BD5*VLOOKUP('Données projet'!$B$11,Paramètres!$A$1:$I$89,3,0)*VLOOKUP('Données projet'!$B$11,Paramètres!$A$1:$I$89,5,0)</f>
        <v>1.4854176290995202</v>
      </c>
      <c r="BF5" s="14">
        <f t="shared" ref="BF5:BF68" si="37">EXP(-1.0587+0.8836*LN(BE5)+0.284)</f>
        <v>0.65372856897250708</v>
      </c>
      <c r="BG5" s="22">
        <f t="shared" si="7"/>
        <v>3.725679628308781</v>
      </c>
      <c r="BH5" s="62">
        <f t="shared" si="8"/>
        <v>174.3229609158096</v>
      </c>
      <c r="BI5" s="62">
        <f ca="1">AVERAGE(OFFSET($BH$3,0,0,'Données projet'!$E$11+1,1))-AVERAGE(OFFSET($H$3,0,0,'Données projet'!$E$11+1,1))</f>
        <v>500.25828825677058</v>
      </c>
      <c r="BJ5" s="62">
        <f t="shared" ref="BJ5:BJ68" si="38">$BJ$3</f>
        <v>313.56299786481338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0.6</v>
      </c>
      <c r="BY5" s="13">
        <f>IF('Données projet'!$A$114&gt;35,BY4+BX5-CG4,IF(A5&lt;'Données projet'!$A$114,$BV$205^A5,IF(A5='Données projet'!$A$114,'Données projet'!$B$114,BY4+BX5-CG4)))</f>
        <v>1.340393566225653</v>
      </c>
      <c r="BZ5" s="14">
        <f>BY5*VLOOKUP('Données projet'!$B$12,Paramètres!$A$1:$I$89,3,0)*VLOOKUP('Données projet'!$B$12,Paramètres!$A$1:$I$89,5,0)</f>
        <v>1.1709678194547306</v>
      </c>
      <c r="CA5" s="14">
        <f t="shared" ref="CA5:CA68" si="39">EXP(-1.0587+0.8836*LN(BZ5)+0.284)</f>
        <v>0.52980785325350399</v>
      </c>
      <c r="CB5" s="22">
        <f t="shared" si="10"/>
        <v>2.9621842966335081</v>
      </c>
      <c r="CC5" s="62">
        <f t="shared" si="11"/>
        <v>173.55946558413433</v>
      </c>
      <c r="CD5" s="62">
        <f ca="1">AVERAGE(OFFSET($CC$3,0,0,'Données projet'!$E$12+1,1))-AVERAGE(OFFSET($H$3,0,0,'Données projet'!$E$12+1,1))</f>
        <v>287.22548699835653</v>
      </c>
      <c r="CE5" s="62">
        <f t="shared" ref="CE5:CE68" si="40">$CE$3</f>
        <v>276.01618888357268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2.84</v>
      </c>
      <c r="N6" s="14">
        <f>IF('Données projet'!$A$36&gt;35,N5+M6-V5,IF(A6&lt;'Données projet'!$A$36,$K$205^A6,IF(A6='Données projet'!$A$36,'Données projet'!$B$36,N5+M6-V5)))</f>
        <v>1.6678270061939169</v>
      </c>
      <c r="O6" s="14">
        <f>N6*VLOOKUP('Données projet'!$B$9,Paramètres!$A$1:$I$89,3,0)*VLOOKUP('Données projet'!$B$9,Paramètres!$A$1:$I$89,5,0)</f>
        <v>1.6911765842806317</v>
      </c>
      <c r="P6" s="14">
        <f t="shared" si="33"/>
        <v>0.73312803463364506</v>
      </c>
      <c r="Q6" s="22">
        <f t="shared" si="2"/>
        <v>4.2223305446090311</v>
      </c>
      <c r="R6" s="62">
        <f t="shared" si="0"/>
        <v>177.57735111449392</v>
      </c>
      <c r="S6" s="62">
        <f ca="1">AVERAGE(OFFSET($R$3,0,0,'Données projet'!$E$9+1,1))-AVERAGE(OFFSET($H$3,0,0,'Données projet'!$E$9+1,1))</f>
        <v>446.90706503298787</v>
      </c>
      <c r="T6" s="62">
        <f t="shared" si="34"/>
        <v>275.54513370838777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1.2767077154980495</v>
      </c>
      <c r="AK6" s="14">
        <f t="shared" si="35"/>
        <v>0.57186629317592041</v>
      </c>
      <c r="AL6" s="22">
        <f t="shared" si="4"/>
        <v>3.219599731773831</v>
      </c>
      <c r="AM6" s="62">
        <f t="shared" si="5"/>
        <v>176.57462030165871</v>
      </c>
      <c r="AN6" s="62">
        <f ca="1">AVERAGE(OFFSET($AM$3,0,0,'Données projet'!$E$10+1,1))-AVERAGE(OFFSET($H$3,0,0,'Données projet'!$E$10+1,1))</f>
        <v>369.59928463850827</v>
      </c>
      <c r="AO6" s="62">
        <f t="shared" si="36"/>
        <v>236.19165554863852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3.65</v>
      </c>
      <c r="BD6" s="13">
        <f>IF('Données projet'!$A$88&gt;35,BD5+BC6-BL5,IF(A6&lt;'Données projet'!$A$88,$BA$205^A6,IF(A6='Données projet'!$A$88,'Données projet'!$B$88,BD5+BC6-BL5)))</f>
        <v>1.9032613528593461</v>
      </c>
      <c r="BE6" s="14">
        <f>BD6*VLOOKUP('Données projet'!$B$11,Paramètres!$A$1:$I$89,3,0)*VLOOKUP('Données projet'!$B$11,Paramètres!$A$1:$I$89,5,0)</f>
        <v>1.8408343804855598</v>
      </c>
      <c r="BF6" s="14">
        <f t="shared" si="37"/>
        <v>0.79016732850363813</v>
      </c>
      <c r="BG6" s="22">
        <f t="shared" si="7"/>
        <v>4.5823279764895188</v>
      </c>
      <c r="BH6" s="62">
        <f t="shared" si="8"/>
        <v>177.93734854637441</v>
      </c>
      <c r="BI6" s="62">
        <f ca="1">AVERAGE(OFFSET($BH$3,0,0,'Données projet'!$E$11+1,1))-AVERAGE(OFFSET($H$3,0,0,'Données projet'!$E$11+1,1))</f>
        <v>500.25828825677058</v>
      </c>
      <c r="BJ6" s="62">
        <f t="shared" si="38"/>
        <v>313.56299786481338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0.6</v>
      </c>
      <c r="BY6" s="13">
        <f>IF('Données projet'!$A$114&gt;35,BY5+BX6-CG5,IF(A6&lt;'Données projet'!$A$114,$BV$205^A6,IF(A6='Données projet'!$A$114,'Données projet'!$B$114,BY5+BX6-CG5)))</f>
        <v>1.5518455739153598</v>
      </c>
      <c r="BZ6" s="14">
        <f>BY6*VLOOKUP('Données projet'!$B$12,Paramètres!$A$1:$I$89,3,0)*VLOOKUP('Données projet'!$B$12,Paramètres!$A$1:$I$89,5,0)</f>
        <v>1.3556922933724584</v>
      </c>
      <c r="CA6" s="14">
        <f t="shared" si="39"/>
        <v>0.6030171126730397</v>
      </c>
      <c r="CB6" s="22">
        <f t="shared" si="10"/>
        <v>3.4114188821959091</v>
      </c>
      <c r="CC6" s="62">
        <f t="shared" si="11"/>
        <v>176.76643945208079</v>
      </c>
      <c r="CD6" s="62">
        <f ca="1">AVERAGE(OFFSET($CC$3,0,0,'Données projet'!$E$12+1,1))-AVERAGE(OFFSET($H$3,0,0,'Données projet'!$E$12+1,1))</f>
        <v>287.22548699835653</v>
      </c>
      <c r="CE6" s="62">
        <f t="shared" si="40"/>
        <v>276.01618888357268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2.84</v>
      </c>
      <c r="N7" s="14">
        <f>IF('Données projet'!$A$36&gt;35,N6+M7-V6,IF(A7&lt;'Données projet'!$A$36,$K$205^A7,IF(A7='Données projet'!$A$36,'Données projet'!$B$36,N6+M7-V6)))</f>
        <v>1.9778863614798676</v>
      </c>
      <c r="O7" s="14">
        <f>N7*VLOOKUP('Données projet'!$B$9,Paramètres!$A$1:$I$89,3,0)*VLOOKUP('Données projet'!$B$9,Paramètres!$A$1:$I$89,5,0)</f>
        <v>2.005576770540586</v>
      </c>
      <c r="P7" s="14">
        <f t="shared" si="33"/>
        <v>0.85233574515282073</v>
      </c>
      <c r="Q7" s="22">
        <f t="shared" si="2"/>
        <v>4.9775309648326838</v>
      </c>
      <c r="R7" s="62">
        <f t="shared" si="0"/>
        <v>181.06365302900963</v>
      </c>
      <c r="S7" s="62">
        <f ca="1">AVERAGE(OFFSET($R$3,0,0,'Données projet'!$E$9+1,1))-AVERAGE(OFFSET($H$3,0,0,'Données projet'!$E$9+1,1))</f>
        <v>446.90706503298787</v>
      </c>
      <c r="T7" s="62">
        <f t="shared" si="34"/>
        <v>275.54513370838777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1.5821863228758857</v>
      </c>
      <c r="AK7" s="14">
        <f t="shared" si="35"/>
        <v>0.69121969359595015</v>
      </c>
      <c r="AL7" s="22">
        <f t="shared" si="4"/>
        <v>3.9595154786884472</v>
      </c>
      <c r="AM7" s="62">
        <f t="shared" si="5"/>
        <v>180.04563754286539</v>
      </c>
      <c r="AN7" s="62">
        <f ca="1">AVERAGE(OFFSET($AM$3,0,0,'Données projet'!$E$10+1,1))-AVERAGE(OFFSET($H$3,0,0,'Données projet'!$E$10+1,1))</f>
        <v>369.59928463850827</v>
      </c>
      <c r="AO7" s="62">
        <f t="shared" si="36"/>
        <v>236.19165554863852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3.65</v>
      </c>
      <c r="BD7" s="13">
        <f>IF('Données projet'!$A$88&gt;35,BD6+BC7-BL6,IF(A7&lt;'Données projet'!$A$88,$BA$205^A7,IF(A7='Données projet'!$A$88,'Données projet'!$B$88,BD6+BC7-BL6)))</f>
        <v>2.3586558182407358</v>
      </c>
      <c r="BE7" s="14">
        <f>BD7*VLOOKUP('Données projet'!$B$11,Paramètres!$A$1:$I$89,3,0)*VLOOKUP('Données projet'!$B$11,Paramètres!$A$1:$I$89,5,0)</f>
        <v>2.2812919074024398</v>
      </c>
      <c r="BF7" s="14">
        <f t="shared" si="37"/>
        <v>0.95508202741684722</v>
      </c>
      <c r="BG7" s="22">
        <f t="shared" si="7"/>
        <v>5.6366846031435918</v>
      </c>
      <c r="BH7" s="62">
        <f t="shared" si="8"/>
        <v>181.72280666732053</v>
      </c>
      <c r="BI7" s="62">
        <f ca="1">AVERAGE(OFFSET($BH$3,0,0,'Données projet'!$E$11+1,1))-AVERAGE(OFFSET($H$3,0,0,'Données projet'!$E$11+1,1))</f>
        <v>500.25828825677058</v>
      </c>
      <c r="BJ7" s="62">
        <f t="shared" si="38"/>
        <v>313.56299786481338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0.6</v>
      </c>
      <c r="BY7" s="13">
        <f>IF('Données projet'!$A$114&gt;35,BY6+BX7-CG6,IF(A7&lt;'Données projet'!$A$114,$BV$205^A7,IF(A7='Données projet'!$A$114,'Données projet'!$B$114,BY6+BX7-CG6)))</f>
        <v>1.796654912379124</v>
      </c>
      <c r="BZ7" s="14">
        <f>BY7*VLOOKUP('Données projet'!$B$12,Paramètres!$A$1:$I$89,3,0)*VLOOKUP('Données projet'!$B$12,Paramètres!$A$1:$I$89,5,0)</f>
        <v>1.5695577314544029</v>
      </c>
      <c r="CA7" s="14">
        <f t="shared" si="39"/>
        <v>0.68634248424879218</v>
      </c>
      <c r="CB7" s="22">
        <f t="shared" si="10"/>
        <v>3.9290262090163979</v>
      </c>
      <c r="CC7" s="62">
        <f t="shared" si="11"/>
        <v>180.01514827319335</v>
      </c>
      <c r="CD7" s="62">
        <f ca="1">AVERAGE(OFFSET($CC$3,0,0,'Données projet'!$E$12+1,1))-AVERAGE(OFFSET($H$3,0,0,'Données projet'!$E$12+1,1))</f>
        <v>287.22548699835653</v>
      </c>
      <c r="CE7" s="62">
        <f t="shared" si="40"/>
        <v>276.01618888357268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2.84</v>
      </c>
      <c r="N8" s="14">
        <f>IF('Données projet'!$A$36&gt;35,N7+M8-V7,IF(A8&lt;'Données projet'!$A$36,$K$205^A8,IF(A8='Données projet'!$A$36,'Données projet'!$B$36,N7+M8-V7)))</f>
        <v>2.3455876685050034</v>
      </c>
      <c r="O8" s="14">
        <f>N8*VLOOKUP('Données projet'!$B$9,Paramètres!$A$1:$I$89,3,0)*VLOOKUP('Données projet'!$B$9,Paramètres!$A$1:$I$89,5,0)</f>
        <v>2.3784258958640736</v>
      </c>
      <c r="P8" s="14">
        <f t="shared" si="33"/>
        <v>0.99092680697750823</v>
      </c>
      <c r="Q8" s="22">
        <f t="shared" si="2"/>
        <v>5.868289290782422</v>
      </c>
      <c r="R8" s="62">
        <f t="shared" si="0"/>
        <v>184.65933716722978</v>
      </c>
      <c r="S8" s="62">
        <f ca="1">AVERAGE(OFFSET($R$3,0,0,'Données projet'!$E$9+1,1))-AVERAGE(OFFSET($H$3,0,0,'Données projet'!$E$9+1,1))</f>
        <v>446.90706503298787</v>
      </c>
      <c r="T8" s="62">
        <f t="shared" si="34"/>
        <v>275.54513370838777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1.9607569766420361</v>
      </c>
      <c r="AK8" s="14">
        <f t="shared" si="35"/>
        <v>0.83548317240635239</v>
      </c>
      <c r="AL8" s="22">
        <f t="shared" si="4"/>
        <v>4.8701182595926094</v>
      </c>
      <c r="AM8" s="62">
        <f t="shared" si="5"/>
        <v>183.66116613603995</v>
      </c>
      <c r="AN8" s="62">
        <f ca="1">AVERAGE(OFFSET($AM$3,0,0,'Données projet'!$E$10+1,1))-AVERAGE(OFFSET($H$3,0,0,'Données projet'!$E$10+1,1))</f>
        <v>369.59928463850827</v>
      </c>
      <c r="AO8" s="62">
        <f t="shared" si="36"/>
        <v>236.19165554863852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3.65</v>
      </c>
      <c r="BD8" s="13">
        <f>IF('Données projet'!$A$88&gt;35,BD7+BC8-BL7,IF(A8&lt;'Données projet'!$A$88,$BA$205^A8,IF(A8='Données projet'!$A$88,'Données projet'!$B$88,BD7+BC8-BL7)))</f>
        <v>2.9230127856917649</v>
      </c>
      <c r="BE8" s="14">
        <f>BD8*VLOOKUP('Données projet'!$B$11,Paramètres!$A$1:$I$89,3,0)*VLOOKUP('Données projet'!$B$11,Paramètres!$A$1:$I$89,5,0)</f>
        <v>2.8271379663210752</v>
      </c>
      <c r="BF8" s="14">
        <f t="shared" si="37"/>
        <v>1.1544158385061292</v>
      </c>
      <c r="BG8" s="22">
        <f t="shared" si="7"/>
        <v>6.9345395434073795</v>
      </c>
      <c r="BH8" s="62">
        <f t="shared" si="8"/>
        <v>185.72558741985472</v>
      </c>
      <c r="BI8" s="62">
        <f ca="1">AVERAGE(OFFSET($BH$3,0,0,'Données projet'!$E$11+1,1))-AVERAGE(OFFSET($H$3,0,0,'Données projet'!$E$11+1,1))</f>
        <v>500.25828825677058</v>
      </c>
      <c r="BJ8" s="62">
        <f t="shared" si="38"/>
        <v>313.56299786481338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0.6</v>
      </c>
      <c r="BY8" s="13">
        <f>IF('Données projet'!$A$114&gt;35,BY7+BX8-CG7,IF(A8&lt;'Données projet'!$A$114,$BV$205^A8,IF(A8='Données projet'!$A$114,'Données projet'!$B$114,BY7+BX8-CG7)))</f>
        <v>2.0800838230519041</v>
      </c>
      <c r="BZ8" s="14">
        <f>BY8*VLOOKUP('Données projet'!$B$12,Paramètres!$A$1:$I$89,3,0)*VLOOKUP('Données projet'!$B$12,Paramètres!$A$1:$I$89,5,0)</f>
        <v>1.8171612278181437</v>
      </c>
      <c r="CA8" s="14">
        <f t="shared" si="39"/>
        <v>0.78118182019192373</v>
      </c>
      <c r="CB8" s="22">
        <f t="shared" si="10"/>
        <v>4.5254474752842002</v>
      </c>
      <c r="CC8" s="62">
        <f t="shared" si="11"/>
        <v>183.31649535173156</v>
      </c>
      <c r="CD8" s="62">
        <f ca="1">AVERAGE(OFFSET($CC$3,0,0,'Données projet'!$E$12+1,1))-AVERAGE(OFFSET($H$3,0,0,'Données projet'!$E$12+1,1))</f>
        <v>287.22548699835653</v>
      </c>
      <c r="CE8" s="62">
        <f t="shared" si="40"/>
        <v>276.01618888357268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2.84</v>
      </c>
      <c r="N9" s="14">
        <f>IF('Données projet'!$A$36&gt;35,N8+M9-V8,IF(A9&lt;'Données projet'!$A$36,$K$205^A9,IF(A9='Données projet'!$A$36,'Données projet'!$B$36,N8+M9-V8)))</f>
        <v>2.7816469225897635</v>
      </c>
      <c r="O9" s="14">
        <f>N9*VLOOKUP('Données projet'!$B$9,Paramètres!$A$1:$I$89,3,0)*VLOOKUP('Données projet'!$B$9,Paramètres!$A$1:$I$89,5,0)</f>
        <v>2.8205899795060203</v>
      </c>
      <c r="P9" s="14">
        <f t="shared" si="33"/>
        <v>1.1520529819039591</v>
      </c>
      <c r="Q9" s="22">
        <f t="shared" si="2"/>
        <v>6.919019824455714</v>
      </c>
      <c r="R9" s="62">
        <f t="shared" si="0"/>
        <v>188.38927192071469</v>
      </c>
      <c r="S9" s="62">
        <f ca="1">AVERAGE(OFFSET($R$3,0,0,'Données projet'!$E$9+1,1))-AVERAGE(OFFSET($H$3,0,0,'Données projet'!$E$9+1,1))</f>
        <v>446.90706503298787</v>
      </c>
      <c r="T9" s="62">
        <f t="shared" si="34"/>
        <v>275.54513370838777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2.4299084538047828</v>
      </c>
      <c r="AK9" s="14">
        <f t="shared" si="35"/>
        <v>1.0098556766269089</v>
      </c>
      <c r="AL9" s="22">
        <f t="shared" si="4"/>
        <v>5.9909225271685296</v>
      </c>
      <c r="AM9" s="62">
        <f t="shared" si="5"/>
        <v>187.4611746234275</v>
      </c>
      <c r="AN9" s="62">
        <f ca="1">AVERAGE(OFFSET($AM$3,0,0,'Données projet'!$E$10+1,1))-AVERAGE(OFFSET($H$3,0,0,'Données projet'!$E$10+1,1))</f>
        <v>369.59928463850827</v>
      </c>
      <c r="AO9" s="62">
        <f t="shared" si="36"/>
        <v>236.19165554863852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3.65</v>
      </c>
      <c r="BD9" s="13">
        <f>IF('Données projet'!$A$88&gt;35,BD8+BC9-BL8,IF(A9&lt;'Données projet'!$A$88,$BA$205^A9,IF(A9='Données projet'!$A$88,'Données projet'!$B$88,BD8+BC9-BL8)))</f>
        <v>3.6224037772879885</v>
      </c>
      <c r="BE9" s="14">
        <f>BD9*VLOOKUP('Données projet'!$B$11,Paramètres!$A$1:$I$89,3,0)*VLOOKUP('Données projet'!$B$11,Paramètres!$A$1:$I$89,5,0)</f>
        <v>3.5035889333929422</v>
      </c>
      <c r="BF9" s="14">
        <f t="shared" si="37"/>
        <v>1.3953523257036018</v>
      </c>
      <c r="BG9" s="22">
        <f t="shared" si="7"/>
        <v>8.5323226929264795</v>
      </c>
      <c r="BH9" s="62">
        <f t="shared" si="8"/>
        <v>190.00257478918545</v>
      </c>
      <c r="BI9" s="62">
        <f ca="1">AVERAGE(OFFSET($BH$3,0,0,'Données projet'!$E$11+1,1))-AVERAGE(OFFSET($H$3,0,0,'Données projet'!$E$11+1,1))</f>
        <v>500.25828825677058</v>
      </c>
      <c r="BJ9" s="62">
        <f t="shared" si="38"/>
        <v>313.56299786481338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0.6</v>
      </c>
      <c r="BY9" s="13">
        <f>IF('Données projet'!$A$114&gt;35,BY8+BX9-CG8,IF(A9&lt;'Données projet'!$A$114,$BV$205^A9,IF(A9='Données projet'!$A$114,'Données projet'!$B$114,BY8+BX9-CG8)))</f>
        <v>2.4082246852806919</v>
      </c>
      <c r="BZ9" s="14">
        <f>BY9*VLOOKUP('Données projet'!$B$12,Paramètres!$A$1:$I$89,3,0)*VLOOKUP('Données projet'!$B$12,Paramètres!$A$1:$I$89,5,0)</f>
        <v>2.1038250850612128</v>
      </c>
      <c r="CA9" s="14">
        <f t="shared" si="39"/>
        <v>0.88912612901456256</v>
      </c>
      <c r="CB9" s="22">
        <f t="shared" si="10"/>
        <v>5.2127233645153082</v>
      </c>
      <c r="CC9" s="62">
        <f t="shared" si="11"/>
        <v>186.68297546077429</v>
      </c>
      <c r="CD9" s="62">
        <f ca="1">AVERAGE(OFFSET($CC$3,0,0,'Données projet'!$E$12+1,1))-AVERAGE(OFFSET($H$3,0,0,'Données projet'!$E$12+1,1))</f>
        <v>287.22548699835653</v>
      </c>
      <c r="CE9" s="62">
        <f t="shared" si="40"/>
        <v>276.01618888357268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2.84</v>
      </c>
      <c r="N10" s="14">
        <f>IF('Données projet'!$A$36&gt;35,N9+M10-V9,IF(A10&lt;'Données projet'!$A$36,$K$205^A10,IF(A10='Données projet'!$A$36,'Données projet'!$B$36,N9+M10-V9)))</f>
        <v>3.2987722888587467</v>
      </c>
      <c r="O10" s="14">
        <f>N10*VLOOKUP('Données projet'!$B$9,Paramètres!$A$1:$I$89,3,0)*VLOOKUP('Données projet'!$B$9,Paramètres!$A$1:$I$89,5,0)</f>
        <v>3.3449551009027689</v>
      </c>
      <c r="P10" s="14">
        <f t="shared" si="33"/>
        <v>1.3393785128914457</v>
      </c>
      <c r="Q10" s="22">
        <f t="shared" si="2"/>
        <v>8.1585477106915896</v>
      </c>
      <c r="R10" s="62">
        <f t="shared" si="0"/>
        <v>192.28272864642781</v>
      </c>
      <c r="S10" s="62">
        <f ca="1">AVERAGE(OFFSET($R$3,0,0,'Données projet'!$E$9+1,1))-AVERAGE(OFFSET($H$3,0,0,'Données projet'!$E$9+1,1))</f>
        <v>446.90706503298787</v>
      </c>
      <c r="T10" s="62">
        <f t="shared" si="34"/>
        <v>275.54513370838777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3.011314081352312</v>
      </c>
      <c r="AK10" s="14">
        <f t="shared" si="35"/>
        <v>1.2206212181130434</v>
      </c>
      <c r="AL10" s="22">
        <f t="shared" si="4"/>
        <v>7.3706206465688275</v>
      </c>
      <c r="AM10" s="62">
        <f t="shared" si="5"/>
        <v>191.49480158230506</v>
      </c>
      <c r="AN10" s="62">
        <f ca="1">AVERAGE(OFFSET($AM$3,0,0,'Données projet'!$E$10+1,1))-AVERAGE(OFFSET($H$3,0,0,'Données projet'!$E$10+1,1))</f>
        <v>369.59928463850827</v>
      </c>
      <c r="AO10" s="62">
        <f t="shared" si="36"/>
        <v>236.19165554863852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3.65</v>
      </c>
      <c r="BD10" s="13">
        <f>IF('Données projet'!$A$88&gt;35,BD9+BC10-BL9,IF(A10&lt;'Données projet'!$A$88,$BA$205^A10,IF(A10='Données projet'!$A$88,'Données projet'!$B$88,BD9+BC10-BL9)))</f>
        <v>4.4891384635544309</v>
      </c>
      <c r="BE10" s="14">
        <f>BD10*VLOOKUP('Données projet'!$B$11,Paramètres!$A$1:$I$89,3,0)*VLOOKUP('Données projet'!$B$11,Paramètres!$A$1:$I$89,5,0)</f>
        <v>4.3418947219498456</v>
      </c>
      <c r="BF10" s="14">
        <f t="shared" si="37"/>
        <v>1.6865743243491664</v>
      </c>
      <c r="BG10" s="22">
        <f t="shared" si="7"/>
        <v>10.499583588970779</v>
      </c>
      <c r="BH10" s="62">
        <f t="shared" si="8"/>
        <v>194.62376452470701</v>
      </c>
      <c r="BI10" s="62">
        <f ca="1">AVERAGE(OFFSET($BH$3,0,0,'Données projet'!$E$11+1,1))-AVERAGE(OFFSET($H$3,0,0,'Données projet'!$E$11+1,1))</f>
        <v>500.25828825677058</v>
      </c>
      <c r="BJ10" s="62">
        <f t="shared" si="38"/>
        <v>313.56299786481338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0.6</v>
      </c>
      <c r="BY10" s="13">
        <f>IF('Données projet'!$A$114&gt;35,BY9+BX10-CG9,IF(A10&lt;'Données projet'!$A$114,$BV$205^A10,IF(A10='Données projet'!$A$114,'Données projet'!$B$114,BY9+BX10-CG9)))</f>
        <v>2.788130973628832</v>
      </c>
      <c r="BZ10" s="14">
        <f>BY10*VLOOKUP('Données projet'!$B$12,Paramètres!$A$1:$I$89,3,0)*VLOOKUP('Données projet'!$B$12,Paramètres!$A$1:$I$89,5,0)</f>
        <v>2.4357112185621479</v>
      </c>
      <c r="CA10" s="14">
        <f t="shared" si="39"/>
        <v>1.0119862660170416</v>
      </c>
      <c r="CB10" s="22">
        <f t="shared" si="10"/>
        <v>6.0047397856420881</v>
      </c>
      <c r="CC10" s="62">
        <f t="shared" si="11"/>
        <v>190.12892072137834</v>
      </c>
      <c r="CD10" s="62">
        <f ca="1">AVERAGE(OFFSET($CC$3,0,0,'Données projet'!$E$12+1,1))-AVERAGE(OFFSET($H$3,0,0,'Données projet'!$E$12+1,1))</f>
        <v>287.22548699835653</v>
      </c>
      <c r="CE10" s="62">
        <f t="shared" si="40"/>
        <v>276.01618888357268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2.84</v>
      </c>
      <c r="N11" s="14">
        <f>IF('Données projet'!$A$36&gt;35,N10+M11-V10,IF(A11&lt;'Données projet'!$A$36,$K$205^A11,IF(A11='Données projet'!$A$36,'Données projet'!$B$36,N10+M11-V10)))</f>
        <v>3.9120344589280696</v>
      </c>
      <c r="O11" s="14">
        <f>N11*VLOOKUP('Données projet'!$B$9,Paramètres!$A$1:$I$89,3,0)*VLOOKUP('Données projet'!$B$9,Paramètres!$A$1:$I$89,5,0)</f>
        <v>3.9668029413530626</v>
      </c>
      <c r="P11" s="14">
        <f t="shared" si="33"/>
        <v>1.5571634542627768</v>
      </c>
      <c r="Q11" s="22">
        <f t="shared" si="2"/>
        <v>9.6209081390309201</v>
      </c>
      <c r="R11" s="62">
        <f t="shared" si="0"/>
        <v>196.37418100525147</v>
      </c>
      <c r="S11" s="62">
        <f ca="1">AVERAGE(OFFSET($R$3,0,0,'Données projet'!$E$9+1,1))-AVERAGE(OFFSET($H$3,0,0,'Données projet'!$E$9+1,1))</f>
        <v>446.90706503298787</v>
      </c>
      <c r="T11" s="62">
        <f t="shared" si="34"/>
        <v>275.54513370838777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3.7318329759921229</v>
      </c>
      <c r="AK11" s="14">
        <f t="shared" si="35"/>
        <v>1.4753753358938833</v>
      </c>
      <c r="AL11" s="22">
        <f t="shared" si="4"/>
        <v>9.0692211432014602</v>
      </c>
      <c r="AM11" s="62">
        <f t="shared" si="5"/>
        <v>195.82249400942203</v>
      </c>
      <c r="AN11" s="62">
        <f ca="1">AVERAGE(OFFSET($AM$3,0,0,'Données projet'!$E$10+1,1))-AVERAGE(OFFSET($H$3,0,0,'Données projet'!$E$10+1,1))</f>
        <v>369.59928463850827</v>
      </c>
      <c r="AO11" s="62">
        <f t="shared" si="36"/>
        <v>236.19165554863852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3.65</v>
      </c>
      <c r="BD11" s="13">
        <f>IF('Données projet'!$A$88&gt;35,BD10+BC11-BL10,IF(A11&lt;'Données projet'!$A$88,$BA$205^A11,IF(A11='Données projet'!$A$88,'Données projet'!$B$88,BD10+BC11-BL10)))</f>
        <v>5.563257268920875</v>
      </c>
      <c r="BE11" s="14">
        <f>BD11*VLOOKUP('Données projet'!$B$11,Paramètres!$A$1:$I$89,3,0)*VLOOKUP('Données projet'!$B$11,Paramètres!$A$1:$I$89,5,0)</f>
        <v>5.3807824305002701</v>
      </c>
      <c r="BF11" s="14">
        <f t="shared" si="37"/>
        <v>2.0385768519929188</v>
      </c>
      <c r="BG11" s="22">
        <f t="shared" si="7"/>
        <v>12.922050750342303</v>
      </c>
      <c r="BH11" s="62">
        <f t="shared" si="8"/>
        <v>199.67532361656285</v>
      </c>
      <c r="BI11" s="62">
        <f ca="1">AVERAGE(OFFSET($BH$3,0,0,'Données projet'!$E$11+1,1))-AVERAGE(OFFSET($H$3,0,0,'Données projet'!$E$11+1,1))</f>
        <v>500.25828825677058</v>
      </c>
      <c r="BJ11" s="62">
        <f t="shared" si="38"/>
        <v>313.56299786481338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0.6</v>
      </c>
      <c r="BY11" s="13">
        <f>IF('Données projet'!$A$114&gt;35,BY10+BX11-CG10,IF(A11&lt;'Données projet'!$A$114,$BV$205^A11,IF(A11='Données projet'!$A$114,'Données projet'!$B$114,BY10+BX11-CG10)))</f>
        <v>3.227968874176038</v>
      </c>
      <c r="BZ11" s="14">
        <f>BY11*VLOOKUP('Données projet'!$B$12,Paramètres!$A$1:$I$89,3,0)*VLOOKUP('Données projet'!$B$12,Paramètres!$A$1:$I$89,5,0)</f>
        <v>2.8199536084801871</v>
      </c>
      <c r="CA11" s="14">
        <f t="shared" si="39"/>
        <v>1.1518233118873293</v>
      </c>
      <c r="CB11" s="22">
        <f t="shared" si="10"/>
        <v>6.9175114696400923</v>
      </c>
      <c r="CC11" s="62">
        <f t="shared" si="11"/>
        <v>193.67078433586065</v>
      </c>
      <c r="CD11" s="62">
        <f ca="1">AVERAGE(OFFSET($CC$3,0,0,'Données projet'!$E$12+1,1))-AVERAGE(OFFSET($H$3,0,0,'Données projet'!$E$12+1,1))</f>
        <v>287.22548699835653</v>
      </c>
      <c r="CE11" s="62">
        <f t="shared" si="40"/>
        <v>276.01618888357268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2.84</v>
      </c>
      <c r="N12" s="14">
        <f>IF('Données projet'!$A$36&gt;35,N11+M12-V11,IF(A12&lt;'Données projet'!$A$36,$K$205^A12,IF(A12='Données projet'!$A$36,'Données projet'!$B$36,N11+M12-V11)))</f>
        <v>4.6393058591914071</v>
      </c>
      <c r="O12" s="14">
        <f>N12*VLOOKUP('Données projet'!$B$9,Paramètres!$A$1:$I$89,3,0)*VLOOKUP('Données projet'!$B$9,Paramètres!$A$1:$I$89,5,0)</f>
        <v>4.7042561412200872</v>
      </c>
      <c r="P12" s="14">
        <f t="shared" si="33"/>
        <v>1.8103605515195429</v>
      </c>
      <c r="Q12" s="22">
        <f t="shared" si="2"/>
        <v>11.346290739854856</v>
      </c>
      <c r="R12" s="62">
        <f t="shared" si="0"/>
        <v>200.70424949241092</v>
      </c>
      <c r="S12" s="62">
        <f ca="1">AVERAGE(OFFSET($R$3,0,0,'Données projet'!$E$9+1,1))-AVERAGE(OFFSET($H$3,0,0,'Données projet'!$E$9+1,1))</f>
        <v>446.90706503298787</v>
      </c>
      <c r="T12" s="62">
        <f t="shared" si="34"/>
        <v>275.54513370838777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4.6247508511128528</v>
      </c>
      <c r="AK12" s="14">
        <f t="shared" si="35"/>
        <v>1.7832988231426912</v>
      </c>
      <c r="AL12" s="22">
        <f t="shared" si="4"/>
        <v>11.160686515995073</v>
      </c>
      <c r="AM12" s="62">
        <f t="shared" si="5"/>
        <v>200.51864526855115</v>
      </c>
      <c r="AN12" s="62">
        <f ca="1">AVERAGE(OFFSET($AM$3,0,0,'Données projet'!$E$10+1,1))-AVERAGE(OFFSET($H$3,0,0,'Données projet'!$E$10+1,1))</f>
        <v>369.59928463850827</v>
      </c>
      <c r="AO12" s="62">
        <f t="shared" si="36"/>
        <v>236.19165554863852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3.65</v>
      </c>
      <c r="BD12" s="13">
        <f>IF('Données projet'!$A$88&gt;35,BD11+BC12-BL11,IF(A12&lt;'Données projet'!$A$88,$BA$205^A12,IF(A12='Données projet'!$A$88,'Données projet'!$B$88,BD11+BC12-BL11)))</f>
        <v>6.8943811137639424</v>
      </c>
      <c r="BE12" s="14">
        <f>BD12*VLOOKUP('Données projet'!$B$11,Paramètres!$A$1:$I$89,3,0)*VLOOKUP('Données projet'!$B$11,Paramètres!$A$1:$I$89,5,0)</f>
        <v>6.6682454132324853</v>
      </c>
      <c r="BF12" s="14">
        <f t="shared" si="37"/>
        <v>2.4640453263659414</v>
      </c>
      <c r="BG12" s="22">
        <f t="shared" si="7"/>
        <v>15.905406371467258</v>
      </c>
      <c r="BH12" s="62">
        <f t="shared" si="8"/>
        <v>205.26336512402332</v>
      </c>
      <c r="BI12" s="62">
        <f ca="1">AVERAGE(OFFSET($BH$3,0,0,'Données projet'!$E$11+1,1))-AVERAGE(OFFSET($H$3,0,0,'Données projet'!$E$11+1,1))</f>
        <v>500.25828825677058</v>
      </c>
      <c r="BJ12" s="62">
        <f t="shared" si="38"/>
        <v>313.56299786481338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0.6</v>
      </c>
      <c r="BY12" s="13">
        <f>IF('Données projet'!$A$114&gt;35,BY11+BX12-CG11,IF(A12&lt;'Données projet'!$A$114,$BV$205^A12,IF(A12='Données projet'!$A$114,'Données projet'!$B$114,BY11+BX12-CG11)))</f>
        <v>3.7371928188465526</v>
      </c>
      <c r="BZ12" s="14">
        <f>BY12*VLOOKUP('Données projet'!$B$12,Paramètres!$A$1:$I$89,3,0)*VLOOKUP('Données projet'!$B$12,Paramètres!$A$1:$I$89,5,0)</f>
        <v>3.2648116465443486</v>
      </c>
      <c r="CA12" s="14">
        <f t="shared" si="39"/>
        <v>1.310983149038857</v>
      </c>
      <c r="CB12" s="22">
        <f t="shared" si="10"/>
        <v>7.9695092689740825</v>
      </c>
      <c r="CC12" s="62">
        <f t="shared" si="11"/>
        <v>197.32746802153017</v>
      </c>
      <c r="CD12" s="62">
        <f ca="1">AVERAGE(OFFSET($CC$3,0,0,'Données projet'!$E$12+1,1))-AVERAGE(OFFSET($H$3,0,0,'Données projet'!$E$12+1,1))</f>
        <v>287.22548699835653</v>
      </c>
      <c r="CE12" s="62">
        <f t="shared" si="40"/>
        <v>276.01618888357268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2.84</v>
      </c>
      <c r="N13" s="14">
        <f>IF('Données projet'!$A$36&gt;35,N12+M13-V12,IF(A13&lt;'Données projet'!$A$36,$K$205^A13,IF(A13='Données projet'!$A$36,'Données projet'!$B$36,N12+M13-V12)))</f>
        <v>5.5017815106427381</v>
      </c>
      <c r="O13" s="14">
        <f>N13*VLOOKUP('Données projet'!$B$9,Paramètres!$A$1:$I$89,3,0)*VLOOKUP('Données projet'!$B$9,Paramètres!$A$1:$I$89,5,0)</f>
        <v>5.5788064517917366</v>
      </c>
      <c r="P13" s="14">
        <f t="shared" si="33"/>
        <v>2.1047278739596393</v>
      </c>
      <c r="Q13" s="22">
        <f t="shared" si="2"/>
        <v>13.382155617350314</v>
      </c>
      <c r="R13" s="62">
        <f t="shared" si="0"/>
        <v>205.32081760239521</v>
      </c>
      <c r="S13" s="62">
        <f ca="1">AVERAGE(OFFSET($R$3,0,0,'Données projet'!$E$9+1,1))-AVERAGE(OFFSET($H$3,0,0,'Données projet'!$E$9+1,1))</f>
        <v>446.90706503298787</v>
      </c>
      <c r="T13" s="62">
        <f t="shared" si="34"/>
        <v>275.54513370838777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5.7313177123590009</v>
      </c>
      <c r="AK13" s="14">
        <f t="shared" si="35"/>
        <v>2.1554885833138533</v>
      </c>
      <c r="AL13" s="22">
        <f t="shared" si="4"/>
        <v>13.736187631630221</v>
      </c>
      <c r="AM13" s="62">
        <f t="shared" si="5"/>
        <v>205.67484961667512</v>
      </c>
      <c r="AN13" s="62">
        <f ca="1">AVERAGE(OFFSET($AM$3,0,0,'Données projet'!$E$10+1,1))-AVERAGE(OFFSET($H$3,0,0,'Données projet'!$E$10+1,1))</f>
        <v>369.59928463850827</v>
      </c>
      <c r="AO13" s="62">
        <f t="shared" si="36"/>
        <v>236.19165554863852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3.65</v>
      </c>
      <c r="BD13" s="13">
        <f>IF('Données projet'!$A$88&gt;35,BD12+BC13-BL12,IF(A13&lt;'Données projet'!$A$88,$BA$205^A13,IF(A13='Données projet'!$A$88,'Données projet'!$B$88,BD12+BC13-BL12)))</f>
        <v>8.5440037453175322</v>
      </c>
      <c r="BE13" s="14">
        <f>BD13*VLOOKUP('Données projet'!$B$11,Paramètres!$A$1:$I$89,3,0)*VLOOKUP('Données projet'!$B$11,Paramètres!$A$1:$I$89,5,0)</f>
        <v>8.2637604224711172</v>
      </c>
      <c r="BF13" s="14">
        <f t="shared" si="37"/>
        <v>2.9783127206856603</v>
      </c>
      <c r="BG13" s="22">
        <f t="shared" si="7"/>
        <v>19.579944057664719</v>
      </c>
      <c r="BH13" s="62">
        <f t="shared" si="8"/>
        <v>211.51860604270962</v>
      </c>
      <c r="BI13" s="62">
        <f ca="1">AVERAGE(OFFSET($BH$3,0,0,'Données projet'!$E$11+1,1))-AVERAGE(OFFSET($H$3,0,0,'Données projet'!$E$11+1,1))</f>
        <v>500.25828825677058</v>
      </c>
      <c r="BJ13" s="62">
        <f t="shared" si="38"/>
        <v>313.56299786481338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0.6</v>
      </c>
      <c r="BY13" s="13">
        <f>IF('Données projet'!$A$114&gt;35,BY12+BX13-CG12,IF(A13&lt;'Données projet'!$A$114,$BV$205^A13,IF(A13='Données projet'!$A$114,'Données projet'!$B$114,BY12+BX13-CG12)))</f>
        <v>4.3267487109222253</v>
      </c>
      <c r="BZ13" s="14">
        <f>BY13*VLOOKUP('Données projet'!$B$12,Paramètres!$A$1:$I$89,3,0)*VLOOKUP('Données projet'!$B$12,Paramètres!$A$1:$I$89,5,0)</f>
        <v>3.7798476738616569</v>
      </c>
      <c r="CA13" s="14">
        <f t="shared" si="39"/>
        <v>1.4921358157334794</v>
      </c>
      <c r="CB13" s="22">
        <f t="shared" si="10"/>
        <v>9.182037911044862</v>
      </c>
      <c r="CC13" s="62">
        <f t="shared" si="11"/>
        <v>201.12069989608975</v>
      </c>
      <c r="CD13" s="62">
        <f ca="1">AVERAGE(OFFSET($CC$3,0,0,'Données projet'!$E$12+1,1))-AVERAGE(OFFSET($H$3,0,0,'Données projet'!$E$12+1,1))</f>
        <v>287.22548699835653</v>
      </c>
      <c r="CE13" s="62">
        <f t="shared" si="40"/>
        <v>276.01618888357268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2.84</v>
      </c>
      <c r="N14" s="14">
        <f>IF('Données projet'!$A$36&gt;35,N13+M14-V13,IF(A14&lt;'Données projet'!$A$36,$K$205^A14,IF(A14='Données projet'!$A$36,'Données projet'!$B$36,N13+M14-V13)))</f>
        <v>6.5245967197614414</v>
      </c>
      <c r="O14" s="14">
        <f>N14*VLOOKUP('Données projet'!$B$9,Paramètres!$A$1:$I$89,3,0)*VLOOKUP('Données projet'!$B$9,Paramètres!$A$1:$I$89,5,0)</f>
        <v>6.6159410738381021</v>
      </c>
      <c r="P14" s="14">
        <f t="shared" si="33"/>
        <v>2.4469597615261804</v>
      </c>
      <c r="Q14" s="22">
        <f t="shared" si="2"/>
        <v>15.784552288259455</v>
      </c>
      <c r="R14" s="62">
        <f t="shared" si="0"/>
        <v>210.28035089737358</v>
      </c>
      <c r="S14" s="62">
        <f ca="1">AVERAGE(OFFSET($R$3,0,0,'Données projet'!$E$9+1,1))-AVERAGE(OFFSET($H$3,0,0,'Données projet'!$E$9+1,1))</f>
        <v>446.90706503298787</v>
      </c>
      <c r="T14" s="62">
        <f t="shared" si="34"/>
        <v>275.54513370838777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7.102653478531888</v>
      </c>
      <c r="AK14" s="14">
        <f t="shared" si="35"/>
        <v>2.6053575387934864</v>
      </c>
      <c r="AL14" s="22">
        <f t="shared" si="4"/>
        <v>16.908119188508362</v>
      </c>
      <c r="AM14" s="62">
        <f t="shared" si="5"/>
        <v>211.40391779762248</v>
      </c>
      <c r="AN14" s="62">
        <f ca="1">AVERAGE(OFFSET($AM$3,0,0,'Données projet'!$E$10+1,1))-AVERAGE(OFFSET($H$3,0,0,'Données projet'!$E$10+1,1))</f>
        <v>369.59928463850827</v>
      </c>
      <c r="AO14" s="62">
        <f t="shared" si="36"/>
        <v>236.19165554863852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3.65</v>
      </c>
      <c r="BD14" s="13">
        <f>IF('Données projet'!$A$88&gt;35,BD13+BC14-BL13,IF(A14&lt;'Données projet'!$A$88,$BA$205^A14,IF(A14='Données projet'!$A$88,'Données projet'!$B$88,BD13+BC14-BL13)))</f>
        <v>10.588332555950936</v>
      </c>
      <c r="BE14" s="14">
        <f>BD14*VLOOKUP('Données projet'!$B$11,Paramètres!$A$1:$I$89,3,0)*VLOOKUP('Données projet'!$B$11,Paramètres!$A$1:$I$89,5,0)</f>
        <v>10.241035248115747</v>
      </c>
      <c r="BF14" s="14">
        <f t="shared" si="37"/>
        <v>3.5999121311945652</v>
      </c>
      <c r="BG14" s="22">
        <f t="shared" si="7"/>
        <v>24.106316685632123</v>
      </c>
      <c r="BH14" s="62">
        <f t="shared" si="8"/>
        <v>218.60211529474626</v>
      </c>
      <c r="BI14" s="62">
        <f ca="1">AVERAGE(OFFSET($BH$3,0,0,'Données projet'!$E$11+1,1))-AVERAGE(OFFSET($H$3,0,0,'Données projet'!$E$11+1,1))</f>
        <v>500.25828825677058</v>
      </c>
      <c r="BJ14" s="62">
        <f t="shared" si="38"/>
        <v>313.56299786481338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0.6</v>
      </c>
      <c r="BY14" s="13">
        <f>IF('Données projet'!$A$114&gt;35,BY13+BX14-CG13,IF(A14&lt;'Données projet'!$A$114,$BV$205^A14,IF(A14='Données projet'!$A$114,'Données projet'!$B$114,BY13+BX14-CG13)))</f>
        <v>5.0093092101266317</v>
      </c>
      <c r="BZ14" s="14">
        <f>BY14*VLOOKUP('Données projet'!$B$12,Paramètres!$A$1:$I$89,3,0)*VLOOKUP('Données projet'!$B$12,Paramètres!$A$1:$I$89,5,0)</f>
        <v>4.3761325259666259</v>
      </c>
      <c r="CA14" s="14">
        <f t="shared" si="39"/>
        <v>1.69832029818762</v>
      </c>
      <c r="CB14" s="22">
        <f t="shared" si="10"/>
        <v>10.579672002068646</v>
      </c>
      <c r="CC14" s="62">
        <f t="shared" si="11"/>
        <v>205.07547061118277</v>
      </c>
      <c r="CD14" s="62">
        <f ca="1">AVERAGE(OFFSET($CC$3,0,0,'Données projet'!$E$12+1,1))-AVERAGE(OFFSET($H$3,0,0,'Données projet'!$E$12+1,1))</f>
        <v>287.22548699835653</v>
      </c>
      <c r="CE14" s="62">
        <f t="shared" si="40"/>
        <v>276.01618888357268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2.84</v>
      </c>
      <c r="N15" s="14">
        <f>IF('Données projet'!$A$36&gt;35,N14+M15-V14,IF(A15&lt;'Données projet'!$A$36,$K$205^A15,IF(A15='Données projet'!$A$36,'Données projet'!$B$36,N14+M15-V14)))</f>
        <v>7.7375596019531026</v>
      </c>
      <c r="O15" s="14">
        <f>N15*VLOOKUP('Données projet'!$B$9,Paramètres!$A$1:$I$89,3,0)*VLOOKUP('Données projet'!$B$9,Paramètres!$A$1:$I$89,5,0)</f>
        <v>7.8458854363804464</v>
      </c>
      <c r="P15" s="14">
        <f t="shared" si="33"/>
        <v>2.844839063809101</v>
      </c>
      <c r="Q15" s="22">
        <f t="shared" si="2"/>
        <v>18.619678504496793</v>
      </c>
      <c r="R15" s="62">
        <f t="shared" si="0"/>
        <v>215.64945595722966</v>
      </c>
      <c r="S15" s="62">
        <f ca="1">AVERAGE(OFFSET($R$3,0,0,'Données projet'!$E$9+1,1))-AVERAGE(OFFSET($H$3,0,0,'Données projet'!$E$9+1,1))</f>
        <v>446.90706503298787</v>
      </c>
      <c r="T15" s="62">
        <f t="shared" si="34"/>
        <v>275.54513370838777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8.8021095615264606</v>
      </c>
      <c r="AK15" s="14">
        <f t="shared" si="35"/>
        <v>3.1491180039155391</v>
      </c>
      <c r="AL15" s="22">
        <f t="shared" si="4"/>
        <v>20.815054676478152</v>
      </c>
      <c r="AM15" s="62">
        <f t="shared" si="5"/>
        <v>217.84483212921103</v>
      </c>
      <c r="AN15" s="62">
        <f ca="1">AVERAGE(OFFSET($AM$3,0,0,'Données projet'!$E$10+1,1))-AVERAGE(OFFSET($H$3,0,0,'Données projet'!$E$10+1,1))</f>
        <v>369.59928463850827</v>
      </c>
      <c r="AO15" s="62">
        <f t="shared" si="36"/>
        <v>236.19165554863852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3.65</v>
      </c>
      <c r="BD15" s="13">
        <f>IF('Données projet'!$A$88&gt;35,BD14+BC15-BL14,IF(A15&lt;'Données projet'!$A$88,$BA$205^A15,IF(A15='Données projet'!$A$88,'Données projet'!$B$88,BD14+BC15-BL14)))</f>
        <v>13.121809125710287</v>
      </c>
      <c r="BE15" s="14">
        <f>BD15*VLOOKUP('Données projet'!$B$11,Paramètres!$A$1:$I$89,3,0)*VLOOKUP('Données projet'!$B$11,Paramètres!$A$1:$I$89,5,0)</f>
        <v>12.69141378638699</v>
      </c>
      <c r="BF15" s="14">
        <f t="shared" si="37"/>
        <v>4.3512446702837533</v>
      </c>
      <c r="BG15" s="22">
        <f t="shared" si="7"/>
        <v>29.682630145368211</v>
      </c>
      <c r="BH15" s="62">
        <f t="shared" si="8"/>
        <v>226.71240759810109</v>
      </c>
      <c r="BI15" s="62">
        <f ca="1">AVERAGE(OFFSET($BH$3,0,0,'Données projet'!$E$11+1,1))-AVERAGE(OFFSET($H$3,0,0,'Données projet'!$E$11+1,1))</f>
        <v>500.25828825677058</v>
      </c>
      <c r="BJ15" s="62">
        <f t="shared" si="38"/>
        <v>313.56299786481338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0.6</v>
      </c>
      <c r="BY15" s="13">
        <f>IF('Données projet'!$A$114&gt;35,BY14+BX15-CG14,IF(A15&lt;'Données projet'!$A$114,$BV$205^A15,IF(A15='Données projet'!$A$114,'Données projet'!$B$114,BY14+BX15-CG14)))</f>
        <v>5.799546134795289</v>
      </c>
      <c r="BZ15" s="14">
        <f>BY15*VLOOKUP('Données projet'!$B$12,Paramètres!$A$1:$I$89,3,0)*VLOOKUP('Données projet'!$B$12,Paramètres!$A$1:$I$89,5,0)</f>
        <v>5.0664835033571656</v>
      </c>
      <c r="CA15" s="14">
        <f t="shared" si="39"/>
        <v>1.9329955120863267</v>
      </c>
      <c r="CB15" s="22">
        <f t="shared" si="10"/>
        <v>12.190759285230749</v>
      </c>
      <c r="CC15" s="62">
        <f t="shared" si="11"/>
        <v>209.22053673796361</v>
      </c>
      <c r="CD15" s="62">
        <f ca="1">AVERAGE(OFFSET($CC$3,0,0,'Données projet'!$E$12+1,1))-AVERAGE(OFFSET($H$3,0,0,'Données projet'!$E$12+1,1))</f>
        <v>287.22548699835653</v>
      </c>
      <c r="CE15" s="62">
        <f t="shared" si="40"/>
        <v>276.01618888357268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2.84</v>
      </c>
      <c r="N16" s="14">
        <f>IF('Données projet'!$A$36&gt;35,N15+M16-V15,IF(A16&lt;'Données projet'!$A$36,$K$205^A16,IF(A16='Données projet'!$A$36,'Données projet'!$B$36,N15+M16-V15)))</f>
        <v>9.1760197856283234</v>
      </c>
      <c r="O16" s="14">
        <f>N16*VLOOKUP('Données projet'!$B$9,Paramètres!$A$1:$I$89,3,0)*VLOOKUP('Données projet'!$B$9,Paramètres!$A$1:$I$89,5,0)</f>
        <v>9.3044840626271217</v>
      </c>
      <c r="P16" s="14">
        <f t="shared" si="33"/>
        <v>3.3074141333352105</v>
      </c>
      <c r="Q16" s="22">
        <f t="shared" si="2"/>
        <v>21.965722691301057</v>
      </c>
      <c r="R16" s="62">
        <f t="shared" si="0"/>
        <v>221.50672294291988</v>
      </c>
      <c r="S16" s="62">
        <f ca="1">AVERAGE(OFFSET($R$3,0,0,'Données projet'!$E$9+1,1))-AVERAGE(OFFSET($H$3,0,0,'Données projet'!$E$9+1,1))</f>
        <v>446.90706503298787</v>
      </c>
      <c r="T16" s="62">
        <f t="shared" si="34"/>
        <v>275.54513370838777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10.908195502891123</v>
      </c>
      <c r="AK16" s="14">
        <f t="shared" si="35"/>
        <v>3.8063659420723552</v>
      </c>
      <c r="AL16" s="22">
        <f t="shared" si="4"/>
        <v>25.627861183311392</v>
      </c>
      <c r="AM16" s="62">
        <f t="shared" si="5"/>
        <v>225.16886143493019</v>
      </c>
      <c r="AN16" s="62">
        <f ca="1">AVERAGE(OFFSET($AM$3,0,0,'Données projet'!$E$10+1,1))-AVERAGE(OFFSET($H$3,0,0,'Données projet'!$E$10+1,1))</f>
        <v>369.59928463850827</v>
      </c>
      <c r="AO16" s="62">
        <f t="shared" si="36"/>
        <v>236.19165554863852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3.65</v>
      </c>
      <c r="BD16" s="13">
        <f>IF('Données projet'!$A$88&gt;35,BD15+BC16-BL15,IF(A16&lt;'Données projet'!$A$88,$BA$205^A16,IF(A16='Données projet'!$A$88,'Données projet'!$B$88,BD15+BC16-BL15)))</f>
        <v>16.261472127148366</v>
      </c>
      <c r="BE16" s="14">
        <f>BD16*VLOOKUP('Données projet'!$B$11,Paramètres!$A$1:$I$89,3,0)*VLOOKUP('Données projet'!$B$11,Paramètres!$A$1:$I$89,5,0)</f>
        <v>15.728095841377899</v>
      </c>
      <c r="BF16" s="14">
        <f t="shared" si="37"/>
        <v>5.2593867546400634</v>
      </c>
      <c r="BG16" s="22">
        <f t="shared" si="7"/>
        <v>36.553198854731285</v>
      </c>
      <c r="BH16" s="62">
        <f t="shared" si="8"/>
        <v>236.09419910635009</v>
      </c>
      <c r="BI16" s="62">
        <f ca="1">AVERAGE(OFFSET($BH$3,0,0,'Données projet'!$E$11+1,1))-AVERAGE(OFFSET($H$3,0,0,'Données projet'!$E$11+1,1))</f>
        <v>500.25828825677058</v>
      </c>
      <c r="BJ16" s="62">
        <f t="shared" si="38"/>
        <v>313.56299786481338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0.6</v>
      </c>
      <c r="BY16" s="13">
        <f>IF('Données projet'!$A$114&gt;35,BY15+BX16-CG15,IF(A16&lt;'Données projet'!$A$114,$BV$205^A16,IF(A16='Données projet'!$A$114,'Données projet'!$B$114,BY15+BX16-CG15)))</f>
        <v>6.7144458364886441</v>
      </c>
      <c r="BZ16" s="14">
        <f>BY16*VLOOKUP('Données projet'!$B$12,Paramètres!$A$1:$I$89,3,0)*VLOOKUP('Données projet'!$B$12,Paramètres!$A$1:$I$89,5,0)</f>
        <v>5.86573988275648</v>
      </c>
      <c r="CA16" s="14">
        <f t="shared" si="39"/>
        <v>2.2000983287624218</v>
      </c>
      <c r="CB16" s="22">
        <f t="shared" si="10"/>
        <v>14.048001551728753</v>
      </c>
      <c r="CC16" s="62">
        <f t="shared" si="11"/>
        <v>213.58900180334757</v>
      </c>
      <c r="CD16" s="62">
        <f ca="1">AVERAGE(OFFSET($CC$3,0,0,'Données projet'!$E$12+1,1))-AVERAGE(OFFSET($H$3,0,0,'Données projet'!$E$12+1,1))</f>
        <v>287.22548699835653</v>
      </c>
      <c r="CE16" s="62">
        <f t="shared" si="40"/>
        <v>276.01618888357268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2.84</v>
      </c>
      <c r="N17" s="14">
        <f>IF('Données projet'!$A$36&gt;35,N16+M17-V16,IF(A17&lt;'Données projet'!$A$36,$K$205^A17,IF(A17='Données projet'!$A$36,'Données projet'!$B$36,N16+M17-V16)))</f>
        <v>10.881898613742376</v>
      </c>
      <c r="O17" s="14">
        <f>N17*VLOOKUP('Données projet'!$B$9,Paramètres!$A$1:$I$89,3,0)*VLOOKUP('Données projet'!$B$9,Paramètres!$A$1:$I$89,5,0)</f>
        <v>11.034245194334769</v>
      </c>
      <c r="P17" s="14">
        <f t="shared" si="33"/>
        <v>3.8452045982308483</v>
      </c>
      <c r="Q17" s="22">
        <f t="shared" si="2"/>
        <v>25.915041722051782</v>
      </c>
      <c r="R17" s="62">
        <f t="shared" si="0"/>
        <v>227.94490349432499</v>
      </c>
      <c r="S17" s="62">
        <f ca="1">AVERAGE(OFFSET($R$3,0,0,'Données projet'!$E$9+1,1))-AVERAGE(OFFSET($H$3,0,0,'Données projet'!$E$9+1,1))</f>
        <v>446.90706503298787</v>
      </c>
      <c r="T17" s="62">
        <f t="shared" si="34"/>
        <v>275.54513370838777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13.518205868441742</v>
      </c>
      <c r="AK17" s="14">
        <f t="shared" si="35"/>
        <v>4.6007871622955445</v>
      </c>
      <c r="AL17" s="22">
        <f t="shared" si="4"/>
        <v>31.557246195200772</v>
      </c>
      <c r="AM17" s="62">
        <f t="shared" si="5"/>
        <v>233.58710796747397</v>
      </c>
      <c r="AN17" s="62">
        <f ca="1">AVERAGE(OFFSET($AM$3,0,0,'Données projet'!$E$10+1,1))-AVERAGE(OFFSET($H$3,0,0,'Données projet'!$E$10+1,1))</f>
        <v>369.59928463850827</v>
      </c>
      <c r="AO17" s="62">
        <f t="shared" si="36"/>
        <v>236.19165554863852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3.65</v>
      </c>
      <c r="BD17" s="13">
        <f>IF('Données projet'!$A$88&gt;35,BD16+BC17-BL16,IF(A17&lt;'Données projet'!$A$88,$BA$205^A17,IF(A17='Données projet'!$A$88,'Données projet'!$B$88,BD16+BC17-BL16)))</f>
        <v>20.152364144963837</v>
      </c>
      <c r="BE17" s="14">
        <f>BD17*VLOOKUP('Données projet'!$B$11,Paramètres!$A$1:$I$89,3,0)*VLOOKUP('Données projet'!$B$11,Paramètres!$A$1:$I$89,5,0)</f>
        <v>19.491366601009023</v>
      </c>
      <c r="BF17" s="14">
        <f t="shared" si="37"/>
        <v>6.3570658813537859</v>
      </c>
      <c r="BG17" s="22">
        <f t="shared" si="7"/>
        <v>45.01935324011523</v>
      </c>
      <c r="BH17" s="62">
        <f t="shared" si="8"/>
        <v>247.04921501238843</v>
      </c>
      <c r="BI17" s="62">
        <f ca="1">AVERAGE(OFFSET($BH$3,0,0,'Données projet'!$E$11+1,1))-AVERAGE(OFFSET($H$3,0,0,'Données projet'!$E$11+1,1))</f>
        <v>500.25828825677058</v>
      </c>
      <c r="BJ17" s="62">
        <f t="shared" si="38"/>
        <v>313.56299786481338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0.6</v>
      </c>
      <c r="BY17" s="13">
        <f>IF('Données projet'!$A$114&gt;35,BY16+BX17-CG16,IF(A17&lt;'Données projet'!$A$114,$BV$205^A17,IF(A17='Données projet'!$A$114,'Données projet'!$B$114,BY16+BX17-CG16)))</f>
        <v>7.7736743261084582</v>
      </c>
      <c r="BZ17" s="14">
        <f>BY17*VLOOKUP('Données projet'!$B$12,Paramètres!$A$1:$I$89,3,0)*VLOOKUP('Données projet'!$B$12,Paramètres!$A$1:$I$89,5,0)</f>
        <v>6.7910818912883508</v>
      </c>
      <c r="CA17" s="14">
        <f t="shared" si="39"/>
        <v>2.5041096194780144</v>
      </c>
      <c r="CB17" s="22">
        <f t="shared" si="10"/>
        <v>16.189125214584752</v>
      </c>
      <c r="CC17" s="62">
        <f t="shared" si="11"/>
        <v>218.21898698685794</v>
      </c>
      <c r="CD17" s="62">
        <f ca="1">AVERAGE(OFFSET($CC$3,0,0,'Données projet'!$E$12+1,1))-AVERAGE(OFFSET($H$3,0,0,'Données projet'!$E$12+1,1))</f>
        <v>287.22548699835653</v>
      </c>
      <c r="CE17" s="62">
        <f t="shared" si="40"/>
        <v>276.01618888357268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2.84</v>
      </c>
      <c r="N18" s="14">
        <f>IF('Données projet'!$A$36&gt;35,N17+M18-V17,IF(A18&lt;'Données projet'!$A$36,$K$205^A18,IF(A18='Données projet'!$A$36,'Données projet'!$B$36,N17+M18-V17)))</f>
        <v>12.904910866172436</v>
      </c>
      <c r="O18" s="14">
        <f>N18*VLOOKUP('Données projet'!$B$9,Paramètres!$A$1:$I$89,3,0)*VLOOKUP('Données projet'!$B$9,Paramètres!$A$1:$I$89,5,0)</f>
        <v>13.085579618298853</v>
      </c>
      <c r="P18" s="14">
        <f t="shared" si="33"/>
        <v>4.4704405938260292</v>
      </c>
      <c r="Q18" s="22">
        <f t="shared" si="2"/>
        <v>30.576735202784167</v>
      </c>
      <c r="R18" s="62">
        <f t="shared" si="0"/>
        <v>235.07348513566521</v>
      </c>
      <c r="S18" s="62">
        <f ca="1">AVERAGE(OFFSET($R$3,0,0,'Données projet'!$E$9+1,1))-AVERAGE(OFFSET($H$3,0,0,'Données projet'!$E$9+1,1))</f>
        <v>446.90706503298787</v>
      </c>
      <c r="T18" s="62">
        <f t="shared" si="34"/>
        <v>275.54513370838777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16.75271495208704</v>
      </c>
      <c r="AK18" s="14">
        <f t="shared" si="35"/>
        <v>5.561010905120459</v>
      </c>
      <c r="AL18" s="22">
        <f t="shared" si="4"/>
        <v>38.863072534636395</v>
      </c>
      <c r="AM18" s="62">
        <f t="shared" si="5"/>
        <v>243.35982246751743</v>
      </c>
      <c r="AN18" s="62">
        <f ca="1">AVERAGE(OFFSET($AM$3,0,0,'Données projet'!$E$10+1,1))-AVERAGE(OFFSET($H$3,0,0,'Données projet'!$E$10+1,1))</f>
        <v>369.59928463850827</v>
      </c>
      <c r="AO18" s="62">
        <f t="shared" si="36"/>
        <v>236.19165554863852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3.65</v>
      </c>
      <c r="BD18" s="13">
        <f>IF('Données projet'!$A$88&gt;35,BD17+BC18-BL17,IF(A18&lt;'Données projet'!$A$88,$BA$205^A18,IF(A18='Données projet'!$A$88,'Données projet'!$B$88,BD17+BC18-BL17)))</f>
        <v>24.974232188561476</v>
      </c>
      <c r="BE18" s="14">
        <f>BD18*VLOOKUP('Données projet'!$B$11,Paramètres!$A$1:$I$89,3,0)*VLOOKUP('Données projet'!$B$11,Paramètres!$A$1:$I$89,5,0)</f>
        <v>24.155077372776663</v>
      </c>
      <c r="BF18" s="14">
        <f t="shared" si="37"/>
        <v>7.6838400568695304</v>
      </c>
      <c r="BG18" s="22">
        <f t="shared" si="7"/>
        <v>55.452781189967119</v>
      </c>
      <c r="BH18" s="62">
        <f t="shared" si="8"/>
        <v>259.94953112284816</v>
      </c>
      <c r="BI18" s="62">
        <f ca="1">AVERAGE(OFFSET($BH$3,0,0,'Données projet'!$E$11+1,1))-AVERAGE(OFFSET($H$3,0,0,'Données projet'!$E$11+1,1))</f>
        <v>500.25828825677058</v>
      </c>
      <c r="BJ18" s="62">
        <f t="shared" si="38"/>
        <v>313.56299786481338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9</v>
      </c>
      <c r="BW18" s="13">
        <f>VLOOKUP(A18,'Données projet'!$A$113:$I$133,9,0)</f>
        <v>0.6</v>
      </c>
      <c r="BX18" s="13">
        <f t="array" ref="BX18">INDEX(BW:BW,MIN(IF(ISNUMBER(BW18:BW214),ROW(BW18:BW214),"")))</f>
        <v>0.6</v>
      </c>
      <c r="BY18" s="13">
        <f>IF('Données projet'!$A$114&gt;35,BY17+BX18-CG17,IF(A18&lt;'Données projet'!$A$114,$BV$205^A18,IF(A18='Données projet'!$A$114,'Données projet'!$B$114,BY17+BX18-CG17)))</f>
        <v>9</v>
      </c>
      <c r="BZ18" s="14">
        <f>BY18*VLOOKUP('Données projet'!$B$12,Paramètres!$A$1:$I$89,3,0)*VLOOKUP('Données projet'!$B$12,Paramètres!$A$1:$I$89,5,0)</f>
        <v>7.8624000000000018</v>
      </c>
      <c r="CA18" s="14">
        <f t="shared" si="39"/>
        <v>2.8501294257559766</v>
      </c>
      <c r="CB18" s="22">
        <f t="shared" si="10"/>
        <v>18.657655416524996</v>
      </c>
      <c r="CC18" s="62">
        <f t="shared" si="11"/>
        <v>223.15440534940603</v>
      </c>
      <c r="CD18" s="62">
        <f ca="1">AVERAGE(OFFSET($CC$3,0,0,'Données projet'!$E$12+1,1))-AVERAGE(OFFSET($H$3,0,0,'Données projet'!$E$12+1,1))</f>
        <v>287.22548699835653</v>
      </c>
      <c r="CE18" s="62">
        <f t="shared" si="40"/>
        <v>276.01618888357268</v>
      </c>
      <c r="CF18" s="16">
        <f>IF(ISNA(VLOOKUP(A18,'Données projet'!$A$113:$I$133,3,0)),0,VLOOKUP(A18,'Données projet'!$A$113:$I$133,3,0))</f>
        <v>1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2.84</v>
      </c>
      <c r="N19" s="14">
        <f>IF('Données projet'!$A$36&gt;35,N18+M19-V18,IF(A19&lt;'Données projet'!$A$36,$K$205^A19,IF(A19='Données projet'!$A$36,'Données projet'!$B$36,N18+M19-V18)))</f>
        <v>15.304013607840634</v>
      </c>
      <c r="O19" s="14">
        <f>N19*VLOOKUP('Données projet'!$B$9,Paramètres!$A$1:$I$89,3,0)*VLOOKUP('Données projet'!$B$9,Paramètres!$A$1:$I$89,5,0)</f>
        <v>15.518269798350405</v>
      </c>
      <c r="P19" s="14">
        <f t="shared" si="33"/>
        <v>5.1973408936737764</v>
      </c>
      <c r="Q19" s="22">
        <f t="shared" si="2"/>
        <v>36.079688621942118</v>
      </c>
      <c r="R19" s="62">
        <f t="shared" si="0"/>
        <v>243.02173454405619</v>
      </c>
      <c r="S19" s="62">
        <f ca="1">AVERAGE(OFFSET($R$3,0,0,'Données projet'!$E$9+1,1))-AVERAGE(OFFSET($H$3,0,0,'Données projet'!$E$9+1,1))</f>
        <v>446.90706503298787</v>
      </c>
      <c r="T19" s="62">
        <f t="shared" si="34"/>
        <v>275.54513370838777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20.761146930086799</v>
      </c>
      <c r="AK19" s="14">
        <f t="shared" si="35"/>
        <v>6.7216415791420445</v>
      </c>
      <c r="AL19" s="22">
        <f t="shared" si="4"/>
        <v>47.865856653573566</v>
      </c>
      <c r="AM19" s="62">
        <f t="shared" si="5"/>
        <v>254.80790257568762</v>
      </c>
      <c r="AN19" s="62">
        <f ca="1">AVERAGE(OFFSET($AM$3,0,0,'Données projet'!$E$10+1,1))-AVERAGE(OFFSET($H$3,0,0,'Données projet'!$E$10+1,1))</f>
        <v>369.59928463850827</v>
      </c>
      <c r="AO19" s="62">
        <f t="shared" si="36"/>
        <v>236.19165554863852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3.65</v>
      </c>
      <c r="BD19" s="13">
        <f>IF('Données projet'!$A$88&gt;35,BD18+BC19-BL18,IF(A19&lt;'Données projet'!$A$88,$BA$205^A19,IF(A19='Données projet'!$A$88,'Données projet'!$B$88,BD18+BC19-BL18)))</f>
        <v>30.949831440200953</v>
      </c>
      <c r="BE19" s="14">
        <f>BD19*VLOOKUP('Données projet'!$B$11,Paramètres!$A$1:$I$89,3,0)*VLOOKUP('Données projet'!$B$11,Paramètres!$A$1:$I$89,5,0)</f>
        <v>29.934676968962361</v>
      </c>
      <c r="BF19" s="14">
        <f t="shared" si="37"/>
        <v>9.2875233828754098</v>
      </c>
      <c r="BG19" s="22">
        <f t="shared" si="7"/>
        <v>68.311998946117441</v>
      </c>
      <c r="BH19" s="62">
        <f t="shared" si="8"/>
        <v>275.25404486823152</v>
      </c>
      <c r="BI19" s="62">
        <f ca="1">AVERAGE(OFFSET($BH$3,0,0,'Données projet'!$E$11+1,1))-AVERAGE(OFFSET($H$3,0,0,'Données projet'!$E$11+1,1))</f>
        <v>500.25828825677058</v>
      </c>
      <c r="BJ19" s="62">
        <f t="shared" si="38"/>
        <v>313.56299786481338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9.6</v>
      </c>
      <c r="BY19" s="13">
        <f>IF('Données projet'!$A$114&gt;35,BY18+BX19-CG18,IF(A19&lt;'Données projet'!$A$114,$BV$205^A19,IF(A19='Données projet'!$A$114,'Données projet'!$B$114,BY18+BX19-CG18)))</f>
        <v>18.600000000000001</v>
      </c>
      <c r="BZ19" s="14">
        <f>BY19*VLOOKUP('Données projet'!$B$12,Paramètres!$A$1:$I$89,3,0)*VLOOKUP('Données projet'!$B$12,Paramètres!$A$1:$I$89,5,0)</f>
        <v>16.248960000000004</v>
      </c>
      <c r="CA19" s="14">
        <f t="shared" si="39"/>
        <v>5.4129939058841199</v>
      </c>
      <c r="CB19" s="22">
        <f t="shared" si="10"/>
        <v>37.727903052748182</v>
      </c>
      <c r="CC19" s="62">
        <f t="shared" si="11"/>
        <v>244.66994897486225</v>
      </c>
      <c r="CD19" s="62">
        <f ca="1">AVERAGE(OFFSET($CC$3,0,0,'Données projet'!$E$12+1,1))-AVERAGE(OFFSET($H$3,0,0,'Données projet'!$E$12+1,1))</f>
        <v>287.22548699835653</v>
      </c>
      <c r="CE19" s="62">
        <f t="shared" si="40"/>
        <v>276.01618888357268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2.84</v>
      </c>
      <c r="N20" s="14">
        <f>IF('Données projet'!$A$36&gt;35,N19+M20-V19,IF(A20&lt;'Données projet'!$A$36,$K$205^A20,IF(A20='Données projet'!$A$36,'Données projet'!$B$36,N19+M20-V19)))</f>
        <v>18.149124386663679</v>
      </c>
      <c r="O20" s="14">
        <f>N20*VLOOKUP('Données projet'!$B$9,Paramètres!$A$1:$I$89,3,0)*VLOOKUP('Données projet'!$B$9,Paramètres!$A$1:$I$89,5,0)</f>
        <v>18.403212128076973</v>
      </c>
      <c r="P20" s="14">
        <f t="shared" si="33"/>
        <v>6.0424362650875043</v>
      </c>
      <c r="Q20" s="22">
        <f t="shared" si="2"/>
        <v>42.576170951428125</v>
      </c>
      <c r="R20" s="62">
        <f t="shared" si="0"/>
        <v>251.94229526730084</v>
      </c>
      <c r="S20" s="62">
        <f ca="1">AVERAGE(OFFSET($R$3,0,0,'Données projet'!$E$9+1,1))-AVERAGE(OFFSET($H$3,0,0,'Données projet'!$E$9+1,1))</f>
        <v>446.90706503298787</v>
      </c>
      <c r="T20" s="62">
        <f t="shared" si="34"/>
        <v>275.54513370838777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25.728678789401581</v>
      </c>
      <c r="AK20" s="14">
        <f t="shared" si="35"/>
        <v>8.1245058298393111</v>
      </c>
      <c r="AL20" s="22">
        <f t="shared" si="4"/>
        <v>58.960963211844557</v>
      </c>
      <c r="AM20" s="62">
        <f t="shared" si="5"/>
        <v>268.32708752771725</v>
      </c>
      <c r="AN20" s="62">
        <f ca="1">AVERAGE(OFFSET($AM$3,0,0,'Données projet'!$E$10+1,1))-AVERAGE(OFFSET($H$3,0,0,'Données projet'!$E$10+1,1))</f>
        <v>369.59928463850827</v>
      </c>
      <c r="AO20" s="62">
        <f t="shared" si="36"/>
        <v>236.19165554863852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3.65</v>
      </c>
      <c r="BD20" s="13">
        <f>IF('Données projet'!$A$88&gt;35,BD19+BC20-BL19,IF(A20&lt;'Données projet'!$A$88,$BA$205^A20,IF(A20='Données projet'!$A$88,'Données projet'!$B$88,BD19+BC20-BL19)))</f>
        <v>38.355215845858055</v>
      </c>
      <c r="BE20" s="14">
        <f>BD20*VLOOKUP('Données projet'!$B$11,Paramètres!$A$1:$I$89,3,0)*VLOOKUP('Données projet'!$B$11,Paramètres!$A$1:$I$89,5,0)</f>
        <v>37.097164766113913</v>
      </c>
      <c r="BF20" s="14">
        <f t="shared" si="37"/>
        <v>11.225909174194843</v>
      </c>
      <c r="BG20" s="22">
        <f t="shared" si="7"/>
        <v>84.162687112704418</v>
      </c>
      <c r="BH20" s="62">
        <f t="shared" si="8"/>
        <v>293.52881142857711</v>
      </c>
      <c r="BI20" s="62">
        <f ca="1">AVERAGE(OFFSET($BH$3,0,0,'Données projet'!$E$11+1,1))-AVERAGE(OFFSET($H$3,0,0,'Données projet'!$E$11+1,1))</f>
        <v>500.25828825677058</v>
      </c>
      <c r="BJ20" s="62">
        <f t="shared" si="38"/>
        <v>313.56299786481338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9.6</v>
      </c>
      <c r="BY20" s="13">
        <f>IF('Données projet'!$A$114&gt;35,BY19+BX20-CG19,IF(A20&lt;'Données projet'!$A$114,$BV$205^A20,IF(A20='Données projet'!$A$114,'Données projet'!$B$114,BY19+BX20-CG19)))</f>
        <v>28.200000000000003</v>
      </c>
      <c r="BZ20" s="14">
        <f>BY20*VLOOKUP('Données projet'!$B$12,Paramètres!$A$1:$I$89,3,0)*VLOOKUP('Données projet'!$B$12,Paramètres!$A$1:$I$89,5,0)</f>
        <v>24.635520000000007</v>
      </c>
      <c r="CA20" s="14">
        <f t="shared" si="39"/>
        <v>7.8187263384607988</v>
      </c>
      <c r="CB20" s="22">
        <f t="shared" si="10"/>
        <v>56.524479039485897</v>
      </c>
      <c r="CC20" s="62">
        <f t="shared" si="11"/>
        <v>265.89060335535862</v>
      </c>
      <c r="CD20" s="62">
        <f ca="1">AVERAGE(OFFSET($CC$3,0,0,'Données projet'!$E$12+1,1))-AVERAGE(OFFSET($H$3,0,0,'Données projet'!$E$12+1,1))</f>
        <v>287.22548699835653</v>
      </c>
      <c r="CE20" s="62">
        <f t="shared" si="40"/>
        <v>276.01618888357268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2.84</v>
      </c>
      <c r="N21" s="14">
        <f>IF('Données projet'!$A$36&gt;35,N20+M21-V20,IF(A21&lt;'Données projet'!$A$36,$K$205^A21,IF(A21='Données projet'!$A$36,'Données projet'!$B$36,N20+M21-V20)))</f>
        <v>21.523158855127722</v>
      </c>
      <c r="O21" s="14">
        <f>N21*VLOOKUP('Données projet'!$B$9,Paramètres!$A$1:$I$89,3,0)*VLOOKUP('Données projet'!$B$9,Paramètres!$A$1:$I$89,5,0)</f>
        <v>21.824483079099512</v>
      </c>
      <c r="P21" s="14">
        <f t="shared" si="33"/>
        <v>7.0249454027704825</v>
      </c>
      <c r="Q21" s="22">
        <f t="shared" si="2"/>
        <v>50.246087939256903</v>
      </c>
      <c r="R21" s="62">
        <f t="shared" si="0"/>
        <v>262.01544113125999</v>
      </c>
      <c r="S21" s="62">
        <f ca="1">AVERAGE(OFFSET($R$3,0,0,'Données projet'!$E$9+1,1))-AVERAGE(OFFSET($H$3,0,0,'Données projet'!$E$9+1,1))</f>
        <v>446.90706503298787</v>
      </c>
      <c r="T21" s="62">
        <f t="shared" si="34"/>
        <v>275.54513370838777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31.884794923776177</v>
      </c>
      <c r="AK21" s="14">
        <f t="shared" si="35"/>
        <v>9.820159882359901</v>
      </c>
      <c r="AL21" s="22">
        <f t="shared" si="4"/>
        <v>72.636129620687001</v>
      </c>
      <c r="AM21" s="62">
        <f t="shared" si="5"/>
        <v>284.40548281269014</v>
      </c>
      <c r="AN21" s="62">
        <f ca="1">AVERAGE(OFFSET($AM$3,0,0,'Données projet'!$E$10+1,1))-AVERAGE(OFFSET($H$3,0,0,'Données projet'!$E$10+1,1))</f>
        <v>369.59928463850827</v>
      </c>
      <c r="AO21" s="62">
        <f t="shared" si="36"/>
        <v>236.19165554863852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3.65</v>
      </c>
      <c r="BD21" s="13">
        <f>IF('Données projet'!$A$88&gt;35,BD20+BC21-BL20,IF(A21&lt;'Données projet'!$A$88,$BA$205^A21,IF(A21='Données projet'!$A$88,'Données projet'!$B$88,BD20+BC21-BL20)))</f>
        <v>47.532490941824946</v>
      </c>
      <c r="BE21" s="14">
        <f>BD21*VLOOKUP('Données projet'!$B$11,Paramètres!$A$1:$I$89,3,0)*VLOOKUP('Données projet'!$B$11,Paramètres!$A$1:$I$89,5,0)</f>
        <v>45.973425238933089</v>
      </c>
      <c r="BF21" s="14">
        <f t="shared" si="37"/>
        <v>13.56885270616201</v>
      </c>
      <c r="BG21" s="22">
        <f t="shared" si="7"/>
        <v>103.70280075437397</v>
      </c>
      <c r="BH21" s="62">
        <f t="shared" si="8"/>
        <v>315.47215394637709</v>
      </c>
      <c r="BI21" s="62">
        <f ca="1">AVERAGE(OFFSET($BH$3,0,0,'Données projet'!$E$11+1,1))-AVERAGE(OFFSET($H$3,0,0,'Données projet'!$E$11+1,1))</f>
        <v>500.25828825677058</v>
      </c>
      <c r="BJ21" s="62">
        <f t="shared" si="38"/>
        <v>313.56299786481338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9.6</v>
      </c>
      <c r="BY21" s="13">
        <f>IF('Données projet'!$A$114&gt;35,BY20+BX21-CG20,IF(A21&lt;'Données projet'!$A$114,$BV$205^A21,IF(A21='Données projet'!$A$114,'Données projet'!$B$114,BY20+BX21-CG20)))</f>
        <v>37.800000000000004</v>
      </c>
      <c r="BZ21" s="14">
        <f>BY21*VLOOKUP('Données projet'!$B$12,Paramètres!$A$1:$I$89,3,0)*VLOOKUP('Données projet'!$B$12,Paramètres!$A$1:$I$89,5,0)</f>
        <v>33.022080000000003</v>
      </c>
      <c r="CA21" s="14">
        <f t="shared" si="39"/>
        <v>10.129025278332465</v>
      </c>
      <c r="CB21" s="22">
        <f t="shared" si="10"/>
        <v>75.154841693095705</v>
      </c>
      <c r="CC21" s="62">
        <f t="shared" si="11"/>
        <v>286.92419488509881</v>
      </c>
      <c r="CD21" s="62">
        <f ca="1">AVERAGE(OFFSET($CC$3,0,0,'Données projet'!$E$12+1,1))-AVERAGE(OFFSET($H$3,0,0,'Données projet'!$E$12+1,1))</f>
        <v>287.22548699835653</v>
      </c>
      <c r="CE21" s="62">
        <f t="shared" si="40"/>
        <v>276.01618888357268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2.84</v>
      </c>
      <c r="N22" s="14">
        <f>IF('Données projet'!$A$36&gt;35,N21+M22-V21,IF(A22&lt;'Données projet'!$A$36,$K$205^A22,IF(A22='Données projet'!$A$36,'Données projet'!$B$36,N21+M22-V21)))</f>
        <v>25.524447198315809</v>
      </c>
      <c r="O22" s="14">
        <f>N22*VLOOKUP('Données projet'!$B$9,Paramètres!$A$1:$I$89,3,0)*VLOOKUP('Données projet'!$B$9,Paramètres!$A$1:$I$89,5,0)</f>
        <v>25.881789459092229</v>
      </c>
      <c r="P22" s="14">
        <f t="shared" si="33"/>
        <v>8.1672119898134259</v>
      </c>
      <c r="Q22" s="22">
        <f t="shared" si="2"/>
        <v>59.302010856844014</v>
      </c>
      <c r="R22" s="62">
        <f t="shared" si="0"/>
        <v>273.45410509986755</v>
      </c>
      <c r="S22" s="62">
        <f ca="1">AVERAGE(OFFSET($R$3,0,0,'Données projet'!$E$9+1,1))-AVERAGE(OFFSET($H$3,0,0,'Données projet'!$E$9+1,1))</f>
        <v>446.90706503298787</v>
      </c>
      <c r="T22" s="62">
        <f t="shared" si="34"/>
        <v>275.54513370838777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39.513888593068664</v>
      </c>
      <c r="AK22" s="14">
        <f t="shared" si="35"/>
        <v>11.869711479672622</v>
      </c>
      <c r="AL22" s="22">
        <f t="shared" si="4"/>
        <v>89.493103460024415</v>
      </c>
      <c r="AM22" s="62">
        <f t="shared" si="5"/>
        <v>303.64519770304793</v>
      </c>
      <c r="AN22" s="62">
        <f ca="1">AVERAGE(OFFSET($AM$3,0,0,'Données projet'!$E$10+1,1))-AVERAGE(OFFSET($H$3,0,0,'Données projet'!$E$10+1,1))</f>
        <v>369.59928463850827</v>
      </c>
      <c r="AO22" s="62">
        <f t="shared" si="36"/>
        <v>236.19165554863852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3.65</v>
      </c>
      <c r="BD22" s="13">
        <f>IF('Données projet'!$A$88&gt;35,BD21+BC22-BL21,IF(A22&lt;'Données projet'!$A$88,$BA$205^A22,IF(A22='Données projet'!$A$88,'Données projet'!$B$88,BD21+BC22-BL21)))</f>
        <v>58.90561805764559</v>
      </c>
      <c r="BE22" s="14">
        <f>BD22*VLOOKUP('Données projet'!$B$11,Paramètres!$A$1:$I$89,3,0)*VLOOKUP('Données projet'!$B$11,Paramètres!$A$1:$I$89,5,0)</f>
        <v>56.973513785354818</v>
      </c>
      <c r="BF22" s="14">
        <f t="shared" si="37"/>
        <v>16.400788649238766</v>
      </c>
      <c r="BG22" s="22">
        <f t="shared" si="7"/>
        <v>127.7935767402505</v>
      </c>
      <c r="BH22" s="62">
        <f t="shared" si="8"/>
        <v>341.945670983274</v>
      </c>
      <c r="BI22" s="62">
        <f ca="1">AVERAGE(OFFSET($BH$3,0,0,'Données projet'!$E$11+1,1))-AVERAGE(OFFSET($H$3,0,0,'Données projet'!$E$11+1,1))</f>
        <v>500.25828825677058</v>
      </c>
      <c r="BJ22" s="62">
        <f t="shared" si="38"/>
        <v>313.56299786481338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9.6</v>
      </c>
      <c r="BY22" s="13">
        <f>IF('Données projet'!$A$114&gt;35,BY21+BX22-CG21,IF(A22&lt;'Données projet'!$A$114,$BV$205^A22,IF(A22='Données projet'!$A$114,'Données projet'!$B$114,BY21+BX22-CG21)))</f>
        <v>47.400000000000006</v>
      </c>
      <c r="BZ22" s="14">
        <f>BY22*VLOOKUP('Données projet'!$B$12,Paramètres!$A$1:$I$89,3,0)*VLOOKUP('Données projet'!$B$12,Paramètres!$A$1:$I$89,5,0)</f>
        <v>41.408640000000005</v>
      </c>
      <c r="CA22" s="14">
        <f t="shared" si="39"/>
        <v>12.371251711099637</v>
      </c>
      <c r="CB22" s="22">
        <f t="shared" si="10"/>
        <v>93.666644730165203</v>
      </c>
      <c r="CC22" s="62">
        <f t="shared" si="11"/>
        <v>307.81873897318872</v>
      </c>
      <c r="CD22" s="62">
        <f ca="1">AVERAGE(OFFSET($CC$3,0,0,'Données projet'!$E$12+1,1))-AVERAGE(OFFSET($H$3,0,0,'Données projet'!$E$12+1,1))</f>
        <v>287.22548699835653</v>
      </c>
      <c r="CE22" s="62">
        <f t="shared" si="40"/>
        <v>276.01618888357268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2.84</v>
      </c>
      <c r="N23" s="14">
        <f>IF('Données projet'!$A$36&gt;35,N22+M23-V22,IF(A23&lt;'Données projet'!$A$36,$K$205^A23,IF(A23='Données projet'!$A$36,'Données projet'!$B$36,N22+M23-V22)))</f>
        <v>30.269599790850293</v>
      </c>
      <c r="O23" s="14">
        <f>N23*VLOOKUP('Données projet'!$B$9,Paramètres!$A$1:$I$89,3,0)*VLOOKUP('Données projet'!$B$9,Paramètres!$A$1:$I$89,5,0)</f>
        <v>30.693374187922199</v>
      </c>
      <c r="P23" s="14">
        <f t="shared" si="33"/>
        <v>9.4952128254613779</v>
      </c>
      <c r="Q23" s="22">
        <f t="shared" si="2"/>
        <v>69.995122381643057</v>
      </c>
      <c r="R23" s="62">
        <f t="shared" si="0"/>
        <v>286.50982526853875</v>
      </c>
      <c r="S23" s="62">
        <f ca="1">AVERAGE(OFFSET($R$3,0,0,'Données projet'!$E$9+1,1))-AVERAGE(OFFSET($H$3,0,0,'Données projet'!$E$9+1,1))</f>
        <v>446.90706503298787</v>
      </c>
      <c r="T23" s="62">
        <f t="shared" si="34"/>
        <v>275.54513370838777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48.968400000000003</v>
      </c>
      <c r="AK23" s="14">
        <f t="shared" si="35"/>
        <v>14.347022074839625</v>
      </c>
      <c r="AL23" s="22">
        <f t="shared" si="4"/>
        <v>110.27436011367904</v>
      </c>
      <c r="AM23" s="62">
        <f t="shared" si="5"/>
        <v>326.78906300057474</v>
      </c>
      <c r="AN23" s="62">
        <f ca="1">AVERAGE(OFFSET($AM$3,0,0,'Données projet'!$E$10+1,1))-AVERAGE(OFFSET($H$3,0,0,'Données projet'!$E$10+1,1))</f>
        <v>369.59928463850827</v>
      </c>
      <c r="AO23" s="62">
        <f t="shared" si="36"/>
        <v>236.19165554863852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73</v>
      </c>
      <c r="BB23" s="13">
        <f>VLOOKUP(A23,'Données projet'!$A$87:$I$107,9,0)</f>
        <v>3.65</v>
      </c>
      <c r="BC23" s="13">
        <f t="array" ref="BC23">INDEX(BB:BB,MIN(IF(ISNUMBER(BB23:BB219),ROW(BB23:BB219),"")))</f>
        <v>3.65</v>
      </c>
      <c r="BD23" s="13">
        <f>IF('Données projet'!$A$88&gt;35,BD22+BC23-BL22,IF(A23&lt;'Données projet'!$A$88,$BA$205^A23,IF(A23='Données projet'!$A$88,'Données projet'!$B$88,BD22+BC23-BL22)))</f>
        <v>73</v>
      </c>
      <c r="BE23" s="14">
        <f>BD23*VLOOKUP('Données projet'!$B$11,Paramètres!$A$1:$I$89,3,0)*VLOOKUP('Données projet'!$B$11,Paramètres!$A$1:$I$89,5,0)</f>
        <v>70.605599999999995</v>
      </c>
      <c r="BF23" s="14">
        <f t="shared" si="37"/>
        <v>19.823773913828742</v>
      </c>
      <c r="BG23" s="22">
        <f t="shared" si="7"/>
        <v>157.49782623325171</v>
      </c>
      <c r="BH23" s="62">
        <f t="shared" si="8"/>
        <v>374.01252912014741</v>
      </c>
      <c r="BI23" s="62">
        <f ca="1">AVERAGE(OFFSET($BH$3,0,0,'Données projet'!$E$11+1,1))-AVERAGE(OFFSET($H$3,0,0,'Données projet'!$E$11+1,1))</f>
        <v>500.25828825677058</v>
      </c>
      <c r="BJ23" s="62">
        <f t="shared" si="38"/>
        <v>313.56299786481338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57</v>
      </c>
      <c r="BW23" s="13">
        <f>VLOOKUP(A23,'Données projet'!$A$113:$I$133,9,0)</f>
        <v>9.6</v>
      </c>
      <c r="BX23" s="13">
        <f t="array" ref="BX23">INDEX(BW:BW,MIN(IF(ISNUMBER(BW23:BW219),ROW(BW23:BW219),"")))</f>
        <v>9.6</v>
      </c>
      <c r="BY23" s="13">
        <f>IF('Données projet'!$A$114&gt;35,BY22+BX23-CG22,IF(A23&lt;'Données projet'!$A$114,$BV$205^A23,IF(A23='Données projet'!$A$114,'Données projet'!$B$114,BY22+BX23-CG22)))</f>
        <v>57.000000000000007</v>
      </c>
      <c r="BZ23" s="14">
        <f>BY23*VLOOKUP('Données projet'!$B$12,Paramètres!$A$1:$I$89,3,0)*VLOOKUP('Données projet'!$B$12,Paramètres!$A$1:$I$89,5,0)</f>
        <v>49.795200000000008</v>
      </c>
      <c r="CA23" s="14">
        <f t="shared" si="39"/>
        <v>14.560856542690781</v>
      </c>
      <c r="CB23" s="22">
        <f t="shared" si="10"/>
        <v>112.08679847851981</v>
      </c>
      <c r="CC23" s="62">
        <f t="shared" si="11"/>
        <v>328.60150136541552</v>
      </c>
      <c r="CD23" s="62">
        <f ca="1">AVERAGE(OFFSET($CC$3,0,0,'Données projet'!$E$12+1,1))-AVERAGE(OFFSET($H$3,0,0,'Données projet'!$E$12+1,1))</f>
        <v>287.22548699835653</v>
      </c>
      <c r="CE23" s="62">
        <f t="shared" si="40"/>
        <v>276.01618888357268</v>
      </c>
      <c r="CF23" s="16">
        <f>IF(ISNA(VLOOKUP(A23,'Données projet'!$A$113:$I$133,3,0)),0,VLOOKUP(A23,'Données projet'!$A$113:$I$133,3,0))</f>
        <v>2</v>
      </c>
      <c r="CG23" s="16">
        <f>IF(ISNA(VLOOKUP(A23,'Données projet'!$A$113:$I$133,4,0)),0,VLOOKUP(A23,'Données projet'!$A$113:$I$133,4,0))</f>
        <v>21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2.84</v>
      </c>
      <c r="N24" s="14">
        <f>IF('Données projet'!$A$36&gt;35,N23+M24-V23,IF(A24&lt;'Données projet'!$A$36,$K$205^A24,IF(A24='Données projet'!$A$36,'Données projet'!$B$36,N23+M24-V23)))</f>
        <v>35.896905597183761</v>
      </c>
      <c r="O24" s="14">
        <f>N24*VLOOKUP('Données projet'!$B$9,Paramètres!$A$1:$I$89,3,0)*VLOOKUP('Données projet'!$B$9,Paramètres!$A$1:$I$89,5,0)</f>
        <v>36.399462275544337</v>
      </c>
      <c r="P24" s="14">
        <f t="shared" si="33"/>
        <v>11.039148575212362</v>
      </c>
      <c r="Q24" s="22">
        <f t="shared" si="2"/>
        <v>82.62224723173459</v>
      </c>
      <c r="R24" s="62">
        <f t="shared" si="0"/>
        <v>301.47977560760899</v>
      </c>
      <c r="S24" s="62">
        <f ca="1">AVERAGE(OFFSET($R$3,0,0,'Données projet'!$E$9+1,1))-AVERAGE(OFFSET($H$3,0,0,'Données projet'!$E$9+1,1))</f>
        <v>446.90706503298787</v>
      </c>
      <c r="T24" s="62">
        <f t="shared" si="34"/>
        <v>275.54513370838777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74.2</v>
      </c>
      <c r="AJ24" s="14">
        <f>AI24*VLOOKUP('Données projet'!$B$10,Paramètres!$A$1:$I$89,3,0)*VLOOKUP('Données projet'!$B$10,Paramètres!$A$1:$I$89,5,0)</f>
        <v>49.773360000000004</v>
      </c>
      <c r="AK24" s="14">
        <f t="shared" si="35"/>
        <v>14.555213428078664</v>
      </c>
      <c r="AL24" s="22">
        <f t="shared" si="4"/>
        <v>112.03893205390368</v>
      </c>
      <c r="AM24" s="62">
        <f t="shared" si="5"/>
        <v>330.89646042977807</v>
      </c>
      <c r="AN24" s="62">
        <f ca="1">AVERAGE(OFFSET($AM$3,0,0,'Données projet'!$E$10+1,1))-AVERAGE(OFFSET($H$3,0,0,'Données projet'!$E$10+1,1))</f>
        <v>369.59928463850827</v>
      </c>
      <c r="AO24" s="62">
        <f t="shared" si="36"/>
        <v>236.19165554863852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7.2</v>
      </c>
      <c r="BD24" s="13">
        <f>IF('Données projet'!$A$88&gt;35,BD23+BC24-BL23,IF(A24&lt;'Données projet'!$A$88,$BA$205^A24,IF(A24='Données projet'!$A$88,'Données projet'!$B$88,BD23+BC24-BL23)))</f>
        <v>74.2</v>
      </c>
      <c r="BE24" s="14">
        <f>BD24*VLOOKUP('Données projet'!$B$11,Paramètres!$A$1:$I$89,3,0)*VLOOKUP('Données projet'!$B$11,Paramètres!$A$1:$I$89,5,0)</f>
        <v>71.76624000000001</v>
      </c>
      <c r="BF24" s="14">
        <f t="shared" si="37"/>
        <v>20.111439068025625</v>
      </c>
      <c r="BG24" s="22">
        <f t="shared" si="7"/>
        <v>160.02029104347795</v>
      </c>
      <c r="BH24" s="62">
        <f t="shared" si="8"/>
        <v>378.87781941935236</v>
      </c>
      <c r="BI24" s="62">
        <f ca="1">AVERAGE(OFFSET($BH$3,0,0,'Données projet'!$E$11+1,1))-AVERAGE(OFFSET($H$3,0,0,'Données projet'!$E$11+1,1))</f>
        <v>500.25828825677058</v>
      </c>
      <c r="BJ24" s="62">
        <f t="shared" si="38"/>
        <v>313.56299786481338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10.199999999999999</v>
      </c>
      <c r="BY24" s="13">
        <f>IF('Données projet'!$A$114&gt;35,BY23+BX24-CG23,IF(A24&lt;'Données projet'!$A$114,$BV$205^A24,IF(A24='Données projet'!$A$114,'Données projet'!$B$114,BY23+BX24-CG23)))</f>
        <v>46.2</v>
      </c>
      <c r="BZ24" s="14">
        <f>BY24*VLOOKUP('Données projet'!$B$12,Paramètres!$A$1:$I$89,3,0)*VLOOKUP('Données projet'!$B$12,Paramètres!$A$1:$I$89,5,0)</f>
        <v>40.360320000000009</v>
      </c>
      <c r="CA24" s="14">
        <f t="shared" si="39"/>
        <v>12.09409986057485</v>
      </c>
      <c r="CB24" s="22">
        <f t="shared" si="10"/>
        <v>91.358114590501216</v>
      </c>
      <c r="CC24" s="62">
        <f t="shared" si="11"/>
        <v>310.21564296637558</v>
      </c>
      <c r="CD24" s="62">
        <f ca="1">AVERAGE(OFFSET($CC$3,0,0,'Données projet'!$E$12+1,1))-AVERAGE(OFFSET($H$3,0,0,'Données projet'!$E$12+1,1))</f>
        <v>287.22548699835653</v>
      </c>
      <c r="CE24" s="62">
        <f t="shared" si="40"/>
        <v>276.01618888357268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2.84</v>
      </c>
      <c r="N25" s="14">
        <f>IF('Données projet'!$A$36&gt;35,N24+M25-V24,IF(A25&lt;'Données projet'!$A$36,$K$205^A25,IF(A25='Données projet'!$A$36,'Données projet'!$B$36,N24+M25-V24)))</f>
        <v>42.570362355521766</v>
      </c>
      <c r="O25" s="14">
        <f>N25*VLOOKUP('Données projet'!$B$9,Paramètres!$A$1:$I$89,3,0)*VLOOKUP('Données projet'!$B$9,Paramètres!$A$1:$I$89,5,0)</f>
        <v>43.166347428499073</v>
      </c>
      <c r="P25" s="14">
        <f t="shared" si="33"/>
        <v>12.83413057776214</v>
      </c>
      <c r="Q25" s="22">
        <f t="shared" si="2"/>
        <v>97.534165860904935</v>
      </c>
      <c r="R25" s="62">
        <f t="shared" si="0"/>
        <v>318.71507976437334</v>
      </c>
      <c r="S25" s="62">
        <f ca="1">AVERAGE(OFFSET($R$3,0,0,'Données projet'!$E$9+1,1))-AVERAGE(OFFSET($H$3,0,0,'Données projet'!$E$9+1,1))</f>
        <v>446.90706503298787</v>
      </c>
      <c r="T25" s="62">
        <f t="shared" si="34"/>
        <v>275.54513370838777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81.400000000000006</v>
      </c>
      <c r="AJ25" s="14">
        <f>AI25*VLOOKUP('Données projet'!$B$10,Paramètres!$A$1:$I$89,3,0)*VLOOKUP('Données projet'!$B$10,Paramètres!$A$1:$I$89,5,0)</f>
        <v>54.603120000000004</v>
      </c>
      <c r="AK25" s="14">
        <f t="shared" si="35"/>
        <v>15.796374138381612</v>
      </c>
      <c r="AL25" s="22">
        <f t="shared" si="4"/>
        <v>122.61245229101463</v>
      </c>
      <c r="AM25" s="62">
        <f t="shared" si="5"/>
        <v>343.79336619448304</v>
      </c>
      <c r="AN25" s="62">
        <f ca="1">AVERAGE(OFFSET($AM$3,0,0,'Données projet'!$E$10+1,1))-AVERAGE(OFFSET($H$3,0,0,'Données projet'!$E$10+1,1))</f>
        <v>369.59928463850827</v>
      </c>
      <c r="AO25" s="62">
        <f t="shared" si="36"/>
        <v>236.19165554863852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7.2</v>
      </c>
      <c r="BD25" s="13">
        <f>IF('Données projet'!$A$88&gt;35,BD24+BC25-BL24,IF(A25&lt;'Données projet'!$A$88,$BA$205^A25,IF(A25='Données projet'!$A$88,'Données projet'!$B$88,BD24+BC25-BL24)))</f>
        <v>81.400000000000006</v>
      </c>
      <c r="BE25" s="14">
        <f>BD25*VLOOKUP('Données projet'!$B$11,Paramètres!$A$1:$I$89,3,0)*VLOOKUP('Données projet'!$B$11,Paramètres!$A$1:$I$89,5,0)</f>
        <v>78.730080000000015</v>
      </c>
      <c r="BF25" s="14">
        <f t="shared" si="37"/>
        <v>21.826393515256996</v>
      </c>
      <c r="BG25" s="22">
        <f t="shared" si="7"/>
        <v>175.13585803907259</v>
      </c>
      <c r="BH25" s="62">
        <f t="shared" si="8"/>
        <v>396.31677194254098</v>
      </c>
      <c r="BI25" s="62">
        <f ca="1">AVERAGE(OFFSET($BH$3,0,0,'Données projet'!$E$11+1,1))-AVERAGE(OFFSET($H$3,0,0,'Données projet'!$E$11+1,1))</f>
        <v>500.25828825677058</v>
      </c>
      <c r="BJ25" s="62">
        <f t="shared" si="38"/>
        <v>313.56299786481338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10.199999999999999</v>
      </c>
      <c r="BY25" s="13">
        <f>IF('Données projet'!$A$114&gt;35,BY24+BX25-CG24,IF(A25&lt;'Données projet'!$A$114,$BV$205^A25,IF(A25='Données projet'!$A$114,'Données projet'!$B$114,BY24+BX25-CG24)))</f>
        <v>56.400000000000006</v>
      </c>
      <c r="BZ25" s="14">
        <f>BY25*VLOOKUP('Données projet'!$B$12,Paramètres!$A$1:$I$89,3,0)*VLOOKUP('Données projet'!$B$12,Paramètres!$A$1:$I$89,5,0)</f>
        <v>49.271040000000013</v>
      </c>
      <c r="CA25" s="14">
        <f t="shared" si="39"/>
        <v>14.425341953309859</v>
      </c>
      <c r="CB25" s="22">
        <f t="shared" si="10"/>
        <v>110.93786523534801</v>
      </c>
      <c r="CC25" s="62">
        <f t="shared" si="11"/>
        <v>332.11877913881642</v>
      </c>
      <c r="CD25" s="62">
        <f ca="1">AVERAGE(OFFSET($CC$3,0,0,'Données projet'!$E$12+1,1))-AVERAGE(OFFSET($H$3,0,0,'Données projet'!$E$12+1,1))</f>
        <v>287.22548699835653</v>
      </c>
      <c r="CE25" s="62">
        <f t="shared" si="40"/>
        <v>276.01618888357268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2.84</v>
      </c>
      <c r="N26" s="14">
        <f>IF('Données projet'!$A$36&gt;35,N25+M26-V25,IF(A26&lt;'Données projet'!$A$36,$K$205^A26,IF(A26='Données projet'!$A$36,'Données projet'!$B$36,N25+M26-V25)))</f>
        <v>50.484455997861858</v>
      </c>
      <c r="O26" s="14">
        <f>N26*VLOOKUP('Données projet'!$B$9,Paramètres!$A$1:$I$89,3,0)*VLOOKUP('Données projet'!$B$9,Paramètres!$A$1:$I$89,5,0)</f>
        <v>51.19123838183193</v>
      </c>
      <c r="P26" s="14">
        <f t="shared" si="33"/>
        <v>14.920979327781229</v>
      </c>
      <c r="Q26" s="22">
        <f t="shared" si="2"/>
        <v>115.14544584424293</v>
      </c>
      <c r="R26" s="62">
        <f t="shared" si="0"/>
        <v>338.63064255378941</v>
      </c>
      <c r="S26" s="62">
        <f ca="1">AVERAGE(OFFSET($R$3,0,0,'Données projet'!$E$9+1,1))-AVERAGE(OFFSET($H$3,0,0,'Données projet'!$E$9+1,1))</f>
        <v>446.90706503298787</v>
      </c>
      <c r="T26" s="62">
        <f t="shared" si="34"/>
        <v>275.54513370838777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88.600000000000009</v>
      </c>
      <c r="AJ26" s="14">
        <f>AI26*VLOOKUP('Données projet'!$B$10,Paramètres!$A$1:$I$89,3,0)*VLOOKUP('Données projet'!$B$10,Paramètres!$A$1:$I$89,5,0)</f>
        <v>59.432880000000011</v>
      </c>
      <c r="AK26" s="14">
        <f t="shared" si="35"/>
        <v>17.024804126865714</v>
      </c>
      <c r="AL26" s="22">
        <f t="shared" si="4"/>
        <v>133.16379985429114</v>
      </c>
      <c r="AM26" s="62">
        <f t="shared" si="5"/>
        <v>356.64899656383761</v>
      </c>
      <c r="AN26" s="62">
        <f ca="1">AVERAGE(OFFSET($AM$3,0,0,'Données projet'!$E$10+1,1))-AVERAGE(OFFSET($H$3,0,0,'Données projet'!$E$10+1,1))</f>
        <v>369.59928463850827</v>
      </c>
      <c r="AO26" s="62">
        <f t="shared" si="36"/>
        <v>236.19165554863852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7.2</v>
      </c>
      <c r="BD26" s="13">
        <f>IF('Données projet'!$A$88&gt;35,BD25+BC26-BL25,IF(A26&lt;'Données projet'!$A$88,$BA$205^A26,IF(A26='Données projet'!$A$88,'Données projet'!$B$88,BD25+BC26-BL25)))</f>
        <v>88.600000000000009</v>
      </c>
      <c r="BE26" s="14">
        <f>BD26*VLOOKUP('Données projet'!$B$11,Paramètres!$A$1:$I$89,3,0)*VLOOKUP('Données projet'!$B$11,Paramètres!$A$1:$I$89,5,0)</f>
        <v>85.693920000000006</v>
      </c>
      <c r="BF26" s="14">
        <f t="shared" si="37"/>
        <v>23.523757486236178</v>
      </c>
      <c r="BG26" s="22">
        <f t="shared" si="7"/>
        <v>190.22078828852798</v>
      </c>
      <c r="BH26" s="62">
        <f t="shared" si="8"/>
        <v>413.70598499807448</v>
      </c>
      <c r="BI26" s="62">
        <f ca="1">AVERAGE(OFFSET($BH$3,0,0,'Données projet'!$E$11+1,1))-AVERAGE(OFFSET($H$3,0,0,'Données projet'!$E$11+1,1))</f>
        <v>500.25828825677058</v>
      </c>
      <c r="BJ26" s="62">
        <f t="shared" si="38"/>
        <v>313.56299786481338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10.199999999999999</v>
      </c>
      <c r="BY26" s="13">
        <f>IF('Données projet'!$A$114&gt;35,BY25+BX26-CG25,IF(A26&lt;'Données projet'!$A$114,$BV$205^A26,IF(A26='Données projet'!$A$114,'Données projet'!$B$114,BY25+BX26-CG25)))</f>
        <v>66.600000000000009</v>
      </c>
      <c r="BZ26" s="14">
        <f>BY26*VLOOKUP('Données projet'!$B$12,Paramètres!$A$1:$I$89,3,0)*VLOOKUP('Données projet'!$B$12,Paramètres!$A$1:$I$89,5,0)</f>
        <v>58.181760000000011</v>
      </c>
      <c r="CA26" s="14">
        <f t="shared" si="39"/>
        <v>16.707740816589531</v>
      </c>
      <c r="CB26" s="22">
        <f t="shared" si="10"/>
        <v>130.43254725556011</v>
      </c>
      <c r="CC26" s="62">
        <f t="shared" si="11"/>
        <v>353.91774396510664</v>
      </c>
      <c r="CD26" s="62">
        <f ca="1">AVERAGE(OFFSET($CC$3,0,0,'Données projet'!$E$12+1,1))-AVERAGE(OFFSET($H$3,0,0,'Données projet'!$E$12+1,1))</f>
        <v>287.22548699835653</v>
      </c>
      <c r="CE26" s="62">
        <f t="shared" si="40"/>
        <v>276.01618888357268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2.84</v>
      </c>
      <c r="N27" s="14">
        <f>IF('Données projet'!$A$36&gt;35,N26+M27-V26,IF(A27&lt;'Données projet'!$A$36,$K$205^A27,IF(A27='Données projet'!$A$36,'Données projet'!$B$36,N26+M27-V26)))</f>
        <v>59.869828593776646</v>
      </c>
      <c r="O27" s="14">
        <f>N27*VLOOKUP('Données projet'!$B$9,Paramètres!$A$1:$I$89,3,0)*VLOOKUP('Données projet'!$B$9,Paramètres!$A$1:$I$89,5,0)</f>
        <v>60.708006194089528</v>
      </c>
      <c r="P27" s="14">
        <f t="shared" si="33"/>
        <v>17.347152793180882</v>
      </c>
      <c r="Q27" s="22">
        <f t="shared" si="2"/>
        <v>135.94606856949596</v>
      </c>
      <c r="R27" s="62">
        <f t="shared" si="0"/>
        <v>361.71677675311577</v>
      </c>
      <c r="S27" s="62">
        <f ca="1">AVERAGE(OFFSET($R$3,0,0,'Données projet'!$E$9+1,1))-AVERAGE(OFFSET($H$3,0,0,'Données projet'!$E$9+1,1))</f>
        <v>446.90706503298787</v>
      </c>
      <c r="T27" s="62">
        <f t="shared" si="34"/>
        <v>275.54513370838777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95.800000000000011</v>
      </c>
      <c r="AJ27" s="14">
        <f>AI27*VLOOKUP('Données projet'!$B$10,Paramètres!$A$1:$I$89,3,0)*VLOOKUP('Données projet'!$B$10,Paramètres!$A$1:$I$89,5,0)</f>
        <v>64.262640000000005</v>
      </c>
      <c r="AK27" s="14">
        <f t="shared" si="35"/>
        <v>18.24165556222081</v>
      </c>
      <c r="AL27" s="22">
        <f t="shared" si="4"/>
        <v>143.69498143753458</v>
      </c>
      <c r="AM27" s="62">
        <f t="shared" si="5"/>
        <v>369.46568962115441</v>
      </c>
      <c r="AN27" s="62">
        <f ca="1">AVERAGE(OFFSET($AM$3,0,0,'Données projet'!$E$10+1,1))-AVERAGE(OFFSET($H$3,0,0,'Données projet'!$E$10+1,1))</f>
        <v>369.59928463850827</v>
      </c>
      <c r="AO27" s="62">
        <f t="shared" si="36"/>
        <v>236.19165554863852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7.2</v>
      </c>
      <c r="BD27" s="13">
        <f>IF('Données projet'!$A$88&gt;35,BD26+BC27-BL26,IF(A27&lt;'Données projet'!$A$88,$BA$205^A27,IF(A27='Données projet'!$A$88,'Données projet'!$B$88,BD26+BC27-BL26)))</f>
        <v>95.800000000000011</v>
      </c>
      <c r="BE27" s="14">
        <f>BD27*VLOOKUP('Données projet'!$B$11,Paramètres!$A$1:$I$89,3,0)*VLOOKUP('Données projet'!$B$11,Paramètres!$A$1:$I$89,5,0)</f>
        <v>92.65776000000001</v>
      </c>
      <c r="BF27" s="14">
        <f t="shared" si="37"/>
        <v>25.205122972074609</v>
      </c>
      <c r="BG27" s="22">
        <f t="shared" si="7"/>
        <v>205.2778545096966</v>
      </c>
      <c r="BH27" s="62">
        <f t="shared" si="8"/>
        <v>431.0485626933164</v>
      </c>
      <c r="BI27" s="62">
        <f ca="1">AVERAGE(OFFSET($BH$3,0,0,'Données projet'!$E$11+1,1))-AVERAGE(OFFSET($H$3,0,0,'Données projet'!$E$11+1,1))</f>
        <v>500.25828825677058</v>
      </c>
      <c r="BJ27" s="62">
        <f t="shared" si="38"/>
        <v>313.56299786481338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10.199999999999999</v>
      </c>
      <c r="BY27" s="13">
        <f>IF('Données projet'!$A$114&gt;35,BY26+BX27-CG26,IF(A27&lt;'Données projet'!$A$114,$BV$205^A27,IF(A27='Données projet'!$A$114,'Données projet'!$B$114,BY26+BX27-CG26)))</f>
        <v>76.800000000000011</v>
      </c>
      <c r="BZ27" s="14">
        <f>BY27*VLOOKUP('Données projet'!$B$12,Paramètres!$A$1:$I$89,3,0)*VLOOKUP('Données projet'!$B$12,Paramètres!$A$1:$I$89,5,0)</f>
        <v>67.092480000000023</v>
      </c>
      <c r="CA27" s="14">
        <f t="shared" si="39"/>
        <v>18.949644838115688</v>
      </c>
      <c r="CB27" s="22">
        <f t="shared" si="10"/>
        <v>149.85670075971819</v>
      </c>
      <c r="CC27" s="62">
        <f t="shared" si="11"/>
        <v>375.62740894333797</v>
      </c>
      <c r="CD27" s="62">
        <f ca="1">AVERAGE(OFFSET($CC$3,0,0,'Données projet'!$E$12+1,1))-AVERAGE(OFFSET($H$3,0,0,'Données projet'!$E$12+1,1))</f>
        <v>287.22548699835653</v>
      </c>
      <c r="CE27" s="62">
        <f t="shared" si="40"/>
        <v>276.01618888357268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71</v>
      </c>
      <c r="L28" s="13">
        <f>VLOOKUP(A28,'Données projet'!$A$35:$I$55,9,0)</f>
        <v>2.84</v>
      </c>
      <c r="M28" s="13">
        <f t="array" ref="M28">INDEX(L:L,MIN(IF(ISNUMBER(L28:L224),ROW(L28:L224),"")))</f>
        <v>2.84</v>
      </c>
      <c r="N28" s="14">
        <f>IF('Données projet'!$A$36&gt;35,N27+M28-V27,IF(A28&lt;'Données projet'!$A$36,$K$205^A28,IF(A28='Données projet'!$A$36,'Données projet'!$B$36,N27+M28-V27)))</f>
        <v>71</v>
      </c>
      <c r="O28" s="14">
        <f>N28*VLOOKUP('Données projet'!$B$9,Paramètres!$A$1:$I$89,3,0)*VLOOKUP('Données projet'!$B$9,Paramètres!$A$1:$I$89,5,0)</f>
        <v>71.994</v>
      </c>
      <c r="P28" s="14">
        <f t="shared" si="33"/>
        <v>20.167825678149413</v>
      </c>
      <c r="Q28" s="22">
        <f t="shared" si="2"/>
        <v>160.51517972277688</v>
      </c>
      <c r="R28" s="62">
        <f t="shared" si="0"/>
        <v>388.55295368910902</v>
      </c>
      <c r="S28" s="62">
        <f ca="1">AVERAGE(OFFSET($R$3,0,0,'Données projet'!$E$9+1,1))-AVERAGE(OFFSET($H$3,0,0,'Données projet'!$E$9+1,1))</f>
        <v>446.90706503298787</v>
      </c>
      <c r="T28" s="62">
        <f t="shared" si="34"/>
        <v>275.54513370838777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103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103.00000000000001</v>
      </c>
      <c r="AJ28" s="14">
        <f>AI28*VLOOKUP('Données projet'!$B$10,Paramètres!$A$1:$I$89,3,0)*VLOOKUP('Données projet'!$B$10,Paramètres!$A$1:$I$89,5,0)</f>
        <v>69.092400000000012</v>
      </c>
      <c r="AK28" s="14">
        <f t="shared" si="35"/>
        <v>19.447897597608421</v>
      </c>
      <c r="AL28" s="22">
        <f t="shared" si="4"/>
        <v>154.20768498250132</v>
      </c>
      <c r="AM28" s="62">
        <f t="shared" si="5"/>
        <v>382.2454589488334</v>
      </c>
      <c r="AN28" s="62">
        <f ca="1">AVERAGE(OFFSET($AM$3,0,0,'Données projet'!$E$10+1,1))-AVERAGE(OFFSET($H$3,0,0,'Données projet'!$E$10+1,1))</f>
        <v>369.59928463850827</v>
      </c>
      <c r="AO28" s="62">
        <f t="shared" si="36"/>
        <v>236.19165554863852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28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103</v>
      </c>
      <c r="BB28" s="13">
        <f>VLOOKUP(A28,'Données projet'!$A$87:$I$107,9,0)</f>
        <v>7.2</v>
      </c>
      <c r="BC28" s="13">
        <f t="array" ref="BC28">INDEX(BB:BB,MIN(IF(ISNUMBER(BB28:BB224),ROW(BB28:BB224),"")))</f>
        <v>7.2</v>
      </c>
      <c r="BD28" s="13">
        <f>IF('Données projet'!$A$88&gt;35,BD27+BC28-BL27,IF(A28&lt;'Données projet'!$A$88,$BA$205^A28,IF(A28='Données projet'!$A$88,'Données projet'!$B$88,BD27+BC28-BL27)))</f>
        <v>103.00000000000001</v>
      </c>
      <c r="BE28" s="14">
        <f>BD28*VLOOKUP('Données projet'!$B$11,Paramètres!$A$1:$I$89,3,0)*VLOOKUP('Données projet'!$B$11,Paramètres!$A$1:$I$89,5,0)</f>
        <v>99.621600000000015</v>
      </c>
      <c r="BF28" s="14">
        <f t="shared" si="37"/>
        <v>26.871829085032747</v>
      </c>
      <c r="BG28" s="22">
        <f t="shared" si="7"/>
        <v>220.30938898976538</v>
      </c>
      <c r="BH28" s="62">
        <f t="shared" si="8"/>
        <v>448.34716295609746</v>
      </c>
      <c r="BI28" s="62">
        <f ca="1">AVERAGE(OFFSET($BH$3,0,0,'Données projet'!$E$11+1,1))-AVERAGE(OFFSET($H$3,0,0,'Données projet'!$E$11+1,1))</f>
        <v>500.25828825677058</v>
      </c>
      <c r="BJ28" s="62">
        <f t="shared" si="38"/>
        <v>313.56299786481338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28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87</v>
      </c>
      <c r="BW28" s="13">
        <f>VLOOKUP(A28,'Données projet'!$A$113:$I$133,9,0)</f>
        <v>10.199999999999999</v>
      </c>
      <c r="BX28" s="13">
        <f t="array" ref="BX28">INDEX(BW:BW,MIN(IF(ISNUMBER(BW28:BW224),ROW(BW28:BW224),"")))</f>
        <v>10.199999999999999</v>
      </c>
      <c r="BY28" s="13">
        <f>IF('Données projet'!$A$114&gt;35,BY27+BX28-CG27,IF(A28&lt;'Données projet'!$A$114,$BV$205^A28,IF(A28='Données projet'!$A$114,'Données projet'!$B$114,BY27+BX28-CG27)))</f>
        <v>87.000000000000014</v>
      </c>
      <c r="BZ28" s="14">
        <f>BY28*VLOOKUP('Données projet'!$B$12,Paramètres!$A$1:$I$89,3,0)*VLOOKUP('Données projet'!$B$12,Paramètres!$A$1:$I$89,5,0)</f>
        <v>76.003200000000021</v>
      </c>
      <c r="CA28" s="14">
        <f t="shared" si="39"/>
        <v>21.157049992000456</v>
      </c>
      <c r="CB28" s="22">
        <f t="shared" si="10"/>
        <v>169.2207687360675</v>
      </c>
      <c r="CC28" s="62">
        <f t="shared" si="11"/>
        <v>397.25854270239961</v>
      </c>
      <c r="CD28" s="62">
        <f ca="1">AVERAGE(OFFSET($CC$3,0,0,'Données projet'!$E$12+1,1))-AVERAGE(OFFSET($H$3,0,0,'Données projet'!$E$12+1,1))</f>
        <v>287.22548699835653</v>
      </c>
      <c r="CE28" s="62">
        <f t="shared" si="40"/>
        <v>276.01618888357268</v>
      </c>
      <c r="CF28" s="16">
        <f>IF(ISNA(VLOOKUP(A28,'Données projet'!$A$113:$I$133,3,0)),0,VLOOKUP(A28,'Données projet'!$A$113:$I$133,3,0))</f>
        <v>3</v>
      </c>
      <c r="CG28" s="16">
        <f>IF(ISNA(VLOOKUP(A28,'Données projet'!$A$113:$I$133,4,0)),0,VLOOKUP(A28,'Données projet'!$A$113:$I$133,4,0))</f>
        <v>21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70</v>
      </c>
      <c r="O29" s="14">
        <f>N29*VLOOKUP('Données projet'!$B$9,Paramètres!$A$1:$I$89,3,0)*VLOOKUP('Données projet'!$B$9,Paramètres!$A$1:$I$89,5,0)</f>
        <v>70.98</v>
      </c>
      <c r="P29" s="14">
        <f t="shared" si="33"/>
        <v>19.916628839746853</v>
      </c>
      <c r="Q29" s="22">
        <f t="shared" si="2"/>
        <v>158.31162856255909</v>
      </c>
      <c r="R29" s="62">
        <f t="shared" si="0"/>
        <v>388.59834261174927</v>
      </c>
      <c r="S29" s="62">
        <f ca="1">AVERAGE(OFFSET($R$3,0,0,'Données projet'!$E$9+1,1))-AVERAGE(OFFSET($H$3,0,0,'Données projet'!$E$9+1,1))</f>
        <v>446.90706503298787</v>
      </c>
      <c r="T29" s="62">
        <f t="shared" si="34"/>
        <v>275.54513370838777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56.481360000000016</v>
      </c>
      <c r="AK29" s="14">
        <f t="shared" si="35"/>
        <v>16.275541671524874</v>
      </c>
      <c r="AL29" s="22">
        <f t="shared" si="4"/>
        <v>126.71827041123917</v>
      </c>
      <c r="AM29" s="62">
        <f t="shared" si="5"/>
        <v>357.00498446042934</v>
      </c>
      <c r="AN29" s="62">
        <f ca="1">AVERAGE(OFFSET($AM$3,0,0,'Données projet'!$E$10+1,1))-AVERAGE(OFFSET($H$3,0,0,'Données projet'!$E$10+1,1))</f>
        <v>369.59928463850827</v>
      </c>
      <c r="AO29" s="62">
        <f t="shared" si="36"/>
        <v>236.19165554863852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84.200000000000017</v>
      </c>
      <c r="BE29" s="14">
        <f>BD29*VLOOKUP('Données projet'!$B$11,Paramètres!$A$1:$I$89,3,0)*VLOOKUP('Données projet'!$B$11,Paramètres!$A$1:$I$89,5,0)</f>
        <v>81.438240000000022</v>
      </c>
      <c r="BF29" s="14">
        <f t="shared" si="37"/>
        <v>22.488475778344696</v>
      </c>
      <c r="BG29" s="22">
        <f t="shared" si="7"/>
        <v>181.00569664728371</v>
      </c>
      <c r="BH29" s="62">
        <f t="shared" si="8"/>
        <v>411.29241069647389</v>
      </c>
      <c r="BI29" s="62">
        <f ca="1">AVERAGE(OFFSET($BH$3,0,0,'Données projet'!$E$11+1,1))-AVERAGE(OFFSET($H$3,0,0,'Données projet'!$E$11+1,1))</f>
        <v>500.25828825677058</v>
      </c>
      <c r="BJ29" s="62">
        <f t="shared" si="38"/>
        <v>313.56299786481338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9.6</v>
      </c>
      <c r="BY29" s="13">
        <f>IF('Données projet'!$A$114&gt;35,BY28+BX29-CG28,IF(A29&lt;'Données projet'!$A$114,$BV$205^A29,IF(A29='Données projet'!$A$114,'Données projet'!$B$114,BY28+BX29-CG28)))</f>
        <v>75.600000000000009</v>
      </c>
      <c r="BZ29" s="14">
        <f>BY29*VLOOKUP('Données projet'!$B$12,Paramètres!$A$1:$I$89,3,0)*VLOOKUP('Données projet'!$B$12,Paramètres!$A$1:$I$89,5,0)</f>
        <v>66.044160000000005</v>
      </c>
      <c r="CA29" s="14">
        <f t="shared" si="39"/>
        <v>18.687781995248802</v>
      </c>
      <c r="CB29" s="22">
        <f t="shared" si="10"/>
        <v>147.57479897505831</v>
      </c>
      <c r="CC29" s="62">
        <f t="shared" si="11"/>
        <v>377.8615130242485</v>
      </c>
      <c r="CD29" s="62">
        <f ca="1">AVERAGE(OFFSET($CC$3,0,0,'Données projet'!$E$12+1,1))-AVERAGE(OFFSET($H$3,0,0,'Données projet'!$E$12+1,1))</f>
        <v>287.22548699835653</v>
      </c>
      <c r="CE29" s="62">
        <f t="shared" si="40"/>
        <v>276.01618888357268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77</v>
      </c>
      <c r="O30" s="14">
        <f>N30*VLOOKUP('Données projet'!$B$9,Paramètres!$A$1:$I$89,3,0)*VLOOKUP('Données projet'!$B$9,Paramètres!$A$1:$I$89,5,0)</f>
        <v>78.078000000000003</v>
      </c>
      <c r="P30" s="14">
        <f t="shared" si="33"/>
        <v>21.666582091642084</v>
      </c>
      <c r="Q30" s="22">
        <f t="shared" si="2"/>
        <v>173.72181380960993</v>
      </c>
      <c r="R30" s="62">
        <f t="shared" si="0"/>
        <v>406.2396566821734</v>
      </c>
      <c r="S30" s="62">
        <f ca="1">AVERAGE(OFFSET($R$3,0,0,'Données projet'!$E$9+1,1))-AVERAGE(OFFSET($H$3,0,0,'Données projet'!$E$9+1,1))</f>
        <v>446.90706503298787</v>
      </c>
      <c r="T30" s="62">
        <f t="shared" si="34"/>
        <v>275.54513370838777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62.652720000000009</v>
      </c>
      <c r="AK30" s="14">
        <f t="shared" si="35"/>
        <v>17.837261824603328</v>
      </c>
      <c r="AL30" s="22">
        <f t="shared" si="4"/>
        <v>140.18671834451746</v>
      </c>
      <c r="AM30" s="62">
        <f t="shared" si="5"/>
        <v>372.70456121708094</v>
      </c>
      <c r="AN30" s="62">
        <f ca="1">AVERAGE(OFFSET($AM$3,0,0,'Données projet'!$E$10+1,1))-AVERAGE(OFFSET($H$3,0,0,'Données projet'!$E$10+1,1))</f>
        <v>369.59928463850827</v>
      </c>
      <c r="AO30" s="62">
        <f t="shared" si="36"/>
        <v>236.19165554863852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93.40000000000002</v>
      </c>
      <c r="BE30" s="14">
        <f>BD30*VLOOKUP('Données projet'!$B$11,Paramètres!$A$1:$I$89,3,0)*VLOOKUP('Données projet'!$B$11,Paramètres!$A$1:$I$89,5,0)</f>
        <v>90.336480000000023</v>
      </c>
      <c r="BF30" s="14">
        <f t="shared" si="37"/>
        <v>24.646358234355564</v>
      </c>
      <c r="BG30" s="22">
        <f t="shared" si="7"/>
        <v>200.26177659150264</v>
      </c>
      <c r="BH30" s="62">
        <f t="shared" si="8"/>
        <v>432.77961946406617</v>
      </c>
      <c r="BI30" s="62">
        <f ca="1">AVERAGE(OFFSET($BH$3,0,0,'Données projet'!$E$11+1,1))-AVERAGE(OFFSET($H$3,0,0,'Données projet'!$E$11+1,1))</f>
        <v>500.25828825677058</v>
      </c>
      <c r="BJ30" s="62">
        <f t="shared" si="38"/>
        <v>313.56299786481338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9.6</v>
      </c>
      <c r="BY30" s="13">
        <f>IF('Données projet'!$A$114&gt;35,BY29+BX30-CG29,IF(A30&lt;'Données projet'!$A$114,$BV$205^A30,IF(A30='Données projet'!$A$114,'Données projet'!$B$114,BY29+BX30-CG29)))</f>
        <v>85.2</v>
      </c>
      <c r="BZ30" s="14">
        <f>BY30*VLOOKUP('Données projet'!$B$12,Paramètres!$A$1:$I$89,3,0)*VLOOKUP('Données projet'!$B$12,Paramètres!$A$1:$I$89,5,0)</f>
        <v>74.430720000000008</v>
      </c>
      <c r="CA30" s="14">
        <f t="shared" si="39"/>
        <v>20.76980057385482</v>
      </c>
      <c r="CB30" s="22">
        <f t="shared" si="10"/>
        <v>165.80757333279715</v>
      </c>
      <c r="CC30" s="62">
        <f t="shared" si="11"/>
        <v>398.32541620536063</v>
      </c>
      <c r="CD30" s="62">
        <f ca="1">AVERAGE(OFFSET($CC$3,0,0,'Données projet'!$E$12+1,1))-AVERAGE(OFFSET($H$3,0,0,'Données projet'!$E$12+1,1))</f>
        <v>287.22548699835653</v>
      </c>
      <c r="CE30" s="62">
        <f t="shared" si="40"/>
        <v>276.01618888357268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84</v>
      </c>
      <c r="O31" s="14">
        <f>N31*VLOOKUP('Données projet'!$B$9,Paramètres!$A$1:$I$89,3,0)*VLOOKUP('Données projet'!$B$9,Paramètres!$A$1:$I$89,5,0)</f>
        <v>85.176000000000002</v>
      </c>
      <c r="P31" s="14">
        <f t="shared" si="33"/>
        <v>23.398088487656441</v>
      </c>
      <c r="Q31" s="22">
        <f t="shared" si="2"/>
        <v>189.09987078266829</v>
      </c>
      <c r="R31" s="62">
        <f t="shared" si="0"/>
        <v>423.83134020465241</v>
      </c>
      <c r="S31" s="62">
        <f ca="1">AVERAGE(OFFSET($R$3,0,0,'Données projet'!$E$9+1,1))-AVERAGE(OFFSET($H$3,0,0,'Données projet'!$E$9+1,1))</f>
        <v>446.90706503298787</v>
      </c>
      <c r="T31" s="62">
        <f t="shared" si="34"/>
        <v>275.54513370838777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68.824080000000023</v>
      </c>
      <c r="AK31" s="14">
        <f t="shared" si="35"/>
        <v>19.381147881506788</v>
      </c>
      <c r="AL31" s="22">
        <f t="shared" si="4"/>
        <v>153.62410522695768</v>
      </c>
      <c r="AM31" s="62">
        <f t="shared" si="5"/>
        <v>388.3555746489418</v>
      </c>
      <c r="AN31" s="62">
        <f ca="1">AVERAGE(OFFSET($AM$3,0,0,'Données projet'!$E$10+1,1))-AVERAGE(OFFSET($H$3,0,0,'Données projet'!$E$10+1,1))</f>
        <v>369.59928463850827</v>
      </c>
      <c r="AO31" s="62">
        <f t="shared" si="36"/>
        <v>236.19165554863852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102.60000000000002</v>
      </c>
      <c r="BE31" s="14">
        <f>BD31*VLOOKUP('Données projet'!$B$11,Paramètres!$A$1:$I$89,3,0)*VLOOKUP('Données projet'!$B$11,Paramètres!$A$1:$I$89,5,0)</f>
        <v>99.234720000000024</v>
      </c>
      <c r="BF31" s="14">
        <f t="shared" si="37"/>
        <v>26.779598706219044</v>
      </c>
      <c r="BG31" s="22">
        <f t="shared" si="7"/>
        <v>219.47493841333153</v>
      </c>
      <c r="BH31" s="62">
        <f t="shared" si="8"/>
        <v>454.20640783531564</v>
      </c>
      <c r="BI31" s="62">
        <f ca="1">AVERAGE(OFFSET($BH$3,0,0,'Données projet'!$E$11+1,1))-AVERAGE(OFFSET($H$3,0,0,'Données projet'!$E$11+1,1))</f>
        <v>500.25828825677058</v>
      </c>
      <c r="BJ31" s="62">
        <f t="shared" si="38"/>
        <v>313.56299786481338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9.6</v>
      </c>
      <c r="BY31" s="13">
        <f>IF('Données projet'!$A$114&gt;35,BY30+BX31-CG30,IF(A31&lt;'Données projet'!$A$114,$BV$205^A31,IF(A31='Données projet'!$A$114,'Données projet'!$B$114,BY30+BX31-CG30)))</f>
        <v>94.8</v>
      </c>
      <c r="BZ31" s="14">
        <f>BY31*VLOOKUP('Données projet'!$B$12,Paramètres!$A$1:$I$89,3,0)*VLOOKUP('Données projet'!$B$12,Paramètres!$A$1:$I$89,5,0)</f>
        <v>82.817280000000011</v>
      </c>
      <c r="CA31" s="14">
        <f t="shared" si="39"/>
        <v>22.824630073728041</v>
      </c>
      <c r="CB31" s="22">
        <f t="shared" si="10"/>
        <v>183.99299337840969</v>
      </c>
      <c r="CC31" s="62">
        <f t="shared" si="11"/>
        <v>418.72446280039378</v>
      </c>
      <c r="CD31" s="62">
        <f ca="1">AVERAGE(OFFSET($CC$3,0,0,'Données projet'!$E$12+1,1))-AVERAGE(OFFSET($H$3,0,0,'Données projet'!$E$12+1,1))</f>
        <v>287.22548699835653</v>
      </c>
      <c r="CE31" s="62">
        <f t="shared" si="40"/>
        <v>276.01618888357268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91</v>
      </c>
      <c r="O32" s="14">
        <f>N32*VLOOKUP('Données projet'!$B$9,Paramètres!$A$1:$I$89,3,0)*VLOOKUP('Données projet'!$B$9,Paramètres!$A$1:$I$89,5,0)</f>
        <v>92.274000000000001</v>
      </c>
      <c r="P32" s="14">
        <f t="shared" si="33"/>
        <v>25.112860036087575</v>
      </c>
      <c r="Q32" s="22">
        <f t="shared" si="2"/>
        <v>204.4487812295192</v>
      </c>
      <c r="R32" s="62">
        <f t="shared" si="0"/>
        <v>441.37667855229506</v>
      </c>
      <c r="S32" s="62">
        <f ca="1">AVERAGE(OFFSET($R$3,0,0,'Données projet'!$E$9+1,1))-AVERAGE(OFFSET($H$3,0,0,'Données projet'!$E$9+1,1))</f>
        <v>446.90706503298787</v>
      </c>
      <c r="T32" s="62">
        <f t="shared" si="34"/>
        <v>275.54513370838777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74.995440000000016</v>
      </c>
      <c r="AK32" s="14">
        <f t="shared" si="35"/>
        <v>20.908980854017098</v>
      </c>
      <c r="AL32" s="22">
        <f t="shared" si="4"/>
        <v>167.03353298741314</v>
      </c>
      <c r="AM32" s="62">
        <f t="shared" si="5"/>
        <v>403.96143031018897</v>
      </c>
      <c r="AN32" s="62">
        <f ca="1">AVERAGE(OFFSET($AM$3,0,0,'Données projet'!$E$10+1,1))-AVERAGE(OFFSET($H$3,0,0,'Données projet'!$E$10+1,1))</f>
        <v>369.59928463850827</v>
      </c>
      <c r="AO32" s="62">
        <f t="shared" si="36"/>
        <v>236.19165554863852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111.80000000000003</v>
      </c>
      <c r="BE32" s="14">
        <f>BD32*VLOOKUP('Données projet'!$B$11,Paramètres!$A$1:$I$89,3,0)*VLOOKUP('Données projet'!$B$11,Paramètres!$A$1:$I$89,5,0)</f>
        <v>108.13296000000003</v>
      </c>
      <c r="BF32" s="14">
        <f t="shared" si="37"/>
        <v>28.890658079177882</v>
      </c>
      <c r="BG32" s="22">
        <f t="shared" si="7"/>
        <v>238.64946815456821</v>
      </c>
      <c r="BH32" s="62">
        <f t="shared" si="8"/>
        <v>475.57736547734407</v>
      </c>
      <c r="BI32" s="62">
        <f ca="1">AVERAGE(OFFSET($BH$3,0,0,'Données projet'!$E$11+1,1))-AVERAGE(OFFSET($H$3,0,0,'Données projet'!$E$11+1,1))</f>
        <v>500.25828825677058</v>
      </c>
      <c r="BJ32" s="62">
        <f t="shared" si="38"/>
        <v>313.56299786481338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9.6</v>
      </c>
      <c r="BY32" s="13">
        <f>IF('Données projet'!$A$114&gt;35,BY31+BX32-CG31,IF(A32&lt;'Données projet'!$A$114,$BV$205^A32,IF(A32='Données projet'!$A$114,'Données projet'!$B$114,BY31+BX32-CG31)))</f>
        <v>104.39999999999999</v>
      </c>
      <c r="BZ32" s="14">
        <f>BY32*VLOOKUP('Données projet'!$B$12,Paramètres!$A$1:$I$89,3,0)*VLOOKUP('Données projet'!$B$12,Paramètres!$A$1:$I$89,5,0)</f>
        <v>91.20384</v>
      </c>
      <c r="CA32" s="14">
        <f t="shared" si="39"/>
        <v>24.855337308022524</v>
      </c>
      <c r="CB32" s="22">
        <f t="shared" si="10"/>
        <v>202.13640047813919</v>
      </c>
      <c r="CC32" s="62">
        <f t="shared" si="11"/>
        <v>439.06429780091503</v>
      </c>
      <c r="CD32" s="62">
        <f ca="1">AVERAGE(OFFSET($CC$3,0,0,'Données projet'!$E$12+1,1))-AVERAGE(OFFSET($H$3,0,0,'Données projet'!$E$12+1,1))</f>
        <v>287.22548699835653</v>
      </c>
      <c r="CE32" s="62">
        <f t="shared" si="40"/>
        <v>276.01618888357268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98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98</v>
      </c>
      <c r="O33" s="14">
        <f>N33*VLOOKUP('Données projet'!$B$9,Paramètres!$A$1:$I$89,3,0)*VLOOKUP('Données projet'!$B$9,Paramètres!$A$1:$I$89,5,0)</f>
        <v>99.372000000000014</v>
      </c>
      <c r="P33" s="14">
        <f t="shared" si="33"/>
        <v>26.812330397327713</v>
      </c>
      <c r="Q33" s="22">
        <f t="shared" si="2"/>
        <v>219.7710421086791</v>
      </c>
      <c r="R33" s="62">
        <f t="shared" si="0"/>
        <v>458.87846704172108</v>
      </c>
      <c r="S33" s="62">
        <f ca="1">AVERAGE(OFFSET($R$3,0,0,'Données projet'!$E$9+1,1))-AVERAGE(OFFSET($H$3,0,0,'Données projet'!$E$9+1,1))</f>
        <v>446.90706503298787</v>
      </c>
      <c r="T33" s="62">
        <f t="shared" si="34"/>
        <v>275.54513370838777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81.166800000000009</v>
      </c>
      <c r="AK33" s="14">
        <f t="shared" si="35"/>
        <v>22.422231932399924</v>
      </c>
      <c r="AL33" s="22">
        <f t="shared" si="4"/>
        <v>180.41756394892988</v>
      </c>
      <c r="AM33" s="62">
        <f t="shared" si="5"/>
        <v>419.52498888197186</v>
      </c>
      <c r="AN33" s="62">
        <f ca="1">AVERAGE(OFFSET($AM$3,0,0,'Données projet'!$E$10+1,1))-AVERAGE(OFFSET($H$3,0,0,'Données projet'!$E$10+1,1))</f>
        <v>369.59928463850827</v>
      </c>
      <c r="AO33" s="62">
        <f t="shared" si="36"/>
        <v>236.19165554863852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28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121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121.00000000000003</v>
      </c>
      <c r="BE33" s="14">
        <f>BD33*VLOOKUP('Données projet'!$B$11,Paramètres!$A$1:$I$89,3,0)*VLOOKUP('Données projet'!$B$11,Paramètres!$A$1:$I$89,5,0)</f>
        <v>117.03120000000003</v>
      </c>
      <c r="BF33" s="14">
        <f t="shared" si="37"/>
        <v>30.981569147428555</v>
      </c>
      <c r="BG33" s="22">
        <f t="shared" si="7"/>
        <v>257.78890626510474</v>
      </c>
      <c r="BH33" s="62">
        <f t="shared" si="8"/>
        <v>496.89633119814675</v>
      </c>
      <c r="BI33" s="62">
        <f ca="1">AVERAGE(OFFSET($BH$3,0,0,'Données projet'!$E$11+1,1))-AVERAGE(OFFSET($H$3,0,0,'Données projet'!$E$11+1,1))</f>
        <v>500.25828825677058</v>
      </c>
      <c r="BJ33" s="62">
        <f t="shared" si="38"/>
        <v>313.56299786481338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28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114</v>
      </c>
      <c r="BW33" s="13">
        <f>VLOOKUP(A33,'Données projet'!$A$113:$I$133,9,0)</f>
        <v>9.6</v>
      </c>
      <c r="BX33" s="13">
        <f t="array" ref="BX33">INDEX(BW:BW,MIN(IF(ISNUMBER(BW33:BW229),ROW(BW33:BW229),"")))</f>
        <v>9.6</v>
      </c>
      <c r="BY33" s="13">
        <f>IF('Données projet'!$A$114&gt;35,BY32+BX33-CG32,IF(A33&lt;'Données projet'!$A$114,$BV$205^A33,IF(A33='Données projet'!$A$114,'Données projet'!$B$114,BY32+BX33-CG32)))</f>
        <v>113.99999999999999</v>
      </c>
      <c r="BZ33" s="14">
        <f>BY33*VLOOKUP('Données projet'!$B$12,Paramètres!$A$1:$I$89,3,0)*VLOOKUP('Données projet'!$B$12,Paramètres!$A$1:$I$89,5,0)</f>
        <v>99.590400000000002</v>
      </c>
      <c r="CA33" s="14">
        <f t="shared" si="39"/>
        <v>26.864392698869324</v>
      </c>
      <c r="CB33" s="22">
        <f t="shared" si="10"/>
        <v>220.24209728386407</v>
      </c>
      <c r="CC33" s="62">
        <f t="shared" si="11"/>
        <v>459.34952221690605</v>
      </c>
      <c r="CD33" s="62">
        <f ca="1">AVERAGE(OFFSET($CC$3,0,0,'Données projet'!$E$12+1,1))-AVERAGE(OFFSET($H$3,0,0,'Données projet'!$E$12+1,1))</f>
        <v>287.22548699835653</v>
      </c>
      <c r="CE33" s="62">
        <f t="shared" si="40"/>
        <v>276.01618888357268</v>
      </c>
      <c r="CF33" s="16">
        <f>IF(ISNA(VLOOKUP(A33,'Données projet'!$A$113:$I$133,3,0)),0,VLOOKUP(A33,'Données projet'!$A$113:$I$133,3,0))</f>
        <v>4</v>
      </c>
      <c r="CG33" s="16">
        <f>IF(ISNA(VLOOKUP(A33,'Données projet'!$A$113:$I$133,4,0)),0,VLOOKUP(A33,'Données projet'!$A$113:$I$133,4,0))</f>
        <v>21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7.8</v>
      </c>
      <c r="N34" s="14">
        <f>IF('Données projet'!$A$36&gt;35,N33+M34-V33,IF(A34&lt;'Données projet'!$A$36,$K$205^A34,IF(A34='Données projet'!$A$36,'Données projet'!$B$36,N33+M34-V33)))</f>
        <v>84.8</v>
      </c>
      <c r="O34" s="14">
        <f>N34*VLOOKUP('Données projet'!$B$9,Paramètres!$A$1:$I$89,3,0)*VLOOKUP('Données projet'!$B$9,Paramètres!$A$1:$I$89,5,0)</f>
        <v>85.987200000000001</v>
      </c>
      <c r="P34" s="14">
        <f t="shared" si="33"/>
        <v>23.594880218992504</v>
      </c>
      <c r="Q34" s="22">
        <f t="shared" si="2"/>
        <v>190.85545638141195</v>
      </c>
      <c r="R34" s="62">
        <f t="shared" si="0"/>
        <v>430.90357959422954</v>
      </c>
      <c r="S34" s="62">
        <f ca="1">AVERAGE(OFFSET($R$3,0,0,'Données projet'!$E$9+1,1))-AVERAGE(OFFSET($H$3,0,0,'Données projet'!$E$9+1,1))</f>
        <v>446.90706503298787</v>
      </c>
      <c r="T34" s="62">
        <f t="shared" si="34"/>
        <v>275.54513370838777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103.80000000000004</v>
      </c>
      <c r="AJ34" s="14">
        <f>AI34*VLOOKUP('Données projet'!$B$10,Paramètres!$A$1:$I$89,3,0)*VLOOKUP('Données projet'!$B$10,Paramètres!$A$1:$I$89,5,0)</f>
        <v>69.629040000000032</v>
      </c>
      <c r="AK34" s="14">
        <f t="shared" si="35"/>
        <v>19.58130665988983</v>
      </c>
      <c r="AL34" s="22">
        <f t="shared" si="4"/>
        <v>155.37468709930818</v>
      </c>
      <c r="AM34" s="62">
        <f t="shared" si="5"/>
        <v>395.42281031212576</v>
      </c>
      <c r="AN34" s="62">
        <f ca="1">AVERAGE(OFFSET($AM$3,0,0,'Données projet'!$E$10+1,1))-AVERAGE(OFFSET($H$3,0,0,'Données projet'!$E$10+1,1))</f>
        <v>369.59928463850827</v>
      </c>
      <c r="AO34" s="62">
        <f t="shared" si="36"/>
        <v>236.19165554863852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IF('Données projet'!$A$88&gt;35,BD33+BC34-BL33,IF(A34&lt;'Données projet'!$A$88,$BA$205^A34,IF(A34='Données projet'!$A$88,'Données projet'!$B$88,BD33+BC34-BL33)))</f>
        <v>103.80000000000004</v>
      </c>
      <c r="BE34" s="14">
        <f>BD34*VLOOKUP('Données projet'!$B$11,Paramètres!$A$1:$I$89,3,0)*VLOOKUP('Données projet'!$B$11,Paramètres!$A$1:$I$89,5,0)</f>
        <v>100.39536000000004</v>
      </c>
      <c r="BF34" s="14">
        <f t="shared" si="37"/>
        <v>27.056164975430569</v>
      </c>
      <c r="BG34" s="22">
        <f t="shared" si="7"/>
        <v>221.97807266554162</v>
      </c>
      <c r="BH34" s="62">
        <f t="shared" si="8"/>
        <v>462.0261958783592</v>
      </c>
      <c r="BI34" s="62">
        <f ca="1">AVERAGE(OFFSET($BH$3,0,0,'Données projet'!$E$11+1,1))-AVERAGE(OFFSET($H$3,0,0,'Données projet'!$E$11+1,1))</f>
        <v>500.25828825677058</v>
      </c>
      <c r="BJ34" s="62">
        <f t="shared" si="38"/>
        <v>313.56299786481338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8.6</v>
      </c>
      <c r="BY34" s="13">
        <f>IF('Données projet'!$A$114&gt;35,BY33+BX34-CG33,IF(A34&lt;'Données projet'!$A$114,$BV$205^A34,IF(A34='Données projet'!$A$114,'Données projet'!$B$114,BY33+BX34-CG33)))</f>
        <v>101.59999999999998</v>
      </c>
      <c r="BZ34" s="14">
        <f>BY34*VLOOKUP('Données projet'!$B$12,Paramètres!$A$1:$I$89,3,0)*VLOOKUP('Données projet'!$B$12,Paramètres!$A$1:$I$89,5,0)</f>
        <v>88.75775999999999</v>
      </c>
      <c r="CA34" s="14">
        <f t="shared" si="39"/>
        <v>24.265384701755004</v>
      </c>
      <c r="CB34" s="22">
        <f t="shared" si="10"/>
        <v>196.84864368888995</v>
      </c>
      <c r="CC34" s="62">
        <f t="shared" si="11"/>
        <v>436.89676690170751</v>
      </c>
      <c r="CD34" s="62">
        <f ca="1">AVERAGE(OFFSET($CC$3,0,0,'Données projet'!$E$12+1,1))-AVERAGE(OFFSET($H$3,0,0,'Données projet'!$E$12+1,1))</f>
        <v>287.22548699835653</v>
      </c>
      <c r="CE34" s="62">
        <f t="shared" si="40"/>
        <v>276.01618888357268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7.8</v>
      </c>
      <c r="N35" s="14">
        <f>IF('Données projet'!$A$36&gt;35,N34+M35-V34,IF(A35&lt;'Données projet'!$A$36,$K$205^A35,IF(A35='Données projet'!$A$36,'Données projet'!$B$36,N34+M35-V34)))</f>
        <v>92.6</v>
      </c>
      <c r="O35" s="14">
        <f>N35*VLOOKUP('Données projet'!$B$9,Paramètres!$A$1:$I$89,3,0)*VLOOKUP('Données projet'!$B$9,Paramètres!$A$1:$I$89,5,0)</f>
        <v>93.8964</v>
      </c>
      <c r="P35" s="14">
        <f t="shared" si="33"/>
        <v>25.502612364176063</v>
      </c>
      <c r="Q35" s="22">
        <f t="shared" ref="Q35:Q66" si="53">(O35+P35)*0.475*44/12</f>
        <v>207.95327986760662</v>
      </c>
      <c r="R35" s="62">
        <f t="shared" si="0"/>
        <v>448.92578234813197</v>
      </c>
      <c r="S35" s="62">
        <f ca="1">AVERAGE(OFFSET($R$3,0,0,'Données projet'!$E$9+1,1))-AVERAGE(OFFSET($H$3,0,0,'Données projet'!$E$9+1,1))</f>
        <v>446.90706503298787</v>
      </c>
      <c r="T35" s="62">
        <f t="shared" si="34"/>
        <v>275.54513370838777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114.60000000000004</v>
      </c>
      <c r="AJ35" s="14">
        <f>AI35*VLOOKUP('Données projet'!$B$10,Paramètres!$A$1:$I$89,3,0)*VLOOKUP('Données projet'!$B$10,Paramètres!$A$1:$I$89,5,0)</f>
        <v>76.873680000000022</v>
      </c>
      <c r="AK35" s="14">
        <f t="shared" si="35"/>
        <v>21.371018263850051</v>
      </c>
      <c r="AL35" s="22">
        <f t="shared" si="4"/>
        <v>171.1095161428722</v>
      </c>
      <c r="AM35" s="62">
        <f t="shared" si="5"/>
        <v>412.08201862339752</v>
      </c>
      <c r="AN35" s="62">
        <f ca="1">AVERAGE(OFFSET($AM$3,0,0,'Données projet'!$E$10+1,1))-AVERAGE(OFFSET($H$3,0,0,'Données projet'!$E$10+1,1))</f>
        <v>369.59928463850827</v>
      </c>
      <c r="AO35" s="62">
        <f t="shared" si="36"/>
        <v>236.19165554863852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IF('Données projet'!$A$88&gt;35,BD34+BC35-BL34,IF(A35&lt;'Données projet'!$A$88,$BA$205^A35,IF(A35='Données projet'!$A$88,'Données projet'!$B$88,BD34+BC35-BL34)))</f>
        <v>114.60000000000004</v>
      </c>
      <c r="BE35" s="14">
        <f>BD35*VLOOKUP('Données projet'!$B$11,Paramètres!$A$1:$I$89,3,0)*VLOOKUP('Données projet'!$B$11,Paramètres!$A$1:$I$89,5,0)</f>
        <v>110.84112000000003</v>
      </c>
      <c r="BF35" s="14">
        <f t="shared" si="37"/>
        <v>29.529071061640771</v>
      </c>
      <c r="BG35" s="22">
        <f t="shared" si="7"/>
        <v>244.47808276569106</v>
      </c>
      <c r="BH35" s="62">
        <f t="shared" si="8"/>
        <v>485.45058524621641</v>
      </c>
      <c r="BI35" s="62">
        <f ca="1">AVERAGE(OFFSET($BH$3,0,0,'Données projet'!$E$11+1,1))-AVERAGE(OFFSET($H$3,0,0,'Données projet'!$E$11+1,1))</f>
        <v>500.25828825677058</v>
      </c>
      <c r="BJ35" s="62">
        <f t="shared" si="38"/>
        <v>313.56299786481338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8.6</v>
      </c>
      <c r="BY35" s="13">
        <f>IF('Données projet'!$A$114&gt;35,BY34+BX35-CG34,IF(A35&lt;'Données projet'!$A$114,$BV$205^A35,IF(A35='Données projet'!$A$114,'Données projet'!$B$114,BY34+BX35-CG34)))</f>
        <v>110.19999999999997</v>
      </c>
      <c r="BZ35" s="14">
        <f>BY35*VLOOKUP('Données projet'!$B$12,Paramètres!$A$1:$I$89,3,0)*VLOOKUP('Données projet'!$B$12,Paramètres!$A$1:$I$89,5,0)</f>
        <v>96.270719999999983</v>
      </c>
      <c r="CA35" s="14">
        <f t="shared" si="39"/>
        <v>26.071592384845928</v>
      </c>
      <c r="CB35" s="22">
        <f t="shared" si="10"/>
        <v>213.07952740360665</v>
      </c>
      <c r="CC35" s="62">
        <f t="shared" si="11"/>
        <v>454.05202988413197</v>
      </c>
      <c r="CD35" s="62">
        <f ca="1">AVERAGE(OFFSET($CC$3,0,0,'Données projet'!$E$12+1,1))-AVERAGE(OFFSET($H$3,0,0,'Données projet'!$E$12+1,1))</f>
        <v>287.22548699835653</v>
      </c>
      <c r="CE35" s="62">
        <f t="shared" si="40"/>
        <v>276.01618888357268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7.8</v>
      </c>
      <c r="N36" s="14">
        <f>IF('Données projet'!$A$36&gt;35,N35+M36-V35,IF(A36&lt;'Données projet'!$A$36,$K$205^A36,IF(A36='Données projet'!$A$36,'Données projet'!$B$36,N35+M36-V35)))</f>
        <v>100.39999999999999</v>
      </c>
      <c r="O36" s="14">
        <f>N36*VLOOKUP('Données projet'!$B$9,Paramètres!$A$1:$I$89,3,0)*VLOOKUP('Données projet'!$B$9,Paramètres!$A$1:$I$89,5,0)</f>
        <v>101.80559999999998</v>
      </c>
      <c r="P36" s="14">
        <f t="shared" si="33"/>
        <v>27.391707821525987</v>
      </c>
      <c r="Q36" s="22">
        <f t="shared" si="53"/>
        <v>225.01864445582441</v>
      </c>
      <c r="R36" s="62">
        <f t="shared" si="0"/>
        <v>466.89949029036518</v>
      </c>
      <c r="S36" s="62">
        <f ca="1">AVERAGE(OFFSET($R$3,0,0,'Données projet'!$E$9+1,1))-AVERAGE(OFFSET($H$3,0,0,'Données projet'!$E$9+1,1))</f>
        <v>446.90706503298787</v>
      </c>
      <c r="T36" s="62">
        <f t="shared" si="34"/>
        <v>275.54513370838777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125.40000000000003</v>
      </c>
      <c r="AJ36" s="14">
        <f>AI36*VLOOKUP('Données projet'!$B$10,Paramètres!$A$1:$I$89,3,0)*VLOOKUP('Données projet'!$B$10,Paramètres!$A$1:$I$89,5,0)</f>
        <v>84.118320000000026</v>
      </c>
      <c r="AK36" s="14">
        <f t="shared" si="35"/>
        <v>23.141174145643028</v>
      </c>
      <c r="AL36" s="22">
        <f t="shared" si="4"/>
        <v>186.81028563699499</v>
      </c>
      <c r="AM36" s="62">
        <f t="shared" si="5"/>
        <v>428.69113147153575</v>
      </c>
      <c r="AN36" s="62">
        <f ca="1">AVERAGE(OFFSET($AM$3,0,0,'Données projet'!$E$10+1,1))-AVERAGE(OFFSET($H$3,0,0,'Données projet'!$E$10+1,1))</f>
        <v>369.59928463850827</v>
      </c>
      <c r="AO36" s="62">
        <f t="shared" si="36"/>
        <v>236.19165554863852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IF('Données projet'!$A$88&gt;35,BD35+BC36-BL35,IF(A36&lt;'Données projet'!$A$88,$BA$205^A36,IF(A36='Données projet'!$A$88,'Données projet'!$B$88,BD35+BC36-BL35)))</f>
        <v>125.40000000000003</v>
      </c>
      <c r="BE36" s="14">
        <f>BD36*VLOOKUP('Données projet'!$B$11,Paramètres!$A$1:$I$89,3,0)*VLOOKUP('Données projet'!$B$11,Paramètres!$A$1:$I$89,5,0)</f>
        <v>121.28688000000004</v>
      </c>
      <c r="BF36" s="14">
        <f t="shared" si="37"/>
        <v>31.974956333849104</v>
      </c>
      <c r="BG36" s="22">
        <f t="shared" si="7"/>
        <v>266.93103161478729</v>
      </c>
      <c r="BH36" s="62">
        <f t="shared" si="8"/>
        <v>508.81187744932799</v>
      </c>
      <c r="BI36" s="62">
        <f ca="1">AVERAGE(OFFSET($BH$3,0,0,'Données projet'!$E$11+1,1))-AVERAGE(OFFSET($H$3,0,0,'Données projet'!$E$11+1,1))</f>
        <v>500.25828825677058</v>
      </c>
      <c r="BJ36" s="62">
        <f t="shared" si="38"/>
        <v>313.56299786481338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8.6</v>
      </c>
      <c r="BY36" s="13">
        <f>IF('Données projet'!$A$114&gt;35,BY35+BX36-CG35,IF(A36&lt;'Données projet'!$A$114,$BV$205^A36,IF(A36='Données projet'!$A$114,'Données projet'!$B$114,BY35+BX36-CG35)))</f>
        <v>118.79999999999997</v>
      </c>
      <c r="BZ36" s="14">
        <f>BY36*VLOOKUP('Données projet'!$B$12,Paramètres!$A$1:$I$89,3,0)*VLOOKUP('Données projet'!$B$12,Paramètres!$A$1:$I$89,5,0)</f>
        <v>103.78367999999999</v>
      </c>
      <c r="CA36" s="14">
        <f t="shared" si="39"/>
        <v>27.861449539780477</v>
      </c>
      <c r="CB36" s="22">
        <f t="shared" si="10"/>
        <v>229.28193394845096</v>
      </c>
      <c r="CC36" s="62">
        <f t="shared" si="11"/>
        <v>471.16277978299172</v>
      </c>
      <c r="CD36" s="62">
        <f ca="1">AVERAGE(OFFSET($CC$3,0,0,'Données projet'!$E$12+1,1))-AVERAGE(OFFSET($H$3,0,0,'Données projet'!$E$12+1,1))</f>
        <v>287.22548699835653</v>
      </c>
      <c r="CE36" s="62">
        <f t="shared" si="40"/>
        <v>276.01618888357268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7.8</v>
      </c>
      <c r="N37" s="14">
        <f>IF('Données projet'!$A$36&gt;35,N36+M37-V36,IF(A37&lt;'Données projet'!$A$36,$K$205^A37,IF(A37='Données projet'!$A$36,'Données projet'!$B$36,N36+M37-V36)))</f>
        <v>108.19999999999999</v>
      </c>
      <c r="O37" s="14">
        <f>N37*VLOOKUP('Données projet'!$B$9,Paramètres!$A$1:$I$89,3,0)*VLOOKUP('Données projet'!$B$9,Paramètres!$A$1:$I$89,5,0)</f>
        <v>109.7148</v>
      </c>
      <c r="P37" s="14">
        <f t="shared" si="33"/>
        <v>29.263779078727129</v>
      </c>
      <c r="Q37" s="22">
        <f t="shared" si="53"/>
        <v>242.05435856211645</v>
      </c>
      <c r="R37" s="62">
        <f t="shared" si="0"/>
        <v>484.82779002423206</v>
      </c>
      <c r="S37" s="62">
        <f ca="1">AVERAGE(OFFSET($R$3,0,0,'Données projet'!$E$9+1,1))-AVERAGE(OFFSET($H$3,0,0,'Données projet'!$E$9+1,1))</f>
        <v>446.90706503298787</v>
      </c>
      <c r="T37" s="62">
        <f t="shared" si="34"/>
        <v>275.54513370838777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136.20000000000005</v>
      </c>
      <c r="AJ37" s="14">
        <f>AI37*VLOOKUP('Données projet'!$B$10,Paramètres!$A$1:$I$89,3,0)*VLOOKUP('Données projet'!$B$10,Paramètres!$A$1:$I$89,5,0)</f>
        <v>91.362960000000029</v>
      </c>
      <c r="AK37" s="14">
        <f t="shared" si="35"/>
        <v>24.89365002424929</v>
      </c>
      <c r="AL37" s="22">
        <f t="shared" si="4"/>
        <v>202.48026245890085</v>
      </c>
      <c r="AM37" s="62">
        <f t="shared" si="5"/>
        <v>445.25369392101641</v>
      </c>
      <c r="AN37" s="62">
        <f ca="1">AVERAGE(OFFSET($AM$3,0,0,'Données projet'!$E$10+1,1))-AVERAGE(OFFSET($H$3,0,0,'Données projet'!$E$10+1,1))</f>
        <v>369.59928463850827</v>
      </c>
      <c r="AO37" s="62">
        <f t="shared" si="36"/>
        <v>236.19165554863852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IF('Données projet'!$A$88&gt;35,BD36+BC37-BL36,IF(A37&lt;'Données projet'!$A$88,$BA$205^A37,IF(A37='Données projet'!$A$88,'Données projet'!$B$88,BD36+BC37-BL36)))</f>
        <v>136.20000000000005</v>
      </c>
      <c r="BE37" s="14">
        <f>BD37*VLOOKUP('Données projet'!$B$11,Paramètres!$A$1:$I$89,3,0)*VLOOKUP('Données projet'!$B$11,Paramètres!$A$1:$I$89,5,0)</f>
        <v>131.73264000000006</v>
      </c>
      <c r="BF37" s="14">
        <f t="shared" si="37"/>
        <v>34.396412537492502</v>
      </c>
      <c r="BG37" s="22">
        <f t="shared" si="7"/>
        <v>289.3414331694662</v>
      </c>
      <c r="BH37" s="62">
        <f t="shared" si="8"/>
        <v>532.11486463158178</v>
      </c>
      <c r="BI37" s="62">
        <f ca="1">AVERAGE(OFFSET($BH$3,0,0,'Données projet'!$E$11+1,1))-AVERAGE(OFFSET($H$3,0,0,'Données projet'!$E$11+1,1))</f>
        <v>500.25828825677058</v>
      </c>
      <c r="BJ37" s="62">
        <f t="shared" si="38"/>
        <v>313.56299786481338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8.6</v>
      </c>
      <c r="BY37" s="13">
        <f>IF('Données projet'!$A$114&gt;35,BY36+BX37-CG36,IF(A37&lt;'Données projet'!$A$114,$BV$205^A37,IF(A37='Données projet'!$A$114,'Données projet'!$B$114,BY36+BX37-CG36)))</f>
        <v>127.39999999999996</v>
      </c>
      <c r="BZ37" s="14">
        <f>BY37*VLOOKUP('Données projet'!$B$12,Paramètres!$A$1:$I$89,3,0)*VLOOKUP('Données projet'!$B$12,Paramètres!$A$1:$I$89,5,0)</f>
        <v>111.29663999999997</v>
      </c>
      <c r="CA37" s="14">
        <f t="shared" si="39"/>
        <v>29.636274399319749</v>
      </c>
      <c r="CB37" s="22">
        <f t="shared" si="10"/>
        <v>245.45815924548182</v>
      </c>
      <c r="CC37" s="62">
        <f t="shared" si="11"/>
        <v>488.23159070759743</v>
      </c>
      <c r="CD37" s="62">
        <f ca="1">AVERAGE(OFFSET($CC$3,0,0,'Données projet'!$E$12+1,1))-AVERAGE(OFFSET($H$3,0,0,'Données projet'!$E$12+1,1))</f>
        <v>287.22548699835653</v>
      </c>
      <c r="CE37" s="62">
        <f t="shared" si="40"/>
        <v>276.01618888357268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7.8</v>
      </c>
      <c r="M38" s="13">
        <f t="array" ref="M38">INDEX(L:L,MIN(IF(ISNUMBER(L38:L234),ROW(L38:L234),"")))</f>
        <v>7.8</v>
      </c>
      <c r="N38" s="14">
        <f>IF('Données projet'!$A$36&gt;35,N37+M38-V37,IF(A38&lt;'Données projet'!$A$36,$K$205^A38,IF(A38='Données projet'!$A$36,'Données projet'!$B$36,N37+M38-V37)))</f>
        <v>115.99999999999999</v>
      </c>
      <c r="O38" s="14">
        <f>N38*VLOOKUP('Données projet'!$B$9,Paramètres!$A$1:$I$89,3,0)*VLOOKUP('Données projet'!$B$9,Paramètres!$A$1:$I$89,5,0)</f>
        <v>117.624</v>
      </c>
      <c r="P38" s="14">
        <f t="shared" si="33"/>
        <v>31.120192961985413</v>
      </c>
      <c r="Q38" s="22">
        <f t="shared" si="53"/>
        <v>259.06280274212457</v>
      </c>
      <c r="R38" s="62">
        <f t="shared" si="0"/>
        <v>502.71333546669905</v>
      </c>
      <c r="S38" s="62">
        <f ca="1">AVERAGE(OFFSET($R$3,0,0,'Données projet'!$E$9+1,1))-AVERAGE(OFFSET($H$3,0,0,'Données projet'!$E$9+1,1))</f>
        <v>446.90706503298787</v>
      </c>
      <c r="T38" s="62">
        <f t="shared" si="34"/>
        <v>275.54513370838777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147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147.00000000000006</v>
      </c>
      <c r="AJ38" s="14">
        <f>AI38*VLOOKUP('Données projet'!$B$10,Paramètres!$A$1:$I$89,3,0)*VLOOKUP('Données projet'!$B$10,Paramètres!$A$1:$I$89,5,0)</f>
        <v>98.607600000000033</v>
      </c>
      <c r="AK38" s="14">
        <f t="shared" si="35"/>
        <v>26.630007227548578</v>
      </c>
      <c r="AL38" s="22">
        <f t="shared" si="4"/>
        <v>218.12216592131381</v>
      </c>
      <c r="AM38" s="62">
        <f t="shared" si="5"/>
        <v>461.77269864588834</v>
      </c>
      <c r="AN38" s="62">
        <f ca="1">AVERAGE(OFFSET($AM$3,0,0,'Données projet'!$E$10+1,1))-AVERAGE(OFFSET($H$3,0,0,'Données projet'!$E$10+1,1))</f>
        <v>369.59928463850827</v>
      </c>
      <c r="AO38" s="62">
        <f t="shared" si="36"/>
        <v>236.19165554863852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28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147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IF('Données projet'!$A$88&gt;35,BD37+BC38-BL37,IF(A38&lt;'Données projet'!$A$88,$BA$205^A38,IF(A38='Données projet'!$A$88,'Données projet'!$B$88,BD37+BC38-BL37)))</f>
        <v>147.00000000000006</v>
      </c>
      <c r="BE38" s="14">
        <f>BD38*VLOOKUP('Données projet'!$B$11,Paramètres!$A$1:$I$89,3,0)*VLOOKUP('Données projet'!$B$11,Paramètres!$A$1:$I$89,5,0)</f>
        <v>142.17840000000004</v>
      </c>
      <c r="BF38" s="14">
        <f t="shared" si="37"/>
        <v>36.795597013009356</v>
      </c>
      <c r="BG38" s="22">
        <f t="shared" si="7"/>
        <v>311.71304479765803</v>
      </c>
      <c r="BH38" s="62">
        <f t="shared" si="8"/>
        <v>555.3635775222325</v>
      </c>
      <c r="BI38" s="62">
        <f ca="1">AVERAGE(OFFSET($BH$3,0,0,'Données projet'!$E$11+1,1))-AVERAGE(OFFSET($H$3,0,0,'Données projet'!$E$11+1,1))</f>
        <v>500.25828825677058</v>
      </c>
      <c r="BJ38" s="62">
        <f t="shared" si="38"/>
        <v>313.56299786481338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28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136</v>
      </c>
      <c r="BW38" s="13">
        <f>VLOOKUP(A38,'Données projet'!$A$113:$I$133,9,0)</f>
        <v>8.6</v>
      </c>
      <c r="BX38" s="13">
        <f t="array" ref="BX38">INDEX(BW:BW,MIN(IF(ISNUMBER(BW38:BW234),ROW(BW38:BW234),"")))</f>
        <v>8.6</v>
      </c>
      <c r="BY38" s="13">
        <f>IF('Données projet'!$A$114&gt;35,BY37+BX38-CG37,IF(A38&lt;'Données projet'!$A$114,$BV$205^A38,IF(A38='Données projet'!$A$114,'Données projet'!$B$114,BY37+BX38-CG37)))</f>
        <v>135.99999999999997</v>
      </c>
      <c r="BZ38" s="14">
        <f>BY38*VLOOKUP('Données projet'!$B$12,Paramètres!$A$1:$I$89,3,0)*VLOOKUP('Données projet'!$B$12,Paramètres!$A$1:$I$89,5,0)</f>
        <v>118.8096</v>
      </c>
      <c r="CA38" s="14">
        <f t="shared" si="39"/>
        <v>31.39719715333722</v>
      </c>
      <c r="CB38" s="22">
        <f t="shared" si="10"/>
        <v>261.61017170872896</v>
      </c>
      <c r="CC38" s="62">
        <f t="shared" si="11"/>
        <v>505.26070443330343</v>
      </c>
      <c r="CD38" s="62">
        <f ca="1">AVERAGE(OFFSET($CC$3,0,0,'Données projet'!$E$12+1,1))-AVERAGE(OFFSET($H$3,0,0,'Données projet'!$E$12+1,1))</f>
        <v>287.22548699835653</v>
      </c>
      <c r="CE38" s="62">
        <f t="shared" si="40"/>
        <v>276.01618888357268</v>
      </c>
      <c r="CF38" s="16">
        <f>IF(ISNA(VLOOKUP(A38,'Données projet'!$A$113:$I$133,3,0)),0,VLOOKUP(A38,'Données projet'!$A$113:$I$133,3,0))</f>
        <v>5</v>
      </c>
      <c r="CG38" s="16">
        <f>IF(ISNA(VLOOKUP(A38,'Données projet'!$A$113:$I$133,4,0)),0,VLOOKUP(A38,'Données projet'!$A$113:$I$133,4,0))</f>
        <v>21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103.39999999999999</v>
      </c>
      <c r="O39" s="14">
        <f>N39*VLOOKUP('Données projet'!$B$9,Paramètres!$A$1:$I$89,3,0)*VLOOKUP('Données projet'!$B$9,Paramètres!$A$1:$I$89,5,0)</f>
        <v>104.8476</v>
      </c>
      <c r="P39" s="14">
        <f t="shared" si="33"/>
        <v>28.113670466115643</v>
      </c>
      <c r="Q39" s="22">
        <f t="shared" si="53"/>
        <v>231.57421272848475</v>
      </c>
      <c r="R39" s="62">
        <f t="shared" si="0"/>
        <v>476.08663096951921</v>
      </c>
      <c r="S39" s="62">
        <f ca="1">AVERAGE(OFFSET($R$3,0,0,'Données projet'!$E$9+1,1))-AVERAGE(OFFSET($H$3,0,0,'Données projet'!$E$9+1,1))</f>
        <v>446.90706503298787</v>
      </c>
      <c r="T39" s="62">
        <f t="shared" si="34"/>
        <v>275.54513370838777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130.20000000000005</v>
      </c>
      <c r="AJ39" s="14">
        <f>AI39*VLOOKUP('Données projet'!$B$10,Paramètres!$A$1:$I$89,3,0)*VLOOKUP('Données projet'!$B$10,Paramètres!$A$1:$I$89,5,0)</f>
        <v>87.33816000000003</v>
      </c>
      <c r="AK39" s="14">
        <f t="shared" si="35"/>
        <v>23.922135885857756</v>
      </c>
      <c r="AL39" s="22">
        <f t="shared" si="4"/>
        <v>193.77834866786895</v>
      </c>
      <c r="AM39" s="62">
        <f t="shared" si="5"/>
        <v>438.29076690890338</v>
      </c>
      <c r="AN39" s="62">
        <f ca="1">AVERAGE(OFFSET($AM$3,0,0,'Données projet'!$E$10+1,1))-AVERAGE(OFFSET($H$3,0,0,'Données projet'!$E$10+1,1))</f>
        <v>369.59928463850827</v>
      </c>
      <c r="AO39" s="62">
        <f t="shared" si="36"/>
        <v>236.19165554863852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11.2</v>
      </c>
      <c r="BD39" s="13">
        <f>IF('Données projet'!$A$88&gt;35,BD38+BC39-BL38,IF(A39&lt;'Données projet'!$A$88,$BA$205^A39,IF(A39='Données projet'!$A$88,'Données projet'!$B$88,BD38+BC39-BL38)))</f>
        <v>130.20000000000005</v>
      </c>
      <c r="BE39" s="14">
        <f>BD39*VLOOKUP('Données projet'!$B$11,Paramètres!$A$1:$I$89,3,0)*VLOOKUP('Données projet'!$B$11,Paramètres!$A$1:$I$89,5,0)</f>
        <v>125.92944000000006</v>
      </c>
      <c r="BF39" s="14">
        <f t="shared" si="37"/>
        <v>33.054038034052077</v>
      </c>
      <c r="BG39" s="22">
        <f t="shared" si="7"/>
        <v>276.89622424264081</v>
      </c>
      <c r="BH39" s="62">
        <f t="shared" si="8"/>
        <v>521.40864248367529</v>
      </c>
      <c r="BI39" s="62">
        <f ca="1">AVERAGE(OFFSET($BH$3,0,0,'Données projet'!$E$11+1,1))-AVERAGE(OFFSET($H$3,0,0,'Données projet'!$E$11+1,1))</f>
        <v>500.25828825677058</v>
      </c>
      <c r="BJ39" s="62">
        <f t="shared" si="38"/>
        <v>313.56299786481338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7.6</v>
      </c>
      <c r="BY39" s="13">
        <f>IF('Données projet'!$A$114&gt;35,BY38+BX39-CG38,IF(A39&lt;'Données projet'!$A$114,$BV$205^A39,IF(A39='Données projet'!$A$114,'Données projet'!$B$114,BY38+BX39-CG38)))</f>
        <v>122.59999999999997</v>
      </c>
      <c r="BZ39" s="14">
        <f>BY39*VLOOKUP('Données projet'!$B$12,Paramètres!$A$1:$I$89,3,0)*VLOOKUP('Données projet'!$B$12,Paramètres!$A$1:$I$89,5,0)</f>
        <v>107.10336</v>
      </c>
      <c r="CA39" s="14">
        <f t="shared" si="39"/>
        <v>28.647457255358184</v>
      </c>
      <c r="CB39" s="22">
        <f t="shared" si="10"/>
        <v>236.43267338641553</v>
      </c>
      <c r="CC39" s="62">
        <f t="shared" si="11"/>
        <v>480.94509162744998</v>
      </c>
      <c r="CD39" s="62">
        <f ca="1">AVERAGE(OFFSET($CC$3,0,0,'Données projet'!$E$12+1,1))-AVERAGE(OFFSET($H$3,0,0,'Données projet'!$E$12+1,1))</f>
        <v>287.22548699835653</v>
      </c>
      <c r="CE39" s="62">
        <f t="shared" si="40"/>
        <v>276.01618888357268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</v>
      </c>
      <c r="O40" s="14">
        <f>N40*VLOOKUP('Données projet'!$B$9,Paramètres!$A$1:$I$89,3,0)*VLOOKUP('Données projet'!$B$9,Paramètres!$A$1:$I$89,5,0)</f>
        <v>113.3652</v>
      </c>
      <c r="P40" s="14">
        <f t="shared" si="33"/>
        <v>30.122456058687586</v>
      </c>
      <c r="Q40" s="22">
        <f t="shared" si="53"/>
        <v>249.90766763554748</v>
      </c>
      <c r="R40" s="62">
        <f t="shared" si="0"/>
        <v>495.26701960621858</v>
      </c>
      <c r="S40" s="62">
        <f ca="1">AVERAGE(OFFSET($R$3,0,0,'Données projet'!$E$9+1,1))-AVERAGE(OFFSET($H$3,0,0,'Données projet'!$E$9+1,1))</f>
        <v>446.90706503298787</v>
      </c>
      <c r="T40" s="62">
        <f t="shared" si="34"/>
        <v>275.54513370838777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141.40000000000003</v>
      </c>
      <c r="AJ40" s="14">
        <f>AI40*VLOOKUP('Données projet'!$B$10,Paramètres!$A$1:$I$89,3,0)*VLOOKUP('Données projet'!$B$10,Paramètres!$A$1:$I$89,5,0)</f>
        <v>94.851120000000023</v>
      </c>
      <c r="AK40" s="14">
        <f t="shared" si="35"/>
        <v>25.731599638027415</v>
      </c>
      <c r="AL40" s="22">
        <f t="shared" si="4"/>
        <v>210.01490336956445</v>
      </c>
      <c r="AM40" s="62">
        <f t="shared" si="5"/>
        <v>455.37425534023555</v>
      </c>
      <c r="AN40" s="62">
        <f ca="1">AVERAGE(OFFSET($AM$3,0,0,'Données projet'!$E$10+1,1))-AVERAGE(OFFSET($H$3,0,0,'Données projet'!$E$10+1,1))</f>
        <v>369.59928463850827</v>
      </c>
      <c r="AO40" s="62">
        <f t="shared" si="36"/>
        <v>236.19165554863852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11.2</v>
      </c>
      <c r="BD40" s="13">
        <f>IF('Données projet'!$A$88&gt;35,BD39+BC40-BL39,IF(A40&lt;'Données projet'!$A$88,$BA$205^A40,IF(A40='Données projet'!$A$88,'Données projet'!$B$88,BD39+BC40-BL39)))</f>
        <v>141.40000000000003</v>
      </c>
      <c r="BE40" s="14">
        <f>BD40*VLOOKUP('Données projet'!$B$11,Paramètres!$A$1:$I$89,3,0)*VLOOKUP('Données projet'!$B$11,Paramètres!$A$1:$I$89,5,0)</f>
        <v>136.76208000000003</v>
      </c>
      <c r="BF40" s="14">
        <f t="shared" si="37"/>
        <v>35.554236342883392</v>
      </c>
      <c r="BG40" s="22">
        <f t="shared" si="7"/>
        <v>300.11758429718861</v>
      </c>
      <c r="BH40" s="62">
        <f t="shared" si="8"/>
        <v>545.47693626785974</v>
      </c>
      <c r="BI40" s="62">
        <f ca="1">AVERAGE(OFFSET($BH$3,0,0,'Données projet'!$E$11+1,1))-AVERAGE(OFFSET($H$3,0,0,'Données projet'!$E$11+1,1))</f>
        <v>500.25828825677058</v>
      </c>
      <c r="BJ40" s="62">
        <f t="shared" si="38"/>
        <v>313.56299786481338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7.6</v>
      </c>
      <c r="BY40" s="13">
        <f>IF('Données projet'!$A$114&gt;35,BY39+BX40-CG39,IF(A40&lt;'Données projet'!$A$114,$BV$205^A40,IF(A40='Données projet'!$A$114,'Données projet'!$B$114,BY39+BX40-CG39)))</f>
        <v>130.19999999999996</v>
      </c>
      <c r="BZ40" s="14">
        <f>BY40*VLOOKUP('Données projet'!$B$12,Paramètres!$A$1:$I$89,3,0)*VLOOKUP('Données projet'!$B$12,Paramètres!$A$1:$I$89,5,0)</f>
        <v>113.74271999999996</v>
      </c>
      <c r="CA40" s="14">
        <f t="shared" si="39"/>
        <v>30.211074114233345</v>
      </c>
      <c r="CB40" s="22">
        <f t="shared" si="10"/>
        <v>250.71952474895636</v>
      </c>
      <c r="CC40" s="62">
        <f t="shared" si="11"/>
        <v>496.07887671962749</v>
      </c>
      <c r="CD40" s="62">
        <f ca="1">AVERAGE(OFFSET($CC$3,0,0,'Données projet'!$E$12+1,1))-AVERAGE(OFFSET($H$3,0,0,'Données projet'!$E$12+1,1))</f>
        <v>287.22548699835653</v>
      </c>
      <c r="CE40" s="62">
        <f t="shared" si="40"/>
        <v>276.01618888357268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</v>
      </c>
      <c r="O41" s="14">
        <f>N41*VLOOKUP('Données projet'!$B$9,Paramètres!$A$1:$I$89,3,0)*VLOOKUP('Données projet'!$B$9,Paramètres!$A$1:$I$89,5,0)</f>
        <v>121.88280000000002</v>
      </c>
      <c r="P41" s="14">
        <f t="shared" si="33"/>
        <v>32.113732800054677</v>
      </c>
      <c r="Q41" s="22">
        <f t="shared" si="53"/>
        <v>268.21062796009522</v>
      </c>
      <c r="R41" s="62">
        <f t="shared" si="0"/>
        <v>514.40222125365392</v>
      </c>
      <c r="S41" s="62">
        <f ca="1">AVERAGE(OFFSET($R$3,0,0,'Données projet'!$E$9+1,1))-AVERAGE(OFFSET($H$3,0,0,'Données projet'!$E$9+1,1))</f>
        <v>446.90706503298787</v>
      </c>
      <c r="T41" s="62">
        <f t="shared" si="34"/>
        <v>275.54513370838777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152.60000000000002</v>
      </c>
      <c r="AJ41" s="14">
        <f>AI41*VLOOKUP('Données projet'!$B$10,Paramètres!$A$1:$I$89,3,0)*VLOOKUP('Données projet'!$B$10,Paramètres!$A$1:$I$89,5,0)</f>
        <v>102.36408000000002</v>
      </c>
      <c r="AK41" s="14">
        <f t="shared" si="35"/>
        <v>27.524438824969181</v>
      </c>
      <c r="AL41" s="22">
        <f t="shared" si="4"/>
        <v>226.2225036201547</v>
      </c>
      <c r="AM41" s="62">
        <f t="shared" si="5"/>
        <v>472.41409691371342</v>
      </c>
      <c r="AN41" s="62">
        <f ca="1">AVERAGE(OFFSET($AM$3,0,0,'Données projet'!$E$10+1,1))-AVERAGE(OFFSET($H$3,0,0,'Données projet'!$E$10+1,1))</f>
        <v>369.59928463850827</v>
      </c>
      <c r="AO41" s="62">
        <f t="shared" si="36"/>
        <v>236.19165554863852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11.2</v>
      </c>
      <c r="BD41" s="13">
        <f>IF('Données projet'!$A$88&gt;35,BD40+BC41-BL40,IF(A41&lt;'Données projet'!$A$88,$BA$205^A41,IF(A41='Données projet'!$A$88,'Données projet'!$B$88,BD40+BC41-BL40)))</f>
        <v>152.60000000000002</v>
      </c>
      <c r="BE41" s="14">
        <f>BD41*VLOOKUP('Données projet'!$B$11,Paramètres!$A$1:$I$89,3,0)*VLOOKUP('Données projet'!$B$11,Paramètres!$A$1:$I$89,5,0)</f>
        <v>147.59472000000002</v>
      </c>
      <c r="BF41" s="14">
        <f t="shared" si="37"/>
        <v>38.031463918082679</v>
      </c>
      <c r="BG41" s="22">
        <f t="shared" si="7"/>
        <v>323.29893699066071</v>
      </c>
      <c r="BH41" s="62">
        <f t="shared" si="8"/>
        <v>569.4905302842194</v>
      </c>
      <c r="BI41" s="62">
        <f ca="1">AVERAGE(OFFSET($BH$3,0,0,'Données projet'!$E$11+1,1))-AVERAGE(OFFSET($H$3,0,0,'Données projet'!$E$11+1,1))</f>
        <v>500.25828825677058</v>
      </c>
      <c r="BJ41" s="62">
        <f t="shared" si="38"/>
        <v>313.56299786481338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7.6</v>
      </c>
      <c r="BY41" s="13">
        <f>IF('Données projet'!$A$114&gt;35,BY40+BX41-CG40,IF(A41&lt;'Données projet'!$A$114,$BV$205^A41,IF(A41='Données projet'!$A$114,'Données projet'!$B$114,BY40+BX41-CG40)))</f>
        <v>137.79999999999995</v>
      </c>
      <c r="BZ41" s="14">
        <f>BY41*VLOOKUP('Données projet'!$B$12,Paramètres!$A$1:$I$89,3,0)*VLOOKUP('Données projet'!$B$12,Paramètres!$A$1:$I$89,5,0)</f>
        <v>120.38207999999997</v>
      </c>
      <c r="CA41" s="14">
        <f t="shared" si="39"/>
        <v>31.764096685603551</v>
      </c>
      <c r="CB41" s="22">
        <f t="shared" si="10"/>
        <v>264.98792439409277</v>
      </c>
      <c r="CC41" s="62">
        <f t="shared" si="11"/>
        <v>511.17951768765147</v>
      </c>
      <c r="CD41" s="62">
        <f ca="1">AVERAGE(OFFSET($CC$3,0,0,'Données projet'!$E$12+1,1))-AVERAGE(OFFSET($H$3,0,0,'Données projet'!$E$12+1,1))</f>
        <v>287.22548699835653</v>
      </c>
      <c r="CE41" s="62">
        <f t="shared" si="40"/>
        <v>276.01618888357268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</v>
      </c>
      <c r="O42" s="14">
        <f>N42*VLOOKUP('Données projet'!$B$9,Paramètres!$A$1:$I$89,3,0)*VLOOKUP('Données projet'!$B$9,Paramètres!$A$1:$I$89,5,0)</f>
        <v>130.40040000000002</v>
      </c>
      <c r="P42" s="14">
        <f t="shared" si="33"/>
        <v>34.088863450406919</v>
      </c>
      <c r="Q42" s="22">
        <f t="shared" si="53"/>
        <v>286.48546717612544</v>
      </c>
      <c r="R42" s="62">
        <f t="shared" si="0"/>
        <v>533.49486426623253</v>
      </c>
      <c r="S42" s="62">
        <f ca="1">AVERAGE(OFFSET($R$3,0,0,'Données projet'!$E$9+1,1))-AVERAGE(OFFSET($H$3,0,0,'Données projet'!$E$9+1,1))</f>
        <v>446.90706503298787</v>
      </c>
      <c r="T42" s="62">
        <f t="shared" si="34"/>
        <v>275.54513370838777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163.80000000000001</v>
      </c>
      <c r="AJ42" s="14">
        <f>AI42*VLOOKUP('Données projet'!$B$10,Paramètres!$A$1:$I$89,3,0)*VLOOKUP('Données projet'!$B$10,Paramètres!$A$1:$I$89,5,0)</f>
        <v>109.87703999999999</v>
      </c>
      <c r="AK42" s="14">
        <f t="shared" si="35"/>
        <v>29.302012351998378</v>
      </c>
      <c r="AL42" s="22">
        <f t="shared" si="4"/>
        <v>242.40351617973047</v>
      </c>
      <c r="AM42" s="62">
        <f t="shared" si="5"/>
        <v>489.41291326983759</v>
      </c>
      <c r="AN42" s="62">
        <f ca="1">AVERAGE(OFFSET($AM$3,0,0,'Données projet'!$E$10+1,1))-AVERAGE(OFFSET($H$3,0,0,'Données projet'!$E$10+1,1))</f>
        <v>369.59928463850827</v>
      </c>
      <c r="AO42" s="62">
        <f t="shared" si="36"/>
        <v>236.19165554863852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11.2</v>
      </c>
      <c r="BD42" s="13">
        <f>IF('Données projet'!$A$88&gt;35,BD41+BC42-BL41,IF(A42&lt;'Données projet'!$A$88,$BA$205^A42,IF(A42='Données projet'!$A$88,'Données projet'!$B$88,BD41+BC42-BL41)))</f>
        <v>163.80000000000001</v>
      </c>
      <c r="BE42" s="14">
        <f>BD42*VLOOKUP('Données projet'!$B$11,Paramètres!$A$1:$I$89,3,0)*VLOOKUP('Données projet'!$B$11,Paramètres!$A$1:$I$89,5,0)</f>
        <v>158.42736000000002</v>
      </c>
      <c r="BF42" s="14">
        <f t="shared" si="37"/>
        <v>40.487598405868248</v>
      </c>
      <c r="BG42" s="22">
        <f t="shared" si="7"/>
        <v>346.4435525568872</v>
      </c>
      <c r="BH42" s="62">
        <f t="shared" si="8"/>
        <v>593.45294964699428</v>
      </c>
      <c r="BI42" s="62">
        <f ca="1">AVERAGE(OFFSET($BH$3,0,0,'Données projet'!$E$11+1,1))-AVERAGE(OFFSET($H$3,0,0,'Données projet'!$E$11+1,1))</f>
        <v>500.25828825677058</v>
      </c>
      <c r="BJ42" s="62">
        <f t="shared" si="38"/>
        <v>313.56299786481338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7.6</v>
      </c>
      <c r="BY42" s="13">
        <f>IF('Données projet'!$A$114&gt;35,BY41+BX42-CG41,IF(A42&lt;'Données projet'!$A$114,$BV$205^A42,IF(A42='Données projet'!$A$114,'Données projet'!$B$114,BY41+BX42-CG41)))</f>
        <v>145.39999999999995</v>
      </c>
      <c r="BZ42" s="14">
        <f>BY42*VLOOKUP('Données projet'!$B$12,Paramètres!$A$1:$I$89,3,0)*VLOOKUP('Données projet'!$B$12,Paramètres!$A$1:$I$89,5,0)</f>
        <v>127.02143999999997</v>
      </c>
      <c r="CA42" s="14">
        <f t="shared" si="39"/>
        <v>33.307175870664402</v>
      </c>
      <c r="CB42" s="22">
        <f t="shared" si="10"/>
        <v>279.23900597474045</v>
      </c>
      <c r="CC42" s="62">
        <f t="shared" si="11"/>
        <v>526.24840306484759</v>
      </c>
      <c r="CD42" s="62">
        <f ca="1">AVERAGE(OFFSET($CC$3,0,0,'Données projet'!$E$12+1,1))-AVERAGE(OFFSET($H$3,0,0,'Données projet'!$E$12+1,1))</f>
        <v>287.22548699835653</v>
      </c>
      <c r="CE42" s="62">
        <f t="shared" si="40"/>
        <v>276.01618888357268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</v>
      </c>
      <c r="O43" s="14">
        <f>N43*VLOOKUP('Données projet'!$B$9,Paramètres!$A$1:$I$89,3,0)*VLOOKUP('Données projet'!$B$9,Paramètres!$A$1:$I$89,5,0)</f>
        <v>138.91800000000001</v>
      </c>
      <c r="P43" s="14">
        <f t="shared" si="33"/>
        <v>36.049022673886341</v>
      </c>
      <c r="Q43" s="22">
        <f t="shared" si="53"/>
        <v>304.73423115701871</v>
      </c>
      <c r="R43" s="62">
        <f t="shared" si="0"/>
        <v>552.5472449761395</v>
      </c>
      <c r="S43" s="62">
        <f ca="1">AVERAGE(OFFSET($R$3,0,0,'Données projet'!$E$9+1,1))-AVERAGE(OFFSET($H$3,0,0,'Données projet'!$E$9+1,1))</f>
        <v>446.90706503298787</v>
      </c>
      <c r="T43" s="62">
        <f t="shared" si="34"/>
        <v>275.54513370838777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</v>
      </c>
      <c r="AJ43" s="14">
        <f>AI43*VLOOKUP('Données projet'!$B$10,Paramètres!$A$1:$I$89,3,0)*VLOOKUP('Données projet'!$B$10,Paramètres!$A$1:$I$89,5,0)</f>
        <v>117.39</v>
      </c>
      <c r="AK43" s="14">
        <f t="shared" si="35"/>
        <v>31.065482772413461</v>
      </c>
      <c r="AL43" s="22">
        <f t="shared" si="4"/>
        <v>258.55996582862014</v>
      </c>
      <c r="AM43" s="62">
        <f t="shared" si="5"/>
        <v>506.37297964774098</v>
      </c>
      <c r="AN43" s="62">
        <f ca="1">AVERAGE(OFFSET($AM$3,0,0,'Données projet'!$E$10+1,1))-AVERAGE(OFFSET($H$3,0,0,'Données projet'!$E$10+1,1))</f>
        <v>369.59928463850827</v>
      </c>
      <c r="AO43" s="62">
        <f t="shared" si="36"/>
        <v>236.19165554863852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175</v>
      </c>
      <c r="BB43" s="13">
        <f>VLOOKUP(A43,'Données projet'!$A$87:$I$107,9,0)</f>
        <v>11.2</v>
      </c>
      <c r="BC43" s="13">
        <f t="array" ref="BC43">INDEX(BB:BB,MIN(IF(ISNUMBER(BB43:BB239),ROW(BB43:BB239),"")))</f>
        <v>11.2</v>
      </c>
      <c r="BD43" s="13">
        <f>IF('Données projet'!$A$88&gt;35,BD42+BC43-BL42,IF(A43&lt;'Données projet'!$A$88,$BA$205^A43,IF(A43='Données projet'!$A$88,'Données projet'!$B$88,BD42+BC43-BL42)))</f>
        <v>175</v>
      </c>
      <c r="BE43" s="14">
        <f>BD43*VLOOKUP('Données projet'!$B$11,Paramètres!$A$1:$I$89,3,0)*VLOOKUP('Données projet'!$B$11,Paramètres!$A$1:$I$89,5,0)</f>
        <v>169.26000000000002</v>
      </c>
      <c r="BF43" s="14">
        <f t="shared" si="37"/>
        <v>42.924246146122272</v>
      </c>
      <c r="BG43" s="22">
        <f t="shared" si="7"/>
        <v>369.55422870449632</v>
      </c>
      <c r="BH43" s="62">
        <f t="shared" si="8"/>
        <v>617.36724252361716</v>
      </c>
      <c r="BI43" s="62">
        <f ca="1">AVERAGE(OFFSET($BH$3,0,0,'Données projet'!$E$11+1,1))-AVERAGE(OFFSET($H$3,0,0,'Données projet'!$E$11+1,1))</f>
        <v>500.25828825677058</v>
      </c>
      <c r="BJ43" s="62">
        <f t="shared" si="38"/>
        <v>313.56299786481338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28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153</v>
      </c>
      <c r="BW43" s="13">
        <f>VLOOKUP(A43,'Données projet'!$A$113:$I$133,9,0)</f>
        <v>7.6</v>
      </c>
      <c r="BX43" s="13">
        <f t="array" ref="BX43">INDEX(BW:BW,MIN(IF(ISNUMBER(BW43:BW239),ROW(BW43:BW239),"")))</f>
        <v>7.6</v>
      </c>
      <c r="BY43" s="13">
        <f>IF('Données projet'!$A$114&gt;35,BY42+BX43-CG42,IF(A43&lt;'Données projet'!$A$114,$BV$205^A43,IF(A43='Données projet'!$A$114,'Données projet'!$B$114,BY42+BX43-CG42)))</f>
        <v>152.99999999999994</v>
      </c>
      <c r="BZ43" s="14">
        <f>BY43*VLOOKUP('Données projet'!$B$12,Paramètres!$A$1:$I$89,3,0)*VLOOKUP('Données projet'!$B$12,Paramètres!$A$1:$I$89,5,0)</f>
        <v>133.66079999999997</v>
      </c>
      <c r="CA43" s="14">
        <f t="shared" si="39"/>
        <v>34.840890682716719</v>
      </c>
      <c r="CB43" s="22">
        <f t="shared" si="10"/>
        <v>293.47377793906486</v>
      </c>
      <c r="CC43" s="62">
        <f t="shared" si="11"/>
        <v>541.2867917581857</v>
      </c>
      <c r="CD43" s="62">
        <f ca="1">AVERAGE(OFFSET($CC$3,0,0,'Données projet'!$E$12+1,1))-AVERAGE(OFFSET($H$3,0,0,'Données projet'!$E$12+1,1))</f>
        <v>287.22548699835653</v>
      </c>
      <c r="CE43" s="62">
        <f t="shared" si="40"/>
        <v>276.01618888357268</v>
      </c>
      <c r="CF43" s="16">
        <f>IF(ISNA(VLOOKUP(A43,'Données projet'!$A$113:$I$133,3,0)),0,VLOOKUP(A43,'Données projet'!$A$113:$I$133,3,0))</f>
        <v>6</v>
      </c>
      <c r="CG43" s="16">
        <f>IF(ISNA(VLOOKUP(A43,'Données projet'!$A$113:$I$133,4,0)),0,VLOOKUP(A43,'Données projet'!$A$113:$I$133,4,0))</f>
        <v>21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</v>
      </c>
      <c r="O44" s="14">
        <f>N44*VLOOKUP('Données projet'!$B$9,Paramètres!$A$1:$I$89,3,0)*VLOOKUP('Données projet'!$B$9,Paramètres!$A$1:$I$89,5,0)</f>
        <v>126.1416</v>
      </c>
      <c r="P44" s="14">
        <f t="shared" si="33"/>
        <v>33.10323903126482</v>
      </c>
      <c r="Q44" s="22">
        <f t="shared" si="53"/>
        <v>277.35142797945286</v>
      </c>
      <c r="R44" s="62">
        <f t="shared" si="0"/>
        <v>525.95411757395686</v>
      </c>
      <c r="S44" s="62">
        <f ca="1">AVERAGE(OFFSET($R$3,0,0,'Données projet'!$E$9+1,1))-AVERAGE(OFFSET($H$3,0,0,'Données projet'!$E$9+1,1))</f>
        <v>446.90706503298787</v>
      </c>
      <c r="T44" s="62">
        <f t="shared" si="34"/>
        <v>275.54513370838777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158.4</v>
      </c>
      <c r="AJ44" s="14">
        <f>AI44*VLOOKUP('Données projet'!$B$10,Paramètres!$A$1:$I$89,3,0)*VLOOKUP('Données projet'!$B$10,Paramètres!$A$1:$I$89,5,0)</f>
        <v>106.25471999999999</v>
      </c>
      <c r="AK44" s="14">
        <f t="shared" si="35"/>
        <v>28.446796237064529</v>
      </c>
      <c r="AL44" s="22">
        <f t="shared" si="4"/>
        <v>234.60514077955398</v>
      </c>
      <c r="AM44" s="62">
        <f t="shared" si="5"/>
        <v>483.20783037405795</v>
      </c>
      <c r="AN44" s="62">
        <f ca="1">AVERAGE(OFFSET($AM$3,0,0,'Données projet'!$E$10+1,1))-AVERAGE(OFFSET($H$3,0,0,'Données projet'!$E$10+1,1))</f>
        <v>369.59928463850827</v>
      </c>
      <c r="AO44" s="62">
        <f t="shared" si="36"/>
        <v>236.19165554863852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IF('Données projet'!$A$88&gt;35,BD43+BC44-BL43,IF(A44&lt;'Données projet'!$A$88,$BA$205^A44,IF(A44='Données projet'!$A$88,'Données projet'!$B$88,BD43+BC44-BL43)))</f>
        <v>158.4</v>
      </c>
      <c r="BE44" s="14">
        <f>BD44*VLOOKUP('Données projet'!$B$11,Paramètres!$A$1:$I$89,3,0)*VLOOKUP('Données projet'!$B$11,Paramètres!$A$1:$I$89,5,0)</f>
        <v>153.20447999999999</v>
      </c>
      <c r="BF44" s="14">
        <f t="shared" si="37"/>
        <v>39.305916881892401</v>
      </c>
      <c r="BG44" s="22">
        <f t="shared" si="7"/>
        <v>335.28894123596257</v>
      </c>
      <c r="BH44" s="62">
        <f t="shared" si="8"/>
        <v>583.89163083046651</v>
      </c>
      <c r="BI44" s="62">
        <f ca="1">AVERAGE(OFFSET($BH$3,0,0,'Données projet'!$E$11+1,1))-AVERAGE(OFFSET($H$3,0,0,'Données projet'!$E$11+1,1))</f>
        <v>500.25828825677058</v>
      </c>
      <c r="BJ44" s="62">
        <f t="shared" si="38"/>
        <v>313.56299786481338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6.6</v>
      </c>
      <c r="BY44" s="13">
        <f>IF('Données projet'!$A$114&gt;35,BY43+BX44-CG43,IF(A44&lt;'Données projet'!$A$114,$BV$205^A44,IF(A44='Données projet'!$A$114,'Données projet'!$B$114,BY43+BX44-CG43)))</f>
        <v>138.59999999999994</v>
      </c>
      <c r="BZ44" s="14">
        <f>BY44*VLOOKUP('Données projet'!$B$12,Paramètres!$A$1:$I$89,3,0)*VLOOKUP('Données projet'!$B$12,Paramètres!$A$1:$I$89,5,0)</f>
        <v>121.08095999999996</v>
      </c>
      <c r="CA44" s="14">
        <f t="shared" si="39"/>
        <v>31.926983727887041</v>
      </c>
      <c r="CB44" s="22">
        <f t="shared" si="10"/>
        <v>266.48883532606988</v>
      </c>
      <c r="CC44" s="62">
        <f t="shared" si="11"/>
        <v>515.09152492057387</v>
      </c>
      <c r="CD44" s="62">
        <f ca="1">AVERAGE(OFFSET($CC$3,0,0,'Données projet'!$E$12+1,1))-AVERAGE(OFFSET($H$3,0,0,'Données projet'!$E$12+1,1))</f>
        <v>287.22548699835653</v>
      </c>
      <c r="CE44" s="62">
        <f t="shared" si="40"/>
        <v>276.01618888357268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132.80000000000001</v>
      </c>
      <c r="O45" s="14">
        <f>N45*VLOOKUP('Données projet'!$B$9,Paramètres!$A$1:$I$89,3,0)*VLOOKUP('Données projet'!$B$9,Paramètres!$A$1:$I$89,5,0)</f>
        <v>134.65920000000003</v>
      </c>
      <c r="P45" s="14">
        <f t="shared" si="33"/>
        <v>35.07074737441733</v>
      </c>
      <c r="Q45" s="22">
        <f t="shared" si="53"/>
        <v>295.61299167711019</v>
      </c>
      <c r="R45" s="62">
        <f t="shared" si="0"/>
        <v>544.99165793774489</v>
      </c>
      <c r="S45" s="62">
        <f ca="1">AVERAGE(OFFSET($R$3,0,0,'Données projet'!$E$9+1,1))-AVERAGE(OFFSET($H$3,0,0,'Données projet'!$E$9+1,1))</f>
        <v>446.90706503298787</v>
      </c>
      <c r="T45" s="62">
        <f t="shared" si="34"/>
        <v>275.54513370838777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169.8</v>
      </c>
      <c r="AJ45" s="14">
        <f>AI45*VLOOKUP('Données projet'!$B$10,Paramètres!$A$1:$I$89,3,0)*VLOOKUP('Données projet'!$B$10,Paramètres!$A$1:$I$89,5,0)</f>
        <v>113.90184000000002</v>
      </c>
      <c r="AK45" s="14">
        <f t="shared" si="35"/>
        <v>30.248415264444404</v>
      </c>
      <c r="AL45" s="22">
        <f t="shared" si="4"/>
        <v>251.06169458557397</v>
      </c>
      <c r="AM45" s="62">
        <f t="shared" si="5"/>
        <v>500.4403608462087</v>
      </c>
      <c r="AN45" s="62">
        <f ca="1">AVERAGE(OFFSET($AM$3,0,0,'Données projet'!$E$10+1,1))-AVERAGE(OFFSET($H$3,0,0,'Données projet'!$E$10+1,1))</f>
        <v>369.59928463850827</v>
      </c>
      <c r="AO45" s="62">
        <f t="shared" si="36"/>
        <v>236.19165554863852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IF('Données projet'!$A$88&gt;35,BD44+BC45-BL44,IF(A45&lt;'Données projet'!$A$88,$BA$205^A45,IF(A45='Données projet'!$A$88,'Données projet'!$B$88,BD44+BC45-BL44)))</f>
        <v>169.8</v>
      </c>
      <c r="BE45" s="14">
        <f>BD45*VLOOKUP('Données projet'!$B$11,Paramètres!$A$1:$I$89,3,0)*VLOOKUP('Données projet'!$B$11,Paramètres!$A$1:$I$89,5,0)</f>
        <v>164.23056000000003</v>
      </c>
      <c r="BF45" s="14">
        <f t="shared" si="37"/>
        <v>41.795275864636551</v>
      </c>
      <c r="BG45" s="22">
        <f t="shared" si="7"/>
        <v>358.82833079757535</v>
      </c>
      <c r="BH45" s="62">
        <f t="shared" si="8"/>
        <v>608.20699705821005</v>
      </c>
      <c r="BI45" s="62">
        <f ca="1">AVERAGE(OFFSET($BH$3,0,0,'Données projet'!$E$11+1,1))-AVERAGE(OFFSET($H$3,0,0,'Données projet'!$E$11+1,1))</f>
        <v>500.25828825677058</v>
      </c>
      <c r="BJ45" s="62">
        <f t="shared" si="38"/>
        <v>313.56299786481338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6.6</v>
      </c>
      <c r="BY45" s="13">
        <f>IF('Données projet'!$A$114&gt;35,BY44+BX45-CG44,IF(A45&lt;'Données projet'!$A$114,$BV$205^A45,IF(A45='Données projet'!$A$114,'Données projet'!$B$114,BY44+BX45-CG44)))</f>
        <v>145.19999999999993</v>
      </c>
      <c r="BZ45" s="14">
        <f>BY45*VLOOKUP('Données projet'!$B$12,Paramètres!$A$1:$I$89,3,0)*VLOOKUP('Données projet'!$B$12,Paramètres!$A$1:$I$89,5,0)</f>
        <v>126.84671999999996</v>
      </c>
      <c r="CA45" s="14">
        <f t="shared" si="39"/>
        <v>33.266690894263995</v>
      </c>
      <c r="CB45" s="22">
        <f t="shared" si="10"/>
        <v>278.86419064084299</v>
      </c>
      <c r="CC45" s="62">
        <f t="shared" si="11"/>
        <v>528.24285690147769</v>
      </c>
      <c r="CD45" s="62">
        <f ca="1">AVERAGE(OFFSET($CC$3,0,0,'Données projet'!$E$12+1,1))-AVERAGE(OFFSET($H$3,0,0,'Données projet'!$E$12+1,1))</f>
        <v>287.22548699835653</v>
      </c>
      <c r="CE45" s="62">
        <f t="shared" si="40"/>
        <v>276.01618888357268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141.20000000000002</v>
      </c>
      <c r="O46" s="14">
        <f>N46*VLOOKUP('Données projet'!$B$9,Paramètres!$A$1:$I$89,3,0)*VLOOKUP('Données projet'!$B$9,Paramètres!$A$1:$I$89,5,0)</f>
        <v>143.17680000000004</v>
      </c>
      <c r="P46" s="14">
        <f t="shared" si="33"/>
        <v>37.023812674521515</v>
      </c>
      <c r="Q46" s="22">
        <f t="shared" si="53"/>
        <v>313.84940040812506</v>
      </c>
      <c r="R46" s="62">
        <f t="shared" si="0"/>
        <v>563.99058187455717</v>
      </c>
      <c r="S46" s="62">
        <f ca="1">AVERAGE(OFFSET($R$3,0,0,'Données projet'!$E$9+1,1))-AVERAGE(OFFSET($H$3,0,0,'Données projet'!$E$9+1,1))</f>
        <v>446.90706503298787</v>
      </c>
      <c r="T46" s="62">
        <f t="shared" si="34"/>
        <v>275.54513370838777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181.20000000000002</v>
      </c>
      <c r="AJ46" s="14">
        <f>AI46*VLOOKUP('Données projet'!$B$10,Paramètres!$A$1:$I$89,3,0)*VLOOKUP('Données projet'!$B$10,Paramètres!$A$1:$I$89,5,0)</f>
        <v>121.54896000000002</v>
      </c>
      <c r="AK46" s="14">
        <f t="shared" si="35"/>
        <v>32.035998670049096</v>
      </c>
      <c r="AL46" s="22">
        <f t="shared" si="4"/>
        <v>267.49380301700216</v>
      </c>
      <c r="AM46" s="62">
        <f t="shared" si="5"/>
        <v>517.63498448343421</v>
      </c>
      <c r="AN46" s="62">
        <f ca="1">AVERAGE(OFFSET($AM$3,0,0,'Données projet'!$E$10+1,1))-AVERAGE(OFFSET($H$3,0,0,'Données projet'!$E$10+1,1))</f>
        <v>369.59928463850827</v>
      </c>
      <c r="AO46" s="62">
        <f t="shared" si="36"/>
        <v>236.19165554863852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IF('Données projet'!$A$88&gt;35,BD45+BC46-BL45,IF(A46&lt;'Données projet'!$A$88,$BA$205^A46,IF(A46='Données projet'!$A$88,'Données projet'!$B$88,BD45+BC46-BL45)))</f>
        <v>181.20000000000002</v>
      </c>
      <c r="BE46" s="14">
        <f>BD46*VLOOKUP('Données projet'!$B$11,Paramètres!$A$1:$I$89,3,0)*VLOOKUP('Données projet'!$B$11,Paramètres!$A$1:$I$89,5,0)</f>
        <v>175.25664000000003</v>
      </c>
      <c r="BF46" s="14">
        <f t="shared" si="37"/>
        <v>44.265241345972555</v>
      </c>
      <c r="BG46" s="22">
        <f t="shared" si="7"/>
        <v>382.33394334423559</v>
      </c>
      <c r="BH46" s="62">
        <f t="shared" si="8"/>
        <v>632.47512481066769</v>
      </c>
      <c r="BI46" s="62">
        <f ca="1">AVERAGE(OFFSET($BH$3,0,0,'Données projet'!$E$11+1,1))-AVERAGE(OFFSET($H$3,0,0,'Données projet'!$E$11+1,1))</f>
        <v>500.25828825677058</v>
      </c>
      <c r="BJ46" s="62">
        <f t="shared" si="38"/>
        <v>313.56299786481338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6.6</v>
      </c>
      <c r="BY46" s="13">
        <f>IF('Données projet'!$A$114&gt;35,BY45+BX46-CG45,IF(A46&lt;'Données projet'!$A$114,$BV$205^A46,IF(A46='Données projet'!$A$114,'Données projet'!$B$114,BY45+BX46-CG45)))</f>
        <v>151.79999999999993</v>
      </c>
      <c r="BZ46" s="14">
        <f>BY46*VLOOKUP('Données projet'!$B$12,Paramètres!$A$1:$I$89,3,0)*VLOOKUP('Données projet'!$B$12,Paramètres!$A$1:$I$89,5,0)</f>
        <v>132.61247999999995</v>
      </c>
      <c r="CA46" s="14">
        <f t="shared" si="39"/>
        <v>34.599325938965464</v>
      </c>
      <c r="CB46" s="22">
        <f t="shared" si="10"/>
        <v>291.22722867703141</v>
      </c>
      <c r="CC46" s="62">
        <f t="shared" si="11"/>
        <v>541.36841014346351</v>
      </c>
      <c r="CD46" s="62">
        <f ca="1">AVERAGE(OFFSET($CC$3,0,0,'Données projet'!$E$12+1,1))-AVERAGE(OFFSET($H$3,0,0,'Données projet'!$E$12+1,1))</f>
        <v>287.22548699835653</v>
      </c>
      <c r="CE46" s="62">
        <f t="shared" si="40"/>
        <v>276.01618888357268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149.60000000000002</v>
      </c>
      <c r="O47" s="14">
        <f>N47*VLOOKUP('Données projet'!$B$9,Paramètres!$A$1:$I$89,3,0)*VLOOKUP('Données projet'!$B$9,Paramètres!$A$1:$I$89,5,0)</f>
        <v>151.69440000000003</v>
      </c>
      <c r="P47" s="14">
        <f t="shared" si="33"/>
        <v>38.963392010880654</v>
      </c>
      <c r="Q47" s="22">
        <f t="shared" si="53"/>
        <v>332.06232108561716</v>
      </c>
      <c r="R47" s="62">
        <f t="shared" si="0"/>
        <v>582.95278982375453</v>
      </c>
      <c r="S47" s="62">
        <f ca="1">AVERAGE(OFFSET($R$3,0,0,'Données projet'!$E$9+1,1))-AVERAGE(OFFSET($H$3,0,0,'Données projet'!$E$9+1,1))</f>
        <v>446.90706503298787</v>
      </c>
      <c r="T47" s="62">
        <f t="shared" si="34"/>
        <v>275.54513370838777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192.60000000000002</v>
      </c>
      <c r="AJ47" s="14">
        <f>AI47*VLOOKUP('Données projet'!$B$10,Paramètres!$A$1:$I$89,3,0)*VLOOKUP('Données projet'!$B$10,Paramètres!$A$1:$I$89,5,0)</f>
        <v>129.19608000000002</v>
      </c>
      <c r="AK47" s="14">
        <f t="shared" si="35"/>
        <v>33.810530012169728</v>
      </c>
      <c r="AL47" s="22">
        <f t="shared" si="4"/>
        <v>283.90317910452893</v>
      </c>
      <c r="AM47" s="62">
        <f t="shared" si="5"/>
        <v>534.79364784266636</v>
      </c>
      <c r="AN47" s="62">
        <f ca="1">AVERAGE(OFFSET($AM$3,0,0,'Données projet'!$E$10+1,1))-AVERAGE(OFFSET($H$3,0,0,'Données projet'!$E$10+1,1))</f>
        <v>369.59928463850827</v>
      </c>
      <c r="AO47" s="62">
        <f t="shared" si="36"/>
        <v>236.19165554863852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IF('Données projet'!$A$88&gt;35,BD46+BC47-BL46,IF(A47&lt;'Données projet'!$A$88,$BA$205^A47,IF(A47='Données projet'!$A$88,'Données projet'!$B$88,BD46+BC47-BL46)))</f>
        <v>192.60000000000002</v>
      </c>
      <c r="BE47" s="14">
        <f>BD47*VLOOKUP('Données projet'!$B$11,Paramètres!$A$1:$I$89,3,0)*VLOOKUP('Données projet'!$B$11,Paramètres!$A$1:$I$89,5,0)</f>
        <v>186.28272000000001</v>
      </c>
      <c r="BF47" s="14">
        <f t="shared" si="37"/>
        <v>46.717172342223918</v>
      </c>
      <c r="BG47" s="22">
        <f t="shared" si="7"/>
        <v>405.80814582937325</v>
      </c>
      <c r="BH47" s="62">
        <f t="shared" si="8"/>
        <v>656.69861456751073</v>
      </c>
      <c r="BI47" s="62">
        <f ca="1">AVERAGE(OFFSET($BH$3,0,0,'Données projet'!$E$11+1,1))-AVERAGE(OFFSET($H$3,0,0,'Données projet'!$E$11+1,1))</f>
        <v>500.25828825677058</v>
      </c>
      <c r="BJ47" s="62">
        <f t="shared" si="38"/>
        <v>313.56299786481338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6.6</v>
      </c>
      <c r="BY47" s="13">
        <f>IF('Données projet'!$A$114&gt;35,BY46+BX47-CG46,IF(A47&lt;'Données projet'!$A$114,$BV$205^A47,IF(A47='Données projet'!$A$114,'Données projet'!$B$114,BY46+BX47-CG46)))</f>
        <v>158.39999999999992</v>
      </c>
      <c r="BZ47" s="14">
        <f>BY47*VLOOKUP('Données projet'!$B$12,Paramètres!$A$1:$I$89,3,0)*VLOOKUP('Données projet'!$B$12,Paramètres!$A$1:$I$89,5,0)</f>
        <v>138.37823999999995</v>
      </c>
      <c r="CA47" s="14">
        <f t="shared" si="39"/>
        <v>35.925231489823368</v>
      </c>
      <c r="CB47" s="22">
        <f t="shared" si="10"/>
        <v>303.57854617810898</v>
      </c>
      <c r="CC47" s="62">
        <f t="shared" si="11"/>
        <v>554.46901491624635</v>
      </c>
      <c r="CD47" s="62">
        <f ca="1">AVERAGE(OFFSET($CC$3,0,0,'Données projet'!$E$12+1,1))-AVERAGE(OFFSET($H$3,0,0,'Données projet'!$E$12+1,1))</f>
        <v>287.22548699835653</v>
      </c>
      <c r="CE47" s="62">
        <f t="shared" si="40"/>
        <v>276.01618888357268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158.00000000000003</v>
      </c>
      <c r="O48" s="14">
        <f>N48*VLOOKUP('Données projet'!$B$9,Paramètres!$A$1:$I$89,3,0)*VLOOKUP('Données projet'!$B$9,Paramètres!$A$1:$I$89,5,0)</f>
        <v>160.21200000000005</v>
      </c>
      <c r="P48" s="14">
        <f t="shared" si="33"/>
        <v>40.890328912852695</v>
      </c>
      <c r="Q48" s="22">
        <f t="shared" si="53"/>
        <v>350.25322285655176</v>
      </c>
      <c r="R48" s="62">
        <f t="shared" si="0"/>
        <v>601.87998040738591</v>
      </c>
      <c r="S48" s="62">
        <f ca="1">AVERAGE(OFFSET($R$3,0,0,'Données projet'!$E$9+1,1))-AVERAGE(OFFSET($H$3,0,0,'Données projet'!$E$9+1,1))</f>
        <v>446.90706503298787</v>
      </c>
      <c r="T48" s="62">
        <f t="shared" si="34"/>
        <v>275.54513370838777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204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204.00000000000003</v>
      </c>
      <c r="AJ48" s="14">
        <f>AI48*VLOOKUP('Données projet'!$B$10,Paramètres!$A$1:$I$89,3,0)*VLOOKUP('Données projet'!$B$10,Paramètres!$A$1:$I$89,5,0)</f>
        <v>136.84320000000002</v>
      </c>
      <c r="AK48" s="14">
        <f t="shared" si="35"/>
        <v>35.572869837729648</v>
      </c>
      <c r="AL48" s="22">
        <f t="shared" si="4"/>
        <v>300.2913216340458</v>
      </c>
      <c r="AM48" s="62">
        <f t="shared" si="5"/>
        <v>551.91807918487996</v>
      </c>
      <c r="AN48" s="62">
        <f ca="1">AVERAGE(OFFSET($AM$3,0,0,'Données projet'!$E$10+1,1))-AVERAGE(OFFSET($H$3,0,0,'Données projet'!$E$10+1,1))</f>
        <v>369.59928463850827</v>
      </c>
      <c r="AO48" s="62">
        <f t="shared" si="36"/>
        <v>236.19165554863852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IF('Données projet'!$A$88&gt;35,BD47+BC48-BL47,IF(A48&lt;'Données projet'!$A$88,$BA$205^A48,IF(A48='Données projet'!$A$88,'Données projet'!$B$88,BD47+BC48-BL47)))</f>
        <v>204.00000000000003</v>
      </c>
      <c r="BE48" s="14">
        <f>BD48*VLOOKUP('Données projet'!$B$11,Paramètres!$A$1:$I$89,3,0)*VLOOKUP('Données projet'!$B$11,Paramètres!$A$1:$I$89,5,0)</f>
        <v>197.30880000000005</v>
      </c>
      <c r="BF48" s="14">
        <f t="shared" si="37"/>
        <v>49.152257900676076</v>
      </c>
      <c r="BG48" s="22">
        <f t="shared" si="7"/>
        <v>429.25300917701088</v>
      </c>
      <c r="BH48" s="62">
        <f t="shared" si="8"/>
        <v>680.87976672784498</v>
      </c>
      <c r="BI48" s="62">
        <f ca="1">AVERAGE(OFFSET($BH$3,0,0,'Données projet'!$E$11+1,1))-AVERAGE(OFFSET($H$3,0,0,'Données projet'!$E$11+1,1))</f>
        <v>500.25828825677058</v>
      </c>
      <c r="BJ48" s="62">
        <f t="shared" si="38"/>
        <v>313.56299786481338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28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165</v>
      </c>
      <c r="BW48" s="13">
        <f>VLOOKUP(A48,'Données projet'!$A$113:$I$133,9,0)</f>
        <v>6.6</v>
      </c>
      <c r="BX48" s="13">
        <f t="array" ref="BX48">INDEX(BW:BW,MIN(IF(ISNUMBER(BW48:BW244),ROW(BW48:BW244),"")))</f>
        <v>6.6</v>
      </c>
      <c r="BY48" s="13">
        <f>IF('Données projet'!$A$114&gt;35,BY47+BX48-CG47,IF(A48&lt;'Données projet'!$A$114,$BV$205^A48,IF(A48='Données projet'!$A$114,'Données projet'!$B$114,BY47+BX48-CG47)))</f>
        <v>164.99999999999991</v>
      </c>
      <c r="BZ48" s="14">
        <f>BY48*VLOOKUP('Données projet'!$B$12,Paramètres!$A$1:$I$89,3,0)*VLOOKUP('Données projet'!$B$12,Paramètres!$A$1:$I$89,5,0)</f>
        <v>144.14399999999995</v>
      </c>
      <c r="CA48" s="14">
        <f t="shared" si="39"/>
        <v>37.244720006976216</v>
      </c>
      <c r="CB48" s="22">
        <f t="shared" si="10"/>
        <v>315.91868734548348</v>
      </c>
      <c r="CC48" s="62">
        <f t="shared" si="11"/>
        <v>567.54544489631758</v>
      </c>
      <c r="CD48" s="62">
        <f ca="1">AVERAGE(OFFSET($CC$3,0,0,'Données projet'!$E$12+1,1))-AVERAGE(OFFSET($H$3,0,0,'Données projet'!$E$12+1,1))</f>
        <v>287.22548699835653</v>
      </c>
      <c r="CE48" s="62">
        <f t="shared" si="40"/>
        <v>276.01618888357268</v>
      </c>
      <c r="CF48" s="16">
        <f>IF(ISNA(VLOOKUP(A48,'Données projet'!$A$113:$I$133,3,0)),0,VLOOKUP(A48,'Données projet'!$A$113:$I$133,3,0))</f>
        <v>7</v>
      </c>
      <c r="CG48" s="16">
        <f>IF(ISNA(VLOOKUP(A48,'Données projet'!$A$113:$I$133,4,0)),0,VLOOKUP(A48,'Données projet'!$A$113:$I$133,4,0))</f>
        <v>18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8.4</v>
      </c>
      <c r="N49" s="14">
        <f>IF('Données projet'!$A$36&gt;35,N48+M49-V48,IF(A49&lt;'Données projet'!$A$36,$K$205^A49,IF(A49='Données projet'!$A$36,'Données projet'!$B$36,N48+M49-V48)))</f>
        <v>145.40000000000003</v>
      </c>
      <c r="O49" s="14">
        <f>N49*VLOOKUP('Données projet'!$B$9,Paramètres!$A$1:$I$89,3,0)*VLOOKUP('Données projet'!$B$9,Paramètres!$A$1:$I$89,5,0)</f>
        <v>147.43560000000002</v>
      </c>
      <c r="P49" s="14">
        <f t="shared" si="33"/>
        <v>37.99523294834102</v>
      </c>
      <c r="Q49" s="22">
        <f t="shared" si="53"/>
        <v>322.95870071836066</v>
      </c>
      <c r="R49" s="62">
        <f t="shared" si="0"/>
        <v>575.30897411708634</v>
      </c>
      <c r="S49" s="62">
        <f ca="1">AVERAGE(OFFSET($R$3,0,0,'Données projet'!$E$9+1,1))-AVERAGE(OFFSET($H$3,0,0,'Données projet'!$E$9+1,1))</f>
        <v>446.90706503298787</v>
      </c>
      <c r="T49" s="62">
        <f t="shared" si="34"/>
        <v>275.54513370838777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187.00000000000003</v>
      </c>
      <c r="AJ49" s="14">
        <f>AI49*VLOOKUP('Données projet'!$B$10,Paramètres!$A$1:$I$89,3,0)*VLOOKUP('Données projet'!$B$10,Paramètres!$A$1:$I$89,5,0)</f>
        <v>125.43960000000003</v>
      </c>
      <c r="AK49" s="14">
        <f t="shared" si="35"/>
        <v>32.940404724987246</v>
      </c>
      <c r="AL49" s="22">
        <f t="shared" si="4"/>
        <v>275.8451748960195</v>
      </c>
      <c r="AM49" s="62">
        <f t="shared" si="5"/>
        <v>528.19544829474512</v>
      </c>
      <c r="AN49" s="62">
        <f ca="1">AVERAGE(OFFSET($AM$3,0,0,'Données projet'!$E$10+1,1))-AVERAGE(OFFSET($H$3,0,0,'Données projet'!$E$10+1,1))</f>
        <v>369.59928463850827</v>
      </c>
      <c r="AO49" s="62">
        <f t="shared" si="36"/>
        <v>236.19165554863852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</v>
      </c>
      <c r="BD49" s="13">
        <f>IF('Données projet'!$A$88&gt;35,BD48+BC49-BL48,IF(A49&lt;'Données projet'!$A$88,$BA$205^A49,IF(A49='Données projet'!$A$88,'Données projet'!$B$88,BD48+BC49-BL48)))</f>
        <v>187.00000000000003</v>
      </c>
      <c r="BE49" s="14">
        <f>BD49*VLOOKUP('Données projet'!$B$11,Paramètres!$A$1:$I$89,3,0)*VLOOKUP('Données projet'!$B$11,Paramètres!$A$1:$I$89,5,0)</f>
        <v>180.86640000000003</v>
      </c>
      <c r="BF49" s="14">
        <f t="shared" si="37"/>
        <v>45.514890302102152</v>
      </c>
      <c r="BG49" s="22">
        <f t="shared" si="7"/>
        <v>394.28074727616126</v>
      </c>
      <c r="BH49" s="62">
        <f t="shared" si="8"/>
        <v>646.63102067488694</v>
      </c>
      <c r="BI49" s="62">
        <f ca="1">AVERAGE(OFFSET($BH$3,0,0,'Données projet'!$E$11+1,1))-AVERAGE(OFFSET($H$3,0,0,'Données projet'!$E$11+1,1))</f>
        <v>500.25828825677058</v>
      </c>
      <c r="BJ49" s="62">
        <f t="shared" si="38"/>
        <v>313.56299786481338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5.6</v>
      </c>
      <c r="BY49" s="13">
        <f>IF('Données projet'!$A$114&gt;35,BY48+BX49-CG48,IF(A49&lt;'Données projet'!$A$114,$BV$205^A49,IF(A49='Données projet'!$A$114,'Données projet'!$B$114,BY48+BX49-CG48)))</f>
        <v>152.59999999999991</v>
      </c>
      <c r="BZ49" s="14">
        <f>BY49*VLOOKUP('Données projet'!$B$12,Paramètres!$A$1:$I$89,3,0)*VLOOKUP('Données projet'!$B$12,Paramètres!$A$1:$I$89,5,0)</f>
        <v>133.31135999999995</v>
      </c>
      <c r="CA49" s="14">
        <f t="shared" si="39"/>
        <v>34.760393689821598</v>
      </c>
      <c r="CB49" s="22">
        <f t="shared" si="10"/>
        <v>292.72497100977256</v>
      </c>
      <c r="CC49" s="62">
        <f t="shared" si="11"/>
        <v>545.07524440849818</v>
      </c>
      <c r="CD49" s="62">
        <f ca="1">AVERAGE(OFFSET($CC$3,0,0,'Données projet'!$E$12+1,1))-AVERAGE(OFFSET($H$3,0,0,'Données projet'!$E$12+1,1))</f>
        <v>287.22548699835653</v>
      </c>
      <c r="CE49" s="62">
        <f t="shared" si="40"/>
        <v>276.01618888357268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8.4</v>
      </c>
      <c r="N50" s="14">
        <f>IF('Données projet'!$A$36&gt;35,N49+M50-V49,IF(A50&lt;'Données projet'!$A$36,$K$205^A50,IF(A50='Données projet'!$A$36,'Données projet'!$B$36,N49+M50-V49)))</f>
        <v>153.80000000000004</v>
      </c>
      <c r="O50" s="14">
        <f>N50*VLOOKUP('Données projet'!$B$9,Paramètres!$A$1:$I$89,3,0)*VLOOKUP('Données projet'!$B$9,Paramètres!$A$1:$I$89,5,0)</f>
        <v>155.95320000000004</v>
      </c>
      <c r="P50" s="14">
        <f t="shared" si="33"/>
        <v>39.928391937903875</v>
      </c>
      <c r="Q50" s="22">
        <f t="shared" si="53"/>
        <v>341.16043929184929</v>
      </c>
      <c r="R50" s="62">
        <f t="shared" si="0"/>
        <v>594.22167715604473</v>
      </c>
      <c r="S50" s="62">
        <f ca="1">AVERAGE(OFFSET($R$3,0,0,'Données projet'!$E$9+1,1))-AVERAGE(OFFSET($H$3,0,0,'Données projet'!$E$9+1,1))</f>
        <v>446.90706503298787</v>
      </c>
      <c r="T50" s="62">
        <f t="shared" si="34"/>
        <v>275.54513370838777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198.00000000000003</v>
      </c>
      <c r="AJ50" s="14">
        <f>AI50*VLOOKUP('Données projet'!$B$10,Paramètres!$A$1:$I$89,3,0)*VLOOKUP('Données projet'!$B$10,Paramètres!$A$1:$I$89,5,0)</f>
        <v>132.81840000000003</v>
      </c>
      <c r="AK50" s="14">
        <f t="shared" si="35"/>
        <v>34.646793645681022</v>
      </c>
      <c r="AL50" s="22">
        <f t="shared" si="4"/>
        <v>291.66854559956113</v>
      </c>
      <c r="AM50" s="62">
        <f t="shared" si="5"/>
        <v>544.72978346375658</v>
      </c>
      <c r="AN50" s="62">
        <f ca="1">AVERAGE(OFFSET($AM$3,0,0,'Données projet'!$E$10+1,1))-AVERAGE(OFFSET($H$3,0,0,'Données projet'!$E$10+1,1))</f>
        <v>369.59928463850827</v>
      </c>
      <c r="AO50" s="62">
        <f t="shared" si="36"/>
        <v>236.19165554863852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</v>
      </c>
      <c r="BD50" s="13">
        <f>IF('Données projet'!$A$88&gt;35,BD49+BC50-BL49,IF(A50&lt;'Données projet'!$A$88,$BA$205^A50,IF(A50='Données projet'!$A$88,'Données projet'!$B$88,BD49+BC50-BL49)))</f>
        <v>198.00000000000003</v>
      </c>
      <c r="BE50" s="14">
        <f>BD50*VLOOKUP('Données projet'!$B$11,Paramètres!$A$1:$I$89,3,0)*VLOOKUP('Données projet'!$B$11,Paramètres!$A$1:$I$89,5,0)</f>
        <v>191.50560000000004</v>
      </c>
      <c r="BF50" s="14">
        <f t="shared" si="37"/>
        <v>47.872666570685276</v>
      </c>
      <c r="BG50" s="22">
        <f t="shared" si="7"/>
        <v>416.91714761061024</v>
      </c>
      <c r="BH50" s="62">
        <f t="shared" si="8"/>
        <v>669.97838547480569</v>
      </c>
      <c r="BI50" s="62">
        <f ca="1">AVERAGE(OFFSET($BH$3,0,0,'Données projet'!$E$11+1,1))-AVERAGE(OFFSET($H$3,0,0,'Données projet'!$E$11+1,1))</f>
        <v>500.25828825677058</v>
      </c>
      <c r="BJ50" s="62">
        <f t="shared" si="38"/>
        <v>313.56299786481338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5.6</v>
      </c>
      <c r="BY50" s="13">
        <f>IF('Données projet'!$A$114&gt;35,BY49+BX50-CG49,IF(A50&lt;'Données projet'!$A$114,$BV$205^A50,IF(A50='Données projet'!$A$114,'Données projet'!$B$114,BY49+BX50-CG49)))</f>
        <v>158.1999999999999</v>
      </c>
      <c r="BZ50" s="14">
        <f>BY50*VLOOKUP('Données projet'!$B$12,Paramètres!$A$1:$I$89,3,0)*VLOOKUP('Données projet'!$B$12,Paramètres!$A$1:$I$89,5,0)</f>
        <v>138.20351999999994</v>
      </c>
      <c r="CA50" s="14">
        <f t="shared" si="39"/>
        <v>35.885148322765289</v>
      </c>
      <c r="CB50" s="22">
        <f t="shared" si="10"/>
        <v>303.20443066214938</v>
      </c>
      <c r="CC50" s="62">
        <f t="shared" si="11"/>
        <v>556.26566852634483</v>
      </c>
      <c r="CD50" s="62">
        <f ca="1">AVERAGE(OFFSET($CC$3,0,0,'Données projet'!$E$12+1,1))-AVERAGE(OFFSET($H$3,0,0,'Données projet'!$E$12+1,1))</f>
        <v>287.22548699835653</v>
      </c>
      <c r="CE50" s="62">
        <f t="shared" si="40"/>
        <v>276.01618888357268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8.4</v>
      </c>
      <c r="N51" s="14">
        <f>IF('Données projet'!$A$36&gt;35,N50+M51-V50,IF(A51&lt;'Données projet'!$A$36,$K$205^A51,IF(A51='Données projet'!$A$36,'Données projet'!$B$36,N50+M51-V50)))</f>
        <v>162.20000000000005</v>
      </c>
      <c r="O51" s="14">
        <f>N51*VLOOKUP('Données projet'!$B$9,Paramètres!$A$1:$I$89,3,0)*VLOOKUP('Données projet'!$B$9,Paramètres!$A$1:$I$89,5,0)</f>
        <v>164.47080000000005</v>
      </c>
      <c r="P51" s="14">
        <f t="shared" si="33"/>
        <v>41.849293714451377</v>
      </c>
      <c r="Q51" s="22">
        <f t="shared" si="53"/>
        <v>359.34082988600289</v>
      </c>
      <c r="R51" s="62">
        <f t="shared" si="0"/>
        <v>613.10069857167059</v>
      </c>
      <c r="S51" s="62">
        <f ca="1">AVERAGE(OFFSET($R$3,0,0,'Données projet'!$E$9+1,1))-AVERAGE(OFFSET($H$3,0,0,'Données projet'!$E$9+1,1))</f>
        <v>446.90706503298787</v>
      </c>
      <c r="T51" s="62">
        <f t="shared" si="34"/>
        <v>275.54513370838777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209.00000000000003</v>
      </c>
      <c r="AJ51" s="14">
        <f>AI51*VLOOKUP('Données projet'!$B$10,Paramètres!$A$1:$I$89,3,0)*VLOOKUP('Données projet'!$B$10,Paramètres!$A$1:$I$89,5,0)</f>
        <v>140.19720000000001</v>
      </c>
      <c r="AK51" s="14">
        <f t="shared" si="35"/>
        <v>36.342177544317998</v>
      </c>
      <c r="AL51" s="22">
        <f t="shared" si="4"/>
        <v>307.47274922302051</v>
      </c>
      <c r="AM51" s="62">
        <f t="shared" si="5"/>
        <v>561.23261790868821</v>
      </c>
      <c r="AN51" s="62">
        <f ca="1">AVERAGE(OFFSET($AM$3,0,0,'Données projet'!$E$10+1,1))-AVERAGE(OFFSET($H$3,0,0,'Données projet'!$E$10+1,1))</f>
        <v>369.59928463850827</v>
      </c>
      <c r="AO51" s="62">
        <f t="shared" si="36"/>
        <v>236.19165554863852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</v>
      </c>
      <c r="BD51" s="13">
        <f>IF('Données projet'!$A$88&gt;35,BD50+BC51-BL50,IF(A51&lt;'Données projet'!$A$88,$BA$205^A51,IF(A51='Données projet'!$A$88,'Données projet'!$B$88,BD50+BC51-BL50)))</f>
        <v>209.00000000000003</v>
      </c>
      <c r="BE51" s="14">
        <f>BD51*VLOOKUP('Données projet'!$B$11,Paramètres!$A$1:$I$89,3,0)*VLOOKUP('Données projet'!$B$11,Paramètres!$A$1:$I$89,5,0)</f>
        <v>202.14480000000003</v>
      </c>
      <c r="BF51" s="14">
        <f t="shared" si="37"/>
        <v>50.215236821738628</v>
      </c>
      <c r="BG51" s="22">
        <f t="shared" si="7"/>
        <v>439.52706413119489</v>
      </c>
      <c r="BH51" s="62">
        <f t="shared" si="8"/>
        <v>693.28693281686265</v>
      </c>
      <c r="BI51" s="62">
        <f ca="1">AVERAGE(OFFSET($BH$3,0,0,'Données projet'!$E$11+1,1))-AVERAGE(OFFSET($H$3,0,0,'Données projet'!$E$11+1,1))</f>
        <v>500.25828825677058</v>
      </c>
      <c r="BJ51" s="62">
        <f t="shared" si="38"/>
        <v>313.56299786481338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5.6</v>
      </c>
      <c r="BY51" s="13">
        <f>IF('Données projet'!$A$114&gt;35,BY50+BX51-CG50,IF(A51&lt;'Données projet'!$A$114,$BV$205^A51,IF(A51='Données projet'!$A$114,'Données projet'!$B$114,BY50+BX51-CG50)))</f>
        <v>163.7999999999999</v>
      </c>
      <c r="BZ51" s="14">
        <f>BY51*VLOOKUP('Données projet'!$B$12,Paramètres!$A$1:$I$89,3,0)*VLOOKUP('Données projet'!$B$12,Paramètres!$A$1:$I$89,5,0)</f>
        <v>143.09567999999993</v>
      </c>
      <c r="CA51" s="14">
        <f t="shared" si="39"/>
        <v>37.005277082542683</v>
      </c>
      <c r="CB51" s="22">
        <f t="shared" si="10"/>
        <v>313.67583358542839</v>
      </c>
      <c r="CC51" s="62">
        <f t="shared" si="11"/>
        <v>567.43570227109603</v>
      </c>
      <c r="CD51" s="62">
        <f ca="1">AVERAGE(OFFSET($CC$3,0,0,'Données projet'!$E$12+1,1))-AVERAGE(OFFSET($H$3,0,0,'Données projet'!$E$12+1,1))</f>
        <v>287.22548699835653</v>
      </c>
      <c r="CE51" s="62">
        <f t="shared" si="40"/>
        <v>276.01618888357268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8.4</v>
      </c>
      <c r="N52" s="14">
        <f>IF('Données projet'!$A$36&gt;35,N51+M52-V51,IF(A52&lt;'Données projet'!$A$36,$K$205^A52,IF(A52='Données projet'!$A$36,'Données projet'!$B$36,N51+M52-V51)))</f>
        <v>170.60000000000005</v>
      </c>
      <c r="O52" s="14">
        <f>N52*VLOOKUP('Données projet'!$B$9,Paramètres!$A$1:$I$89,3,0)*VLOOKUP('Données projet'!$B$9,Paramètres!$A$1:$I$89,5,0)</f>
        <v>172.98840000000007</v>
      </c>
      <c r="P52" s="14">
        <f t="shared" si="33"/>
        <v>43.758645457754092</v>
      </c>
      <c r="Q52" s="22">
        <f t="shared" si="53"/>
        <v>377.50110417225511</v>
      </c>
      <c r="R52" s="62">
        <f t="shared" si="0"/>
        <v>631.94748399654713</v>
      </c>
      <c r="S52" s="62">
        <f ca="1">AVERAGE(OFFSET($R$3,0,0,'Données projet'!$E$9+1,1))-AVERAGE(OFFSET($H$3,0,0,'Données projet'!$E$9+1,1))</f>
        <v>446.90706503298787</v>
      </c>
      <c r="T52" s="62">
        <f t="shared" si="34"/>
        <v>275.54513370838777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220.00000000000003</v>
      </c>
      <c r="AJ52" s="14">
        <f>AI52*VLOOKUP('Données projet'!$B$10,Paramètres!$A$1:$I$89,3,0)*VLOOKUP('Données projet'!$B$10,Paramètres!$A$1:$I$89,5,0)</f>
        <v>147.57600000000002</v>
      </c>
      <c r="AK52" s="14">
        <f t="shared" si="35"/>
        <v>38.027201687128077</v>
      </c>
      <c r="AL52" s="22">
        <f t="shared" si="4"/>
        <v>323.25890960508139</v>
      </c>
      <c r="AM52" s="62">
        <f t="shared" si="5"/>
        <v>577.70528942937335</v>
      </c>
      <c r="AN52" s="62">
        <f ca="1">AVERAGE(OFFSET($AM$3,0,0,'Données projet'!$E$10+1,1))-AVERAGE(OFFSET($H$3,0,0,'Données projet'!$E$10+1,1))</f>
        <v>369.59928463850827</v>
      </c>
      <c r="AO52" s="62">
        <f t="shared" si="36"/>
        <v>236.19165554863852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</v>
      </c>
      <c r="BD52" s="13">
        <f>IF('Données projet'!$A$88&gt;35,BD51+BC52-BL51,IF(A52&lt;'Données projet'!$A$88,$BA$205^A52,IF(A52='Données projet'!$A$88,'Données projet'!$B$88,BD51+BC52-BL51)))</f>
        <v>220.00000000000003</v>
      </c>
      <c r="BE52" s="14">
        <f>BD52*VLOOKUP('Données projet'!$B$11,Paramètres!$A$1:$I$89,3,0)*VLOOKUP('Données projet'!$B$11,Paramètres!$A$1:$I$89,5,0)</f>
        <v>212.78400000000002</v>
      </c>
      <c r="BF52" s="14">
        <f t="shared" si="37"/>
        <v>52.543492641808065</v>
      </c>
      <c r="BG52" s="22">
        <f t="shared" si="7"/>
        <v>462.11204968448237</v>
      </c>
      <c r="BH52" s="62">
        <f t="shared" si="8"/>
        <v>716.55842950877434</v>
      </c>
      <c r="BI52" s="62">
        <f ca="1">AVERAGE(OFFSET($BH$3,0,0,'Données projet'!$E$11+1,1))-AVERAGE(OFFSET($H$3,0,0,'Données projet'!$E$11+1,1))</f>
        <v>500.25828825677058</v>
      </c>
      <c r="BJ52" s="62">
        <f t="shared" si="38"/>
        <v>313.56299786481338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5.6</v>
      </c>
      <c r="BY52" s="13">
        <f>IF('Données projet'!$A$114&gt;35,BY51+BX52-CG51,IF(A52&lt;'Données projet'!$A$114,$BV$205^A52,IF(A52='Données projet'!$A$114,'Données projet'!$B$114,BY51+BX52-CG51)))</f>
        <v>169.39999999999989</v>
      </c>
      <c r="BZ52" s="14">
        <f>BY52*VLOOKUP('Données projet'!$B$12,Paramètres!$A$1:$I$89,3,0)*VLOOKUP('Données projet'!$B$12,Paramètres!$A$1:$I$89,5,0)</f>
        <v>147.98783999999992</v>
      </c>
      <c r="CA52" s="14">
        <f t="shared" si="39"/>
        <v>38.120956246204805</v>
      </c>
      <c r="CB52" s="22">
        <f t="shared" si="10"/>
        <v>324.1394867954732</v>
      </c>
      <c r="CC52" s="62">
        <f t="shared" si="11"/>
        <v>578.58586661976517</v>
      </c>
      <c r="CD52" s="62">
        <f ca="1">AVERAGE(OFFSET($CC$3,0,0,'Données projet'!$E$12+1,1))-AVERAGE(OFFSET($H$3,0,0,'Données projet'!$E$12+1,1))</f>
        <v>287.22548699835653</v>
      </c>
      <c r="CE52" s="62">
        <f t="shared" si="40"/>
        <v>276.01618888357268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179</v>
      </c>
      <c r="L53" s="13">
        <f>VLOOKUP(A53,'Données projet'!$A$35:$I$55,9,0)</f>
        <v>8.4</v>
      </c>
      <c r="M53" s="13">
        <f t="array" ref="M53">INDEX(L:L,MIN(IF(ISNUMBER(L53:L249),ROW(L53:L249),"")))</f>
        <v>8.4</v>
      </c>
      <c r="N53" s="14">
        <f>IF('Données projet'!$A$36&gt;35,N52+M53-V52,IF(A53&lt;'Données projet'!$A$36,$K$205^A53,IF(A53='Données projet'!$A$36,'Données projet'!$B$36,N52+M53-V52)))</f>
        <v>179.00000000000006</v>
      </c>
      <c r="O53" s="14">
        <f>N53*VLOOKUP('Données projet'!$B$9,Paramètres!$A$1:$I$89,3,0)*VLOOKUP('Données projet'!$B$9,Paramètres!$A$1:$I$89,5,0)</f>
        <v>181.50600000000006</v>
      </c>
      <c r="P53" s="14">
        <f t="shared" si="33"/>
        <v>45.657080773122978</v>
      </c>
      <c r="Q53" s="22">
        <f t="shared" si="53"/>
        <v>395.64236567985591</v>
      </c>
      <c r="R53" s="62">
        <f t="shared" si="0"/>
        <v>650.76334720932596</v>
      </c>
      <c r="S53" s="62">
        <f ca="1">AVERAGE(OFFSET($R$3,0,0,'Données projet'!$E$9+1,1))-AVERAGE(OFFSET($H$3,0,0,'Données projet'!$E$9+1,1))</f>
        <v>446.90706503298787</v>
      </c>
      <c r="T53" s="62">
        <f t="shared" si="34"/>
        <v>275.54513370838777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231.00000000000003</v>
      </c>
      <c r="AJ53" s="14">
        <f>AI53*VLOOKUP('Données projet'!$B$10,Paramètres!$A$1:$I$89,3,0)*VLOOKUP('Données projet'!$B$10,Paramètres!$A$1:$I$89,5,0)</f>
        <v>154.95480000000003</v>
      </c>
      <c r="AK53" s="14">
        <f t="shared" si="35"/>
        <v>39.702443168641857</v>
      </c>
      <c r="AL53" s="22">
        <f t="shared" si="4"/>
        <v>339.02803185205124</v>
      </c>
      <c r="AM53" s="62">
        <f t="shared" si="5"/>
        <v>594.1490133815214</v>
      </c>
      <c r="AN53" s="62">
        <f ca="1">AVERAGE(OFFSET($AM$3,0,0,'Données projet'!$E$10+1,1))-AVERAGE(OFFSET($H$3,0,0,'Données projet'!$E$10+1,1))</f>
        <v>369.59928463850827</v>
      </c>
      <c r="AO53" s="62">
        <f t="shared" si="36"/>
        <v>236.19165554863852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11</v>
      </c>
      <c r="BC53" s="13">
        <f t="array" ref="BC53">INDEX(BB:BB,MIN(IF(ISNUMBER(BB53:BB249),ROW(BB53:BB249),"")))</f>
        <v>11</v>
      </c>
      <c r="BD53" s="13">
        <f>IF('Données projet'!$A$88&gt;35,BD52+BC53-BL52,IF(A53&lt;'Données projet'!$A$88,$BA$205^A53,IF(A53='Données projet'!$A$88,'Données projet'!$B$88,BD52+BC53-BL52)))</f>
        <v>231.00000000000003</v>
      </c>
      <c r="BE53" s="14">
        <f>BD53*VLOOKUP('Données projet'!$B$11,Paramètres!$A$1:$I$89,3,0)*VLOOKUP('Données projet'!$B$11,Paramètres!$A$1:$I$89,5,0)</f>
        <v>223.42320000000004</v>
      </c>
      <c r="BF53" s="14">
        <f t="shared" si="37"/>
        <v>54.858231422257631</v>
      </c>
      <c r="BG53" s="22">
        <f t="shared" si="7"/>
        <v>484.67349306043207</v>
      </c>
      <c r="BH53" s="62">
        <f t="shared" si="8"/>
        <v>739.79447458990217</v>
      </c>
      <c r="BI53" s="62">
        <f ca="1">AVERAGE(OFFSET($BH$3,0,0,'Données projet'!$E$11+1,1))-AVERAGE(OFFSET($H$3,0,0,'Données projet'!$E$11+1,1))</f>
        <v>500.25828825677058</v>
      </c>
      <c r="BJ53" s="62">
        <f t="shared" si="38"/>
        <v>313.56299786481338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175</v>
      </c>
      <c r="BW53" s="13">
        <f>VLOOKUP(A53,'Données projet'!$A$113:$I$133,9,0)</f>
        <v>5.6</v>
      </c>
      <c r="BX53" s="13">
        <f t="array" ref="BX53">INDEX(BW:BW,MIN(IF(ISNUMBER(BW53:BW249),ROW(BW53:BW249),"")))</f>
        <v>5.6</v>
      </c>
      <c r="BY53" s="13">
        <f>IF('Données projet'!$A$114&gt;35,BY52+BX53-CG52,IF(A53&lt;'Données projet'!$A$114,$BV$205^A53,IF(A53='Données projet'!$A$114,'Données projet'!$B$114,BY52+BX53-CG52)))</f>
        <v>174.99999999999989</v>
      </c>
      <c r="BZ53" s="14">
        <f>BY53*VLOOKUP('Données projet'!$B$12,Paramètres!$A$1:$I$89,3,0)*VLOOKUP('Données projet'!$B$12,Paramètres!$A$1:$I$89,5,0)</f>
        <v>152.87999999999991</v>
      </c>
      <c r="CA53" s="14">
        <f t="shared" si="39"/>
        <v>39.232349774697823</v>
      </c>
      <c r="CB53" s="22">
        <f t="shared" si="10"/>
        <v>334.59567585759856</v>
      </c>
      <c r="CC53" s="62">
        <f t="shared" si="11"/>
        <v>589.71665738706861</v>
      </c>
      <c r="CD53" s="62">
        <f ca="1">AVERAGE(OFFSET($CC$3,0,0,'Données projet'!$E$12+1,1))-AVERAGE(OFFSET($H$3,0,0,'Données projet'!$E$12+1,1))</f>
        <v>287.22548699835653</v>
      </c>
      <c r="CE53" s="62">
        <f t="shared" si="40"/>
        <v>276.01618888357268</v>
      </c>
      <c r="CF53" s="16">
        <f>IF(ISNA(VLOOKUP(A53,'Données projet'!$A$113:$I$133,3,0)),0,VLOOKUP(A53,'Données projet'!$A$113:$I$133,3,0))</f>
        <v>8</v>
      </c>
      <c r="CG53" s="16">
        <f>IF(ISNA(VLOOKUP(A53,'Données projet'!$A$113:$I$133,4,0)),0,VLOOKUP(A53,'Données projet'!$A$113:$I$133,4,0))</f>
        <v>13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166.00000000000006</v>
      </c>
      <c r="O54" s="14">
        <f>N54*VLOOKUP('Données projet'!$B$9,Paramètres!$A$1:$I$89,3,0)*VLOOKUP('Données projet'!$B$9,Paramètres!$A$1:$I$89,5,0)</f>
        <v>168.32400000000007</v>
      </c>
      <c r="P54" s="14">
        <f t="shared" si="33"/>
        <v>42.71443916408608</v>
      </c>
      <c r="Q54" s="22">
        <f t="shared" si="53"/>
        <v>367.55861487745005</v>
      </c>
      <c r="R54" s="62">
        <f t="shared" si="0"/>
        <v>623.34249528069688</v>
      </c>
      <c r="S54" s="62">
        <f ca="1">AVERAGE(OFFSET($R$3,0,0,'Données projet'!$E$9+1,1))-AVERAGE(OFFSET($H$3,0,0,'Données projet'!$E$9+1,1))</f>
        <v>446.90706503298787</v>
      </c>
      <c r="T54" s="62">
        <f t="shared" si="34"/>
        <v>275.54513370838777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213.20000000000002</v>
      </c>
      <c r="AJ54" s="14">
        <f>AI54*VLOOKUP('Données projet'!$B$10,Paramètres!$A$1:$I$89,3,0)*VLOOKUP('Données projet'!$B$10,Paramètres!$A$1:$I$89,5,0)</f>
        <v>143.01456000000002</v>
      </c>
      <c r="AK54" s="14">
        <f t="shared" si="35"/>
        <v>36.986740267426583</v>
      </c>
      <c r="AL54" s="22">
        <f t="shared" si="4"/>
        <v>313.50226463243462</v>
      </c>
      <c r="AM54" s="62">
        <f t="shared" si="5"/>
        <v>569.28614503568144</v>
      </c>
      <c r="AN54" s="62">
        <f ca="1">AVERAGE(OFFSET($AM$3,0,0,'Données projet'!$E$10+1,1))-AVERAGE(OFFSET($H$3,0,0,'Données projet'!$E$10+1,1))</f>
        <v>369.59928463850827</v>
      </c>
      <c r="AO54" s="62">
        <f t="shared" si="36"/>
        <v>236.19165554863852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10.199999999999999</v>
      </c>
      <c r="BD54" s="13">
        <f>IF('Données projet'!$A$88&gt;35,BD53+BC54-BL53,IF(A54&lt;'Données projet'!$A$88,$BA$205^A54,IF(A54='Données projet'!$A$88,'Données projet'!$B$88,BD53+BC54-BL53)))</f>
        <v>213.20000000000002</v>
      </c>
      <c r="BE54" s="14">
        <f>BD54*VLOOKUP('Données projet'!$B$11,Paramètres!$A$1:$I$89,3,0)*VLOOKUP('Données projet'!$B$11,Paramètres!$A$1:$I$89,5,0)</f>
        <v>206.20704000000001</v>
      </c>
      <c r="BF54" s="14">
        <f t="shared" si="37"/>
        <v>51.105851308113081</v>
      </c>
      <c r="BG54" s="22">
        <f t="shared" si="7"/>
        <v>448.15328569496359</v>
      </c>
      <c r="BH54" s="62">
        <f t="shared" si="8"/>
        <v>703.93716609821035</v>
      </c>
      <c r="BI54" s="62">
        <f ca="1">AVERAGE(OFFSET($BH$3,0,0,'Données projet'!$E$11+1,1))-AVERAGE(OFFSET($H$3,0,0,'Données projet'!$E$11+1,1))</f>
        <v>500.25828825677058</v>
      </c>
      <c r="BJ54" s="62">
        <f t="shared" si="38"/>
        <v>313.56299786481338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4.8</v>
      </c>
      <c r="BY54" s="13">
        <f>IF('Données projet'!$A$114&gt;35,BY53+BX54-CG53,IF(A54&lt;'Données projet'!$A$114,$BV$205^A54,IF(A54='Données projet'!$A$114,'Données projet'!$B$114,BY53+BX54-CG53)))</f>
        <v>166.7999999999999</v>
      </c>
      <c r="BZ54" s="14">
        <f>BY54*VLOOKUP('Données projet'!$B$12,Paramètres!$A$1:$I$89,3,0)*VLOOKUP('Données projet'!$B$12,Paramètres!$A$1:$I$89,5,0)</f>
        <v>145.71647999999993</v>
      </c>
      <c r="CA54" s="14">
        <f t="shared" si="39"/>
        <v>37.603505000831454</v>
      </c>
      <c r="CB54" s="22">
        <f t="shared" si="10"/>
        <v>319.28230720978132</v>
      </c>
      <c r="CC54" s="62">
        <f t="shared" si="11"/>
        <v>575.06618761302821</v>
      </c>
      <c r="CD54" s="62">
        <f ca="1">AVERAGE(OFFSET($CC$3,0,0,'Données projet'!$E$12+1,1))-AVERAGE(OFFSET($H$3,0,0,'Données projet'!$E$12+1,1))</f>
        <v>287.22548699835653</v>
      </c>
      <c r="CE54" s="62">
        <f t="shared" si="40"/>
        <v>276.01618888357268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174.00000000000006</v>
      </c>
      <c r="O55" s="14">
        <f>N55*VLOOKUP('Données projet'!$B$9,Paramètres!$A$1:$I$89,3,0)*VLOOKUP('Données projet'!$B$9,Paramètres!$A$1:$I$89,5,0)</f>
        <v>176.43600000000006</v>
      </c>
      <c r="P55" s="14">
        <f t="shared" si="33"/>
        <v>44.528341291050616</v>
      </c>
      <c r="Q55" s="22">
        <f t="shared" si="53"/>
        <v>384.84622774857991</v>
      </c>
      <c r="R55" s="62">
        <f t="shared" si="0"/>
        <v>641.28150721216321</v>
      </c>
      <c r="S55" s="62">
        <f ca="1">AVERAGE(OFFSET($R$3,0,0,'Données projet'!$E$9+1,1))-AVERAGE(OFFSET($H$3,0,0,'Données projet'!$E$9+1,1))</f>
        <v>446.90706503298787</v>
      </c>
      <c r="T55" s="62">
        <f t="shared" si="34"/>
        <v>275.54513370838777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223.4</v>
      </c>
      <c r="AJ55" s="14">
        <f>AI55*VLOOKUP('Données projet'!$B$10,Paramètres!$A$1:$I$89,3,0)*VLOOKUP('Données projet'!$B$10,Paramètres!$A$1:$I$89,5,0)</f>
        <v>149.85672</v>
      </c>
      <c r="AK55" s="14">
        <f t="shared" si="35"/>
        <v>38.546022915923054</v>
      </c>
      <c r="AL55" s="22">
        <f t="shared" si="4"/>
        <v>328.13477724523267</v>
      </c>
      <c r="AM55" s="62">
        <f t="shared" si="5"/>
        <v>584.57005670881608</v>
      </c>
      <c r="AN55" s="62">
        <f ca="1">AVERAGE(OFFSET($AM$3,0,0,'Données projet'!$E$10+1,1))-AVERAGE(OFFSET($H$3,0,0,'Données projet'!$E$10+1,1))</f>
        <v>369.59928463850827</v>
      </c>
      <c r="AO55" s="62">
        <f t="shared" si="36"/>
        <v>236.19165554863852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10.199999999999999</v>
      </c>
      <c r="BD55" s="13">
        <f>IF('Données projet'!$A$88&gt;35,BD54+BC55-BL54,IF(A55&lt;'Données projet'!$A$88,$BA$205^A55,IF(A55='Données projet'!$A$88,'Données projet'!$B$88,BD54+BC55-BL54)))</f>
        <v>223.4</v>
      </c>
      <c r="BE55" s="14">
        <f>BD55*VLOOKUP('Données projet'!$B$11,Paramètres!$A$1:$I$89,3,0)*VLOOKUP('Données projet'!$B$11,Paramètres!$A$1:$I$89,5,0)</f>
        <v>216.07248000000001</v>
      </c>
      <c r="BF55" s="14">
        <f t="shared" si="37"/>
        <v>53.260365780197098</v>
      </c>
      <c r="BG55" s="22">
        <f t="shared" si="7"/>
        <v>469.08803973384329</v>
      </c>
      <c r="BH55" s="62">
        <f t="shared" si="8"/>
        <v>725.52331919742664</v>
      </c>
      <c r="BI55" s="62">
        <f ca="1">AVERAGE(OFFSET($BH$3,0,0,'Données projet'!$E$11+1,1))-AVERAGE(OFFSET($H$3,0,0,'Données projet'!$E$11+1,1))</f>
        <v>500.25828825677058</v>
      </c>
      <c r="BJ55" s="62">
        <f t="shared" si="38"/>
        <v>313.56299786481338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4.8</v>
      </c>
      <c r="BY55" s="13">
        <f>IF('Données projet'!$A$114&gt;35,BY54+BX55-CG54,IF(A55&lt;'Données projet'!$A$114,$BV$205^A55,IF(A55='Données projet'!$A$114,'Données projet'!$B$114,BY54+BX55-CG54)))</f>
        <v>171.59999999999991</v>
      </c>
      <c r="BZ55" s="14">
        <f>BY55*VLOOKUP('Données projet'!$B$12,Paramètres!$A$1:$I$89,3,0)*VLOOKUP('Données projet'!$B$12,Paramètres!$A$1:$I$89,5,0)</f>
        <v>149.90975999999995</v>
      </c>
      <c r="CA55" s="14">
        <f t="shared" si="39"/>
        <v>38.558077538852132</v>
      </c>
      <c r="CB55" s="22">
        <f t="shared" si="10"/>
        <v>328.24815038016737</v>
      </c>
      <c r="CC55" s="62">
        <f t="shared" si="11"/>
        <v>584.68342984375067</v>
      </c>
      <c r="CD55" s="62">
        <f ca="1">AVERAGE(OFFSET($CC$3,0,0,'Données projet'!$E$12+1,1))-AVERAGE(OFFSET($H$3,0,0,'Données projet'!$E$12+1,1))</f>
        <v>287.22548699835653</v>
      </c>
      <c r="CE55" s="62">
        <f t="shared" si="40"/>
        <v>276.01618888357268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182.00000000000006</v>
      </c>
      <c r="O56" s="14">
        <f>N56*VLOOKUP('Données projet'!$B$9,Paramètres!$A$1:$I$89,3,0)*VLOOKUP('Données projet'!$B$9,Paramètres!$A$1:$I$89,5,0)</f>
        <v>184.54800000000006</v>
      </c>
      <c r="P56" s="14">
        <f t="shared" si="33"/>
        <v>46.332558240871698</v>
      </c>
      <c r="Q56" s="22">
        <f t="shared" si="53"/>
        <v>402.11697226951833</v>
      </c>
      <c r="R56" s="62">
        <f t="shared" si="0"/>
        <v>659.19235047605162</v>
      </c>
      <c r="S56" s="62">
        <f ca="1">AVERAGE(OFFSET($R$3,0,0,'Données projet'!$E$9+1,1))-AVERAGE(OFFSET($H$3,0,0,'Données projet'!$E$9+1,1))</f>
        <v>446.90706503298787</v>
      </c>
      <c r="T56" s="62">
        <f t="shared" si="34"/>
        <v>275.54513370838777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233.6</v>
      </c>
      <c r="AJ56" s="14">
        <f>AI56*VLOOKUP('Données projet'!$B$10,Paramètres!$A$1:$I$89,3,0)*VLOOKUP('Données projet'!$B$10,Paramètres!$A$1:$I$89,5,0)</f>
        <v>156.69888</v>
      </c>
      <c r="AK56" s="14">
        <f t="shared" si="35"/>
        <v>40.097037560925337</v>
      </c>
      <c r="AL56" s="22">
        <f t="shared" si="4"/>
        <v>342.75288975194491</v>
      </c>
      <c r="AM56" s="62">
        <f t="shared" si="5"/>
        <v>599.82826795847814</v>
      </c>
      <c r="AN56" s="62">
        <f ca="1">AVERAGE(OFFSET($AM$3,0,0,'Données projet'!$E$10+1,1))-AVERAGE(OFFSET($H$3,0,0,'Données projet'!$E$10+1,1))</f>
        <v>369.59928463850827</v>
      </c>
      <c r="AO56" s="62">
        <f t="shared" si="36"/>
        <v>236.19165554863852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10.199999999999999</v>
      </c>
      <c r="BD56" s="13">
        <f>IF('Données projet'!$A$88&gt;35,BD55+BC56-BL55,IF(A56&lt;'Données projet'!$A$88,$BA$205^A56,IF(A56='Données projet'!$A$88,'Données projet'!$B$88,BD55+BC56-BL55)))</f>
        <v>233.6</v>
      </c>
      <c r="BE56" s="14">
        <f>BD56*VLOOKUP('Données projet'!$B$11,Paramètres!$A$1:$I$89,3,0)*VLOOKUP('Données projet'!$B$11,Paramètres!$A$1:$I$89,5,0)</f>
        <v>225.93791999999999</v>
      </c>
      <c r="BF56" s="14">
        <f t="shared" si="37"/>
        <v>55.403456067447962</v>
      </c>
      <c r="BG56" s="22">
        <f t="shared" si="7"/>
        <v>490.00289665080521</v>
      </c>
      <c r="BH56" s="62">
        <f t="shared" si="8"/>
        <v>747.07827485733844</v>
      </c>
      <c r="BI56" s="62">
        <f ca="1">AVERAGE(OFFSET($BH$3,0,0,'Données projet'!$E$11+1,1))-AVERAGE(OFFSET($H$3,0,0,'Données projet'!$E$11+1,1))</f>
        <v>500.25828825677058</v>
      </c>
      <c r="BJ56" s="62">
        <f t="shared" si="38"/>
        <v>313.56299786481338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4.8</v>
      </c>
      <c r="BY56" s="13">
        <f>IF('Données projet'!$A$114&gt;35,BY55+BX56-CG55,IF(A56&lt;'Données projet'!$A$114,$BV$205^A56,IF(A56='Données projet'!$A$114,'Données projet'!$B$114,BY55+BX56-CG55)))</f>
        <v>176.39999999999992</v>
      </c>
      <c r="BZ56" s="14">
        <f>BY56*VLOOKUP('Données projet'!$B$12,Paramètres!$A$1:$I$89,3,0)*VLOOKUP('Données projet'!$B$12,Paramètres!$A$1:$I$89,5,0)</f>
        <v>154.10303999999994</v>
      </c>
      <c r="CA56" s="14">
        <f t="shared" si="39"/>
        <v>39.509546668758176</v>
      </c>
      <c r="CB56" s="22">
        <f t="shared" si="10"/>
        <v>337.20858844808708</v>
      </c>
      <c r="CC56" s="62">
        <f t="shared" si="11"/>
        <v>594.28396665462037</v>
      </c>
      <c r="CD56" s="62">
        <f ca="1">AVERAGE(OFFSET($CC$3,0,0,'Données projet'!$E$12+1,1))-AVERAGE(OFFSET($H$3,0,0,'Données projet'!$E$12+1,1))</f>
        <v>287.22548699835653</v>
      </c>
      <c r="CE56" s="62">
        <f t="shared" si="40"/>
        <v>276.01618888357268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190.00000000000006</v>
      </c>
      <c r="O57" s="14">
        <f>N57*VLOOKUP('Données projet'!$B$9,Paramètres!$A$1:$I$89,3,0)*VLOOKUP('Données projet'!$B$9,Paramètres!$A$1:$I$89,5,0)</f>
        <v>192.66000000000008</v>
      </c>
      <c r="P57" s="14">
        <f t="shared" si="33"/>
        <v>48.127564387788738</v>
      </c>
      <c r="Q57" s="22">
        <f t="shared" si="53"/>
        <v>419.3716746420655</v>
      </c>
      <c r="R57" s="62">
        <f t="shared" si="0"/>
        <v>677.07604730940488</v>
      </c>
      <c r="S57" s="62">
        <f ca="1">AVERAGE(OFFSET($R$3,0,0,'Données projet'!$E$9+1,1))-AVERAGE(OFFSET($H$3,0,0,'Données projet'!$E$9+1,1))</f>
        <v>446.90706503298787</v>
      </c>
      <c r="T57" s="62">
        <f t="shared" si="34"/>
        <v>275.54513370838777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243.79999999999998</v>
      </c>
      <c r="AJ57" s="14">
        <f>AI57*VLOOKUP('Données projet'!$B$10,Paramètres!$A$1:$I$89,3,0)*VLOOKUP('Données projet'!$B$10,Paramètres!$A$1:$I$89,5,0)</f>
        <v>163.54103999999998</v>
      </c>
      <c r="AK57" s="14">
        <f t="shared" si="35"/>
        <v>41.640186480597151</v>
      </c>
      <c r="AL57" s="22">
        <f t="shared" si="4"/>
        <v>357.35730278704</v>
      </c>
      <c r="AM57" s="62">
        <f t="shared" si="5"/>
        <v>615.06167545437938</v>
      </c>
      <c r="AN57" s="62">
        <f ca="1">AVERAGE(OFFSET($AM$3,0,0,'Données projet'!$E$10+1,1))-AVERAGE(OFFSET($H$3,0,0,'Données projet'!$E$10+1,1))</f>
        <v>369.59928463850827</v>
      </c>
      <c r="AO57" s="62">
        <f t="shared" si="36"/>
        <v>236.19165554863852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10.199999999999999</v>
      </c>
      <c r="BD57" s="13">
        <f>IF('Données projet'!$A$88&gt;35,BD56+BC57-BL56,IF(A57&lt;'Données projet'!$A$88,$BA$205^A57,IF(A57='Données projet'!$A$88,'Données projet'!$B$88,BD56+BC57-BL56)))</f>
        <v>243.79999999999998</v>
      </c>
      <c r="BE57" s="14">
        <f>BD57*VLOOKUP('Données projet'!$B$11,Paramètres!$A$1:$I$89,3,0)*VLOOKUP('Données projet'!$B$11,Paramètres!$A$1:$I$89,5,0)</f>
        <v>235.80335999999997</v>
      </c>
      <c r="BF57" s="14">
        <f t="shared" si="37"/>
        <v>57.53567801144218</v>
      </c>
      <c r="BG57" s="22">
        <f t="shared" si="7"/>
        <v>510.89882453659499</v>
      </c>
      <c r="BH57" s="62">
        <f t="shared" si="8"/>
        <v>768.60319720393431</v>
      </c>
      <c r="BI57" s="62">
        <f ca="1">AVERAGE(OFFSET($BH$3,0,0,'Données projet'!$E$11+1,1))-AVERAGE(OFFSET($H$3,0,0,'Données projet'!$E$11+1,1))</f>
        <v>500.25828825677058</v>
      </c>
      <c r="BJ57" s="62">
        <f t="shared" si="38"/>
        <v>313.56299786481338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4.8</v>
      </c>
      <c r="BY57" s="13">
        <f>IF('Données projet'!$A$114&gt;35,BY56+BX57-CG56,IF(A57&lt;'Données projet'!$A$114,$BV$205^A57,IF(A57='Données projet'!$A$114,'Données projet'!$B$114,BY56+BX57-CG56)))</f>
        <v>181.19999999999993</v>
      </c>
      <c r="BZ57" s="14">
        <f>BY57*VLOOKUP('Données projet'!$B$12,Paramètres!$A$1:$I$89,3,0)*VLOOKUP('Données projet'!$B$12,Paramètres!$A$1:$I$89,5,0)</f>
        <v>158.29631999999995</v>
      </c>
      <c r="CA57" s="14">
        <f t="shared" si="39"/>
        <v>40.458006540983739</v>
      </c>
      <c r="CB57" s="22">
        <f t="shared" si="10"/>
        <v>346.16378539221324</v>
      </c>
      <c r="CC57" s="62">
        <f t="shared" si="11"/>
        <v>603.86815805955257</v>
      </c>
      <c r="CD57" s="62">
        <f ca="1">AVERAGE(OFFSET($CC$3,0,0,'Données projet'!$E$12+1,1))-AVERAGE(OFFSET($H$3,0,0,'Données projet'!$E$12+1,1))</f>
        <v>287.22548699835653</v>
      </c>
      <c r="CE57" s="62">
        <f t="shared" si="40"/>
        <v>276.01618888357268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198.00000000000006</v>
      </c>
      <c r="O58" s="14">
        <f>N58*VLOOKUP('Données projet'!$B$9,Paramètres!$A$1:$I$89,3,0)*VLOOKUP('Données projet'!$B$9,Paramètres!$A$1:$I$89,5,0)</f>
        <v>200.77200000000008</v>
      </c>
      <c r="P58" s="14">
        <f t="shared" si="33"/>
        <v>49.913791898945412</v>
      </c>
      <c r="Q58" s="22">
        <f t="shared" si="53"/>
        <v>436.61108755732999</v>
      </c>
      <c r="R58" s="62">
        <f t="shared" si="0"/>
        <v>694.93354303780143</v>
      </c>
      <c r="S58" s="62">
        <f ca="1">AVERAGE(OFFSET($R$3,0,0,'Données projet'!$E$9+1,1))-AVERAGE(OFFSET($H$3,0,0,'Données projet'!$E$9+1,1))</f>
        <v>446.90706503298787</v>
      </c>
      <c r="T58" s="62">
        <f t="shared" si="34"/>
        <v>275.54513370838777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254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253.99999999999997</v>
      </c>
      <c r="AJ58" s="14">
        <f>AI58*VLOOKUP('Données projet'!$B$10,Paramètres!$A$1:$I$89,3,0)*VLOOKUP('Données projet'!$B$10,Paramètres!$A$1:$I$89,5,0)</f>
        <v>170.38319999999999</v>
      </c>
      <c r="AK58" s="14">
        <f t="shared" si="35"/>
        <v>43.175836388122306</v>
      </c>
      <c r="AL58" s="22">
        <f t="shared" si="4"/>
        <v>371.94865504264635</v>
      </c>
      <c r="AM58" s="62">
        <f t="shared" si="5"/>
        <v>630.27111052311773</v>
      </c>
      <c r="AN58" s="62">
        <f ca="1">AVERAGE(OFFSET($AM$3,0,0,'Données projet'!$E$10+1,1))-AVERAGE(OFFSET($H$3,0,0,'Données projet'!$E$10+1,1))</f>
        <v>369.59928463850827</v>
      </c>
      <c r="AO58" s="62">
        <f t="shared" si="36"/>
        <v>236.19165554863852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254</v>
      </c>
      <c r="BB58" s="13">
        <f>VLOOKUP(A58,'Données projet'!$A$87:$I$107,9,0)</f>
        <v>10.199999999999999</v>
      </c>
      <c r="BC58" s="13">
        <f t="array" ref="BC58">INDEX(BB:BB,MIN(IF(ISNUMBER(BB58:BB254),ROW(BB58:BB254),"")))</f>
        <v>10.199999999999999</v>
      </c>
      <c r="BD58" s="13">
        <f>IF('Données projet'!$A$88&gt;35,BD57+BC58-BL57,IF(A58&lt;'Données projet'!$A$88,$BA$205^A58,IF(A58='Données projet'!$A$88,'Données projet'!$B$88,BD57+BC58-BL57)))</f>
        <v>253.99999999999997</v>
      </c>
      <c r="BE58" s="14">
        <f>BD58*VLOOKUP('Données projet'!$B$11,Paramètres!$A$1:$I$89,3,0)*VLOOKUP('Données projet'!$B$11,Paramètres!$A$1:$I$89,5,0)</f>
        <v>245.6688</v>
      </c>
      <c r="BF58" s="14">
        <f t="shared" si="37"/>
        <v>59.657538312400263</v>
      </c>
      <c r="BG58" s="22">
        <f t="shared" si="7"/>
        <v>531.77670589409706</v>
      </c>
      <c r="BH58" s="62">
        <f t="shared" si="8"/>
        <v>790.09916137456844</v>
      </c>
      <c r="BI58" s="62">
        <f ca="1">AVERAGE(OFFSET($BH$3,0,0,'Données projet'!$E$11+1,1))-AVERAGE(OFFSET($H$3,0,0,'Données projet'!$E$11+1,1))</f>
        <v>500.25828825677058</v>
      </c>
      <c r="BJ58" s="62">
        <f t="shared" si="38"/>
        <v>313.56299786481338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28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186</v>
      </c>
      <c r="BW58" s="13">
        <f>VLOOKUP(A58,'Données projet'!$A$113:$I$133,9,0)</f>
        <v>4.8</v>
      </c>
      <c r="BX58" s="13">
        <f t="array" ref="BX58">INDEX(BW:BW,MIN(IF(ISNUMBER(BW58:BW254),ROW(BW58:BW254),"")))</f>
        <v>4.8</v>
      </c>
      <c r="BY58" s="13">
        <f>IF('Données projet'!$A$114&gt;35,BY57+BX58-CG57,IF(A58&lt;'Données projet'!$A$114,$BV$205^A58,IF(A58='Données projet'!$A$114,'Données projet'!$B$114,BY57+BX58-CG57)))</f>
        <v>185.99999999999994</v>
      </c>
      <c r="BZ58" s="14">
        <f>BY58*VLOOKUP('Données projet'!$B$12,Paramètres!$A$1:$I$89,3,0)*VLOOKUP('Données projet'!$B$12,Paramètres!$A$1:$I$89,5,0)</f>
        <v>162.48959999999997</v>
      </c>
      <c r="CA58" s="14">
        <f t="shared" si="39"/>
        <v>41.403546033820696</v>
      </c>
      <c r="CB58" s="22">
        <f t="shared" si="10"/>
        <v>355.11389600890431</v>
      </c>
      <c r="CC58" s="62">
        <f t="shared" si="11"/>
        <v>613.43635148937574</v>
      </c>
      <c r="CD58" s="62">
        <f ca="1">AVERAGE(OFFSET($CC$3,0,0,'Données projet'!$E$12+1,1))-AVERAGE(OFFSET($H$3,0,0,'Données projet'!$E$12+1,1))</f>
        <v>287.22548699835653</v>
      </c>
      <c r="CE58" s="62">
        <f t="shared" si="40"/>
        <v>276.01618888357268</v>
      </c>
      <c r="CF58" s="16">
        <f>IF(ISNA(VLOOKUP(A58,'Données projet'!$A$113:$I$133,3,0)),0,VLOOKUP(A58,'Données projet'!$A$113:$I$133,3,0))</f>
        <v>9</v>
      </c>
      <c r="CG58" s="16">
        <f>IF(ISNA(VLOOKUP(A58,'Données projet'!$A$113:$I$133,4,0)),0,VLOOKUP(A58,'Données projet'!$A$113:$I$133,4,0))</f>
        <v>11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7.4</v>
      </c>
      <c r="N59" s="14">
        <f>IF('Données projet'!$A$36&gt;35,N58+M59-V58,IF(A59&lt;'Données projet'!$A$36,$K$205^A59,IF(A59='Données projet'!$A$36,'Données projet'!$B$36,N58+M59-V58)))</f>
        <v>184.40000000000006</v>
      </c>
      <c r="O59" s="14">
        <f>N59*VLOOKUP('Données projet'!$B$9,Paramètres!$A$1:$I$89,3,0)*VLOOKUP('Données projet'!$B$9,Paramètres!$A$1:$I$89,5,0)</f>
        <v>186.98160000000007</v>
      </c>
      <c r="P59" s="14">
        <f t="shared" si="33"/>
        <v>46.872006790472248</v>
      </c>
      <c r="Q59" s="22">
        <f t="shared" si="53"/>
        <v>407.29503182673926</v>
      </c>
      <c r="R59" s="62">
        <f t="shared" si="0"/>
        <v>666.22484776536101</v>
      </c>
      <c r="S59" s="62">
        <f ca="1">AVERAGE(OFFSET($R$3,0,0,'Données projet'!$E$9+1,1))-AVERAGE(OFFSET($H$3,0,0,'Données projet'!$E$9+1,1))</f>
        <v>446.90706503298787</v>
      </c>
      <c r="T59" s="62">
        <f t="shared" si="34"/>
        <v>275.54513370838777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157.90631999999999</v>
      </c>
      <c r="AK59" s="14">
        <f t="shared" si="35"/>
        <v>40.369918631841159</v>
      </c>
      <c r="AL59" s="22">
        <f t="shared" si="4"/>
        <v>345.33111561712332</v>
      </c>
      <c r="AM59" s="62">
        <f t="shared" si="5"/>
        <v>604.26093155574506</v>
      </c>
      <c r="AN59" s="62">
        <f ca="1">AVERAGE(OFFSET($AM$3,0,0,'Données projet'!$E$10+1,1))-AVERAGE(OFFSET($H$3,0,0,'Données projet'!$E$10+1,1))</f>
        <v>369.59928463850827</v>
      </c>
      <c r="AO59" s="62">
        <f t="shared" si="36"/>
        <v>236.19165554863852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9.4</v>
      </c>
      <c r="BD59" s="13">
        <f>IF('Données projet'!$A$88&gt;35,BD58+BC59-BL58,IF(A59&lt;'Données projet'!$A$88,$BA$205^A59,IF(A59='Données projet'!$A$88,'Données projet'!$B$88,BD58+BC59-BL58)))</f>
        <v>235.39999999999998</v>
      </c>
      <c r="BE59" s="14">
        <f>BD59*VLOOKUP('Données projet'!$B$11,Paramètres!$A$1:$I$89,3,0)*VLOOKUP('Données projet'!$B$11,Paramètres!$A$1:$I$89,5,0)</f>
        <v>227.67887999999996</v>
      </c>
      <c r="BF59" s="14">
        <f t="shared" si="37"/>
        <v>55.780505229774469</v>
      </c>
      <c r="BG59" s="22">
        <f t="shared" si="7"/>
        <v>493.69176260852379</v>
      </c>
      <c r="BH59" s="62">
        <f t="shared" si="8"/>
        <v>752.62157854714553</v>
      </c>
      <c r="BI59" s="62">
        <f ca="1">AVERAGE(OFFSET($BH$3,0,0,'Données projet'!$E$11+1,1))-AVERAGE(OFFSET($H$3,0,0,'Données projet'!$E$11+1,1))</f>
        <v>500.25828825677058</v>
      </c>
      <c r="BJ59" s="62">
        <f t="shared" si="38"/>
        <v>313.56299786481338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4</v>
      </c>
      <c r="BY59" s="13">
        <f>IF('Données projet'!$A$114&gt;35,BY58+BX59-CG58,IF(A59&lt;'Données projet'!$A$114,$BV$205^A59,IF(A59='Données projet'!$A$114,'Données projet'!$B$114,BY58+BX59-CG58)))</f>
        <v>178.99999999999994</v>
      </c>
      <c r="BZ59" s="14">
        <f>BY59*VLOOKUP('Données projet'!$B$12,Paramètres!$A$1:$I$89,3,0)*VLOOKUP('Données projet'!$B$12,Paramètres!$A$1:$I$89,5,0)</f>
        <v>156.37439999999998</v>
      </c>
      <c r="CA59" s="14">
        <f t="shared" si="39"/>
        <v>40.02366352429317</v>
      </c>
      <c r="CB59" s="22">
        <f t="shared" si="10"/>
        <v>342.05996063814388</v>
      </c>
      <c r="CC59" s="62">
        <f t="shared" si="11"/>
        <v>600.98977657676562</v>
      </c>
      <c r="CD59" s="62">
        <f ca="1">AVERAGE(OFFSET($CC$3,0,0,'Données projet'!$E$12+1,1))-AVERAGE(OFFSET($H$3,0,0,'Données projet'!$E$12+1,1))</f>
        <v>287.22548699835653</v>
      </c>
      <c r="CE59" s="62">
        <f t="shared" si="40"/>
        <v>276.01618888357268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7.4</v>
      </c>
      <c r="N60" s="14">
        <f>IF('Données projet'!$A$36&gt;35,N59+M60-V59,IF(A60&lt;'Données projet'!$A$36,$K$205^A60,IF(A60='Données projet'!$A$36,'Données projet'!$B$36,N59+M60-V59)))</f>
        <v>191.80000000000007</v>
      </c>
      <c r="O60" s="14">
        <f>N60*VLOOKUP('Données projet'!$B$9,Paramètres!$A$1:$I$89,3,0)*VLOOKUP('Données projet'!$B$9,Paramètres!$A$1:$I$89,5,0)</f>
        <v>194.48520000000008</v>
      </c>
      <c r="P60" s="14">
        <f t="shared" si="33"/>
        <v>48.530216343846071</v>
      </c>
      <c r="Q60" s="22">
        <f t="shared" si="53"/>
        <v>423.25185013219863</v>
      </c>
      <c r="R60" s="62">
        <f t="shared" si="0"/>
        <v>682.77849018287634</v>
      </c>
      <c r="S60" s="62">
        <f ca="1">AVERAGE(OFFSET($R$3,0,0,'Données projet'!$E$9+1,1))-AVERAGE(OFFSET($H$3,0,0,'Données projet'!$E$9+1,1))</f>
        <v>446.90706503298787</v>
      </c>
      <c r="T60" s="62">
        <f t="shared" si="34"/>
        <v>275.54513370838777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164.21184</v>
      </c>
      <c r="AK60" s="14">
        <f t="shared" si="35"/>
        <v>41.79106629541738</v>
      </c>
      <c r="AL60" s="22">
        <f t="shared" si="4"/>
        <v>358.78839513118527</v>
      </c>
      <c r="AM60" s="62">
        <f t="shared" si="5"/>
        <v>618.31503518186298</v>
      </c>
      <c r="AN60" s="62">
        <f ca="1">AVERAGE(OFFSET($AM$3,0,0,'Données projet'!$E$10+1,1))-AVERAGE(OFFSET($H$3,0,0,'Données projet'!$E$10+1,1))</f>
        <v>369.59928463850827</v>
      </c>
      <c r="AO60" s="62">
        <f t="shared" si="36"/>
        <v>236.19165554863852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9.4</v>
      </c>
      <c r="BD60" s="13">
        <f>IF('Données projet'!$A$88&gt;35,BD59+BC60-BL59,IF(A60&lt;'Données projet'!$A$88,$BA$205^A60,IF(A60='Données projet'!$A$88,'Données projet'!$B$88,BD59+BC60-BL59)))</f>
        <v>244.79999999999998</v>
      </c>
      <c r="BE60" s="14">
        <f>BD60*VLOOKUP('Données projet'!$B$11,Paramètres!$A$1:$I$89,3,0)*VLOOKUP('Données projet'!$B$11,Paramètres!$A$1:$I$89,5,0)</f>
        <v>236.77055999999999</v>
      </c>
      <c r="BF60" s="14">
        <f t="shared" si="37"/>
        <v>57.744153841586929</v>
      </c>
      <c r="BG60" s="22">
        <f t="shared" si="7"/>
        <v>512.94645994076382</v>
      </c>
      <c r="BH60" s="62">
        <f t="shared" si="8"/>
        <v>772.47309999144159</v>
      </c>
      <c r="BI60" s="62">
        <f ca="1">AVERAGE(OFFSET($BH$3,0,0,'Données projet'!$E$11+1,1))-AVERAGE(OFFSET($H$3,0,0,'Données projet'!$E$11+1,1))</f>
        <v>500.25828825677058</v>
      </c>
      <c r="BJ60" s="62">
        <f t="shared" si="38"/>
        <v>313.56299786481338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4</v>
      </c>
      <c r="BY60" s="13">
        <f>IF('Données projet'!$A$114&gt;35,BY59+BX60-CG59,IF(A60&lt;'Données projet'!$A$114,$BV$205^A60,IF(A60='Données projet'!$A$114,'Données projet'!$B$114,BY59+BX60-CG59)))</f>
        <v>182.99999999999994</v>
      </c>
      <c r="BZ60" s="14">
        <f>BY60*VLOOKUP('Données projet'!$B$12,Paramètres!$A$1:$I$89,3,0)*VLOOKUP('Données projet'!$B$12,Paramètres!$A$1:$I$89,5,0)</f>
        <v>159.86879999999996</v>
      </c>
      <c r="CA60" s="14">
        <f t="shared" si="39"/>
        <v>40.812921467768035</v>
      </c>
      <c r="CB60" s="22">
        <f t="shared" si="10"/>
        <v>349.52066488969587</v>
      </c>
      <c r="CC60" s="62">
        <f t="shared" si="11"/>
        <v>609.04730494037358</v>
      </c>
      <c r="CD60" s="62">
        <f ca="1">AVERAGE(OFFSET($CC$3,0,0,'Données projet'!$E$12+1,1))-AVERAGE(OFFSET($H$3,0,0,'Données projet'!$E$12+1,1))</f>
        <v>287.22548699835653</v>
      </c>
      <c r="CE60" s="62">
        <f t="shared" si="40"/>
        <v>276.01618888357268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7.4</v>
      </c>
      <c r="N61" s="14">
        <f>IF('Données projet'!$A$36&gt;35,N60+M61-V60,IF(A61&lt;'Données projet'!$A$36,$K$205^A61,IF(A61='Données projet'!$A$36,'Données projet'!$B$36,N60+M61-V60)))</f>
        <v>199.20000000000007</v>
      </c>
      <c r="O61" s="14">
        <f>N61*VLOOKUP('Données projet'!$B$9,Paramètres!$A$1:$I$89,3,0)*VLOOKUP('Données projet'!$B$9,Paramètres!$A$1:$I$89,5,0)</f>
        <v>201.98880000000008</v>
      </c>
      <c r="P61" s="14">
        <f t="shared" si="33"/>
        <v>50.18099374666096</v>
      </c>
      <c r="Q61" s="22">
        <f t="shared" si="53"/>
        <v>439.19572410876793</v>
      </c>
      <c r="R61" s="62">
        <f t="shared" si="0"/>
        <v>699.3088347074563</v>
      </c>
      <c r="S61" s="62">
        <f ca="1">AVERAGE(OFFSET($R$3,0,0,'Données projet'!$E$9+1,1))-AVERAGE(OFFSET($H$3,0,0,'Données projet'!$E$9+1,1))</f>
        <v>446.90706503298787</v>
      </c>
      <c r="T61" s="62">
        <f t="shared" si="34"/>
        <v>275.54513370838777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170.51736</v>
      </c>
      <c r="AK61" s="14">
        <f t="shared" si="35"/>
        <v>43.205874515087281</v>
      </c>
      <c r="AL61" s="22">
        <f t="shared" si="4"/>
        <v>372.23463344711035</v>
      </c>
      <c r="AM61" s="62">
        <f t="shared" si="5"/>
        <v>632.34774404579878</v>
      </c>
      <c r="AN61" s="62">
        <f ca="1">AVERAGE(OFFSET($AM$3,0,0,'Données projet'!$E$10+1,1))-AVERAGE(OFFSET($H$3,0,0,'Données projet'!$E$10+1,1))</f>
        <v>369.59928463850827</v>
      </c>
      <c r="AO61" s="62">
        <f t="shared" si="36"/>
        <v>236.19165554863852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9.4</v>
      </c>
      <c r="BD61" s="13">
        <f>IF('Données projet'!$A$88&gt;35,BD60+BC61-BL60,IF(A61&lt;'Données projet'!$A$88,$BA$205^A61,IF(A61='Données projet'!$A$88,'Données projet'!$B$88,BD60+BC61-BL60)))</f>
        <v>254.2</v>
      </c>
      <c r="BE61" s="14">
        <f>BD61*VLOOKUP('Données projet'!$B$11,Paramètres!$A$1:$I$89,3,0)*VLOOKUP('Données projet'!$B$11,Paramètres!$A$1:$I$89,5,0)</f>
        <v>245.86223999999999</v>
      </c>
      <c r="BF61" s="14">
        <f t="shared" si="37"/>
        <v>59.699043025687963</v>
      </c>
      <c r="BG61" s="22">
        <f t="shared" si="7"/>
        <v>532.18590126973982</v>
      </c>
      <c r="BH61" s="62">
        <f t="shared" si="8"/>
        <v>792.29901186842824</v>
      </c>
      <c r="BI61" s="62">
        <f ca="1">AVERAGE(OFFSET($BH$3,0,0,'Données projet'!$E$11+1,1))-AVERAGE(OFFSET($H$3,0,0,'Données projet'!$E$11+1,1))</f>
        <v>500.25828825677058</v>
      </c>
      <c r="BJ61" s="62">
        <f t="shared" si="38"/>
        <v>313.56299786481338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4</v>
      </c>
      <c r="BY61" s="13">
        <f>IF('Données projet'!$A$114&gt;35,BY60+BX61-CG60,IF(A61&lt;'Données projet'!$A$114,$BV$205^A61,IF(A61='Données projet'!$A$114,'Données projet'!$B$114,BY60+BX61-CG60)))</f>
        <v>186.99999999999994</v>
      </c>
      <c r="BZ61" s="14">
        <f>BY61*VLOOKUP('Données projet'!$B$12,Paramètres!$A$1:$I$89,3,0)*VLOOKUP('Données projet'!$B$12,Paramètres!$A$1:$I$89,5,0)</f>
        <v>163.36319999999998</v>
      </c>
      <c r="CA61" s="14">
        <f t="shared" si="39"/>
        <v>41.600173715581626</v>
      </c>
      <c r="CB61" s="22">
        <f t="shared" si="10"/>
        <v>356.97787588797127</v>
      </c>
      <c r="CC61" s="62">
        <f t="shared" si="11"/>
        <v>617.09098648665963</v>
      </c>
      <c r="CD61" s="62">
        <f ca="1">AVERAGE(OFFSET($CC$3,0,0,'Données projet'!$E$12+1,1))-AVERAGE(OFFSET($H$3,0,0,'Données projet'!$E$12+1,1))</f>
        <v>287.22548699835653</v>
      </c>
      <c r="CE61" s="62">
        <f t="shared" si="40"/>
        <v>276.01618888357268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7.4</v>
      </c>
      <c r="N62" s="14">
        <f>IF('Données projet'!$A$36&gt;35,N61+M62-V61,IF(A62&lt;'Données projet'!$A$36,$K$205^A62,IF(A62='Données projet'!$A$36,'Données projet'!$B$36,N61+M62-V61)))</f>
        <v>206.60000000000008</v>
      </c>
      <c r="O62" s="14">
        <f>N62*VLOOKUP('Données projet'!$B$9,Paramètres!$A$1:$I$89,3,0)*VLOOKUP('Données projet'!$B$9,Paramètres!$A$1:$I$89,5,0)</f>
        <v>209.49240000000009</v>
      </c>
      <c r="P62" s="14">
        <f t="shared" si="33"/>
        <v>51.824646708770558</v>
      </c>
      <c r="Q62" s="22">
        <f t="shared" si="53"/>
        <v>455.12718968444216</v>
      </c>
      <c r="R62" s="62">
        <f t="shared" si="0"/>
        <v>715.81659687828494</v>
      </c>
      <c r="S62" s="62">
        <f ca="1">AVERAGE(OFFSET($R$3,0,0,'Données projet'!$E$9+1,1))-AVERAGE(OFFSET($H$3,0,0,'Données projet'!$E$9+1,1))</f>
        <v>446.90706503298787</v>
      </c>
      <c r="T62" s="62">
        <f t="shared" si="34"/>
        <v>275.54513370838777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176.82287999999997</v>
      </c>
      <c r="AK62" s="14">
        <f t="shared" si="35"/>
        <v>44.614604561369582</v>
      </c>
      <c r="AL62" s="22">
        <f t="shared" si="4"/>
        <v>385.67028561105195</v>
      </c>
      <c r="AM62" s="62">
        <f t="shared" si="5"/>
        <v>646.35969280489473</v>
      </c>
      <c r="AN62" s="62">
        <f ca="1">AVERAGE(OFFSET($AM$3,0,0,'Données projet'!$E$10+1,1))-AVERAGE(OFFSET($H$3,0,0,'Données projet'!$E$10+1,1))</f>
        <v>369.59928463850827</v>
      </c>
      <c r="AO62" s="62">
        <f t="shared" si="36"/>
        <v>236.19165554863852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9.4</v>
      </c>
      <c r="BD62" s="13">
        <f>IF('Données projet'!$A$88&gt;35,BD61+BC62-BL61,IF(A62&lt;'Données projet'!$A$88,$BA$205^A62,IF(A62='Données projet'!$A$88,'Données projet'!$B$88,BD61+BC62-BL61)))</f>
        <v>263.59999999999997</v>
      </c>
      <c r="BE62" s="14">
        <f>BD62*VLOOKUP('Données projet'!$B$11,Paramètres!$A$1:$I$89,3,0)*VLOOKUP('Données projet'!$B$11,Paramètres!$A$1:$I$89,5,0)</f>
        <v>254.95391999999998</v>
      </c>
      <c r="BF62" s="14">
        <f t="shared" si="37"/>
        <v>61.645533788540583</v>
      </c>
      <c r="BG62" s="22">
        <f t="shared" si="7"/>
        <v>551.41071534837477</v>
      </c>
      <c r="BH62" s="62">
        <f t="shared" si="8"/>
        <v>812.1001225422176</v>
      </c>
      <c r="BI62" s="62">
        <f ca="1">AVERAGE(OFFSET($BH$3,0,0,'Données projet'!$E$11+1,1))-AVERAGE(OFFSET($H$3,0,0,'Données projet'!$E$11+1,1))</f>
        <v>500.25828825677058</v>
      </c>
      <c r="BJ62" s="62">
        <f t="shared" si="38"/>
        <v>313.56299786481338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4</v>
      </c>
      <c r="BY62" s="13">
        <f>IF('Données projet'!$A$114&gt;35,BY61+BX62-CG61,IF(A62&lt;'Données projet'!$A$114,$BV$205^A62,IF(A62='Données projet'!$A$114,'Données projet'!$B$114,BY61+BX62-CG61)))</f>
        <v>190.99999999999994</v>
      </c>
      <c r="BZ62" s="14">
        <f>BY62*VLOOKUP('Données projet'!$B$12,Paramètres!$A$1:$I$89,3,0)*VLOOKUP('Données projet'!$B$12,Paramètres!$A$1:$I$89,5,0)</f>
        <v>166.85759999999996</v>
      </c>
      <c r="CA62" s="14">
        <f t="shared" si="39"/>
        <v>42.385468111966098</v>
      </c>
      <c r="CB62" s="22">
        <f t="shared" si="10"/>
        <v>364.43167696167421</v>
      </c>
      <c r="CC62" s="62">
        <f t="shared" si="11"/>
        <v>625.121084155517</v>
      </c>
      <c r="CD62" s="62">
        <f ca="1">AVERAGE(OFFSET($CC$3,0,0,'Données projet'!$E$12+1,1))-AVERAGE(OFFSET($H$3,0,0,'Données projet'!$E$12+1,1))</f>
        <v>287.22548699835653</v>
      </c>
      <c r="CE62" s="62">
        <f t="shared" si="40"/>
        <v>276.01618888357268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7.4</v>
      </c>
      <c r="M63" s="13">
        <f t="array" ref="M63">INDEX(L:L,MIN(IF(ISNUMBER(L63:L259),ROW(L63:L259),"")))</f>
        <v>7.4</v>
      </c>
      <c r="N63" s="14">
        <f>IF('Données projet'!$A$36&gt;35,N62+M63-V62,IF(A63&lt;'Données projet'!$A$36,$K$205^A63,IF(A63='Données projet'!$A$36,'Données projet'!$B$36,N62+M63-V62)))</f>
        <v>214.00000000000009</v>
      </c>
      <c r="O63" s="14">
        <f>N63*VLOOKUP('Données projet'!$B$9,Paramètres!$A$1:$I$89,3,0)*VLOOKUP('Données projet'!$B$9,Paramètres!$A$1:$I$89,5,0)</f>
        <v>216.99600000000009</v>
      </c>
      <c r="P63" s="14">
        <f t="shared" si="33"/>
        <v>53.461459647386917</v>
      </c>
      <c r="Q63" s="22">
        <f t="shared" si="53"/>
        <v>471.04674221919907</v>
      </c>
      <c r="R63" s="62">
        <f t="shared" si="0"/>
        <v>732.30244855067656</v>
      </c>
      <c r="S63" s="62">
        <f ca="1">AVERAGE(OFFSET($R$3,0,0,'Données projet'!$E$9+1,1))-AVERAGE(OFFSET($H$3,0,0,'Données projet'!$E$9+1,1))</f>
        <v>446.90706503298787</v>
      </c>
      <c r="T63" s="62">
        <f t="shared" si="34"/>
        <v>275.54513370838777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183.12839999999997</v>
      </c>
      <c r="AK63" s="14">
        <f t="shared" si="35"/>
        <v>46.017498014577676</v>
      </c>
      <c r="AL63" s="22">
        <f t="shared" si="4"/>
        <v>399.09577237538934</v>
      </c>
      <c r="AM63" s="62">
        <f t="shared" si="5"/>
        <v>660.35147870686683</v>
      </c>
      <c r="AN63" s="62">
        <f ca="1">AVERAGE(OFFSET($AM$3,0,0,'Données projet'!$E$10+1,1))-AVERAGE(OFFSET($H$3,0,0,'Données projet'!$E$10+1,1))</f>
        <v>369.59928463850827</v>
      </c>
      <c r="AO63" s="62">
        <f t="shared" si="36"/>
        <v>236.19165554863852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28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273</v>
      </c>
      <c r="BB63" s="13">
        <f>VLOOKUP(A63,'Données projet'!$A$87:$I$107,9,0)</f>
        <v>9.4</v>
      </c>
      <c r="BC63" s="13">
        <f t="array" ref="BC63">INDEX(BB:BB,MIN(IF(ISNUMBER(BB63:BB259),ROW(BB63:BB259),"")))</f>
        <v>9.4</v>
      </c>
      <c r="BD63" s="13">
        <f>IF('Données projet'!$A$88&gt;35,BD62+BC63-BL62,IF(A63&lt;'Données projet'!$A$88,$BA$205^A63,IF(A63='Données projet'!$A$88,'Données projet'!$B$88,BD62+BC63-BL62)))</f>
        <v>272.99999999999994</v>
      </c>
      <c r="BE63" s="14">
        <f>BD63*VLOOKUP('Données projet'!$B$11,Paramètres!$A$1:$I$89,3,0)*VLOOKUP('Données projet'!$B$11,Paramètres!$A$1:$I$89,5,0)</f>
        <v>264.04559999999992</v>
      </c>
      <c r="BF63" s="14">
        <f t="shared" si="37"/>
        <v>63.58395992997368</v>
      </c>
      <c r="BG63" s="22">
        <f t="shared" si="7"/>
        <v>570.62148354470401</v>
      </c>
      <c r="BH63" s="62">
        <f t="shared" si="8"/>
        <v>831.87718987618155</v>
      </c>
      <c r="BI63" s="62">
        <f ca="1">AVERAGE(OFFSET($BH$3,0,0,'Données projet'!$E$11+1,1))-AVERAGE(OFFSET($H$3,0,0,'Données projet'!$E$11+1,1))</f>
        <v>500.25828825677058</v>
      </c>
      <c r="BJ63" s="62">
        <f t="shared" si="38"/>
        <v>313.56299786481338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28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195</v>
      </c>
      <c r="BW63" s="13">
        <f>VLOOKUP(A63,'Données projet'!$A$113:$I$133,9,0)</f>
        <v>4</v>
      </c>
      <c r="BX63" s="13">
        <f t="array" ref="BX63">INDEX(BW:BW,MIN(IF(ISNUMBER(BW63:BW259),ROW(BW63:BW259),"")))</f>
        <v>4</v>
      </c>
      <c r="BY63" s="13">
        <f>IF('Données projet'!$A$114&gt;35,BY62+BX63-CG62,IF(A63&lt;'Données projet'!$A$114,$BV$205^A63,IF(A63='Données projet'!$A$114,'Données projet'!$B$114,BY62+BX63-CG62)))</f>
        <v>194.99999999999994</v>
      </c>
      <c r="BZ63" s="14">
        <f>BY63*VLOOKUP('Données projet'!$B$12,Paramètres!$A$1:$I$89,3,0)*VLOOKUP('Données projet'!$B$12,Paramètres!$A$1:$I$89,5,0)</f>
        <v>170.35199999999998</v>
      </c>
      <c r="CA63" s="14">
        <f t="shared" si="39"/>
        <v>43.168850382694451</v>
      </c>
      <c r="CB63" s="22">
        <f t="shared" si="10"/>
        <v>371.88214774985937</v>
      </c>
      <c r="CC63" s="62">
        <f t="shared" si="11"/>
        <v>633.13785408133685</v>
      </c>
      <c r="CD63" s="62">
        <f ca="1">AVERAGE(OFFSET($CC$3,0,0,'Données projet'!$E$12+1,1))-AVERAGE(OFFSET($H$3,0,0,'Données projet'!$E$12+1,1))</f>
        <v>287.22548699835653</v>
      </c>
      <c r="CE63" s="62">
        <f t="shared" si="40"/>
        <v>276.01618888357268</v>
      </c>
      <c r="CF63" s="16">
        <f>IF(ISNA(VLOOKUP(A63,'Données projet'!$A$113:$I$133,3,0)),0,VLOOKUP(A63,'Données projet'!$A$113:$I$133,3,0))</f>
        <v>10</v>
      </c>
      <c r="CG63" s="16">
        <f>IF(ISNA(VLOOKUP(A63,'Données projet'!$A$113:$I$133,4,0)),0,VLOOKUP(A63,'Données projet'!$A$113:$I$133,4,0))</f>
        <v>9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200.20000000000007</v>
      </c>
      <c r="O64" s="14">
        <f>N64*VLOOKUP('Données projet'!$B$9,Paramètres!$A$1:$I$89,3,0)*VLOOKUP('Données projet'!$B$9,Paramètres!$A$1:$I$89,5,0)</f>
        <v>203.00280000000009</v>
      </c>
      <c r="P64" s="14">
        <f t="shared" si="33"/>
        <v>50.403518824343074</v>
      </c>
      <c r="Q64" s="22">
        <f t="shared" si="53"/>
        <v>441.34933861906433</v>
      </c>
      <c r="R64" s="62">
        <f t="shared" si="0"/>
        <v>703.16152006419361</v>
      </c>
      <c r="S64" s="62">
        <f ca="1">AVERAGE(OFFSET($R$3,0,0,'Données projet'!$E$9+1,1))-AVERAGE(OFFSET($H$3,0,0,'Données projet'!$E$9+1,1))</f>
        <v>446.90706503298787</v>
      </c>
      <c r="T64" s="62">
        <f t="shared" si="34"/>
        <v>275.54513370838777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253.79999999999995</v>
      </c>
      <c r="AJ64" s="14">
        <f>AI64*VLOOKUP('Données projet'!$B$10,Paramètres!$A$1:$I$89,3,0)*VLOOKUP('Données projet'!$B$10,Paramètres!$A$1:$I$89,5,0)</f>
        <v>170.24903999999995</v>
      </c>
      <c r="AK64" s="14">
        <f t="shared" si="35"/>
        <v>43.145795507930075</v>
      </c>
      <c r="AL64" s="22">
        <f t="shared" si="4"/>
        <v>371.66267184297811</v>
      </c>
      <c r="AM64" s="62">
        <f t="shared" si="5"/>
        <v>633.4748532881074</v>
      </c>
      <c r="AN64" s="62">
        <f ca="1">AVERAGE(OFFSET($AM$3,0,0,'Données projet'!$E$10+1,1))-AVERAGE(OFFSET($H$3,0,0,'Données projet'!$E$10+1,1))</f>
        <v>369.59928463850827</v>
      </c>
      <c r="AO64" s="62">
        <f t="shared" si="36"/>
        <v>236.19165554863852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8.8000000000000007</v>
      </c>
      <c r="BD64" s="13">
        <f>IF('Données projet'!$A$88&gt;35,BD63+BC64-BL63,IF(A64&lt;'Données projet'!$A$88,$BA$205^A64,IF(A64='Données projet'!$A$88,'Données projet'!$B$88,BD63+BC64-BL63)))</f>
        <v>253.79999999999995</v>
      </c>
      <c r="BE64" s="14">
        <f>BD64*VLOOKUP('Données projet'!$B$11,Paramètres!$A$1:$I$89,3,0)*VLOOKUP('Données projet'!$B$11,Paramètres!$A$1:$I$89,5,0)</f>
        <v>245.47535999999997</v>
      </c>
      <c r="BF64" s="14">
        <f t="shared" si="37"/>
        <v>59.616029794883758</v>
      </c>
      <c r="BG64" s="22">
        <f t="shared" si="7"/>
        <v>531.36750389275585</v>
      </c>
      <c r="BH64" s="62">
        <f t="shared" si="8"/>
        <v>793.17968533788519</v>
      </c>
      <c r="BI64" s="62">
        <f ca="1">AVERAGE(OFFSET($BH$3,0,0,'Données projet'!$E$11+1,1))-AVERAGE(OFFSET($H$3,0,0,'Données projet'!$E$11+1,1))</f>
        <v>500.25828825677058</v>
      </c>
      <c r="BJ64" s="62">
        <f t="shared" si="38"/>
        <v>313.56299786481338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3.4</v>
      </c>
      <c r="BY64" s="13">
        <f>IF('Données projet'!$A$114&gt;35,BY63+BX64-CG63,IF(A64&lt;'Données projet'!$A$114,$BV$205^A64,IF(A64='Données projet'!$A$114,'Données projet'!$B$114,BY63+BX64-CG63)))</f>
        <v>189.39999999999995</v>
      </c>
      <c r="BZ64" s="14">
        <f>BY64*VLOOKUP('Données projet'!$B$12,Paramètres!$A$1:$I$89,3,0)*VLOOKUP('Données projet'!$B$12,Paramètres!$A$1:$I$89,5,0)</f>
        <v>165.45983999999999</v>
      </c>
      <c r="CA64" s="14">
        <f t="shared" si="39"/>
        <v>42.071582323311688</v>
      </c>
      <c r="CB64" s="22">
        <f t="shared" si="10"/>
        <v>361.45056054643447</v>
      </c>
      <c r="CC64" s="62">
        <f t="shared" si="11"/>
        <v>623.26274199156387</v>
      </c>
      <c r="CD64" s="62">
        <f ca="1">AVERAGE(OFFSET($CC$3,0,0,'Données projet'!$E$12+1,1))-AVERAGE(OFFSET($H$3,0,0,'Données projet'!$E$12+1,1))</f>
        <v>287.22548699835653</v>
      </c>
      <c r="CE64" s="62">
        <f t="shared" si="40"/>
        <v>276.01618888357268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207.40000000000006</v>
      </c>
      <c r="O65" s="14">
        <f>N65*VLOOKUP('Données projet'!$B$9,Paramètres!$A$1:$I$89,3,0)*VLOOKUP('Données projet'!$B$9,Paramètres!$A$1:$I$89,5,0)</f>
        <v>210.3036000000001</v>
      </c>
      <c r="P65" s="14">
        <f t="shared" si="33"/>
        <v>52.001924357524501</v>
      </c>
      <c r="Q65" s="22">
        <f t="shared" si="53"/>
        <v>456.84878825602203</v>
      </c>
      <c r="R65" s="62">
        <f t="shared" si="0"/>
        <v>719.2077912156733</v>
      </c>
      <c r="S65" s="62">
        <f ca="1">AVERAGE(OFFSET($R$3,0,0,'Données projet'!$E$9+1,1))-AVERAGE(OFFSET($H$3,0,0,'Données projet'!$E$9+1,1))</f>
        <v>446.90706503298787</v>
      </c>
      <c r="T65" s="62">
        <f t="shared" si="34"/>
        <v>275.54513370838777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262.59999999999997</v>
      </c>
      <c r="AJ65" s="14">
        <f>AI65*VLOOKUP('Données projet'!$B$10,Paramètres!$A$1:$I$89,3,0)*VLOOKUP('Données projet'!$B$10,Paramètres!$A$1:$I$89,5,0)</f>
        <v>176.15207999999998</v>
      </c>
      <c r="AK65" s="14">
        <f t="shared" si="35"/>
        <v>44.465021174680203</v>
      </c>
      <c r="AL65" s="22">
        <f t="shared" si="4"/>
        <v>384.24145121256805</v>
      </c>
      <c r="AM65" s="62">
        <f t="shared" si="5"/>
        <v>646.60045417221932</v>
      </c>
      <c r="AN65" s="62">
        <f ca="1">AVERAGE(OFFSET($AM$3,0,0,'Données projet'!$E$10+1,1))-AVERAGE(OFFSET($H$3,0,0,'Données projet'!$E$10+1,1))</f>
        <v>369.59928463850827</v>
      </c>
      <c r="AO65" s="62">
        <f t="shared" si="36"/>
        <v>236.19165554863852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8.8000000000000007</v>
      </c>
      <c r="BD65" s="13">
        <f>IF('Données projet'!$A$88&gt;35,BD64+BC65-BL64,IF(A65&lt;'Données projet'!$A$88,$BA$205^A65,IF(A65='Données projet'!$A$88,'Données projet'!$B$88,BD64+BC65-BL64)))</f>
        <v>262.59999999999997</v>
      </c>
      <c r="BE65" s="14">
        <f>BD65*VLOOKUP('Données projet'!$B$11,Paramètres!$A$1:$I$89,3,0)*VLOOKUP('Données projet'!$B$11,Paramètres!$A$1:$I$89,5,0)</f>
        <v>253.98671999999999</v>
      </c>
      <c r="BF65" s="14">
        <f t="shared" si="37"/>
        <v>61.438849277739124</v>
      </c>
      <c r="BG65" s="22">
        <f t="shared" si="7"/>
        <v>549.3661998253956</v>
      </c>
      <c r="BH65" s="62">
        <f t="shared" si="8"/>
        <v>811.72520278504692</v>
      </c>
      <c r="BI65" s="62">
        <f ca="1">AVERAGE(OFFSET($BH$3,0,0,'Données projet'!$E$11+1,1))-AVERAGE(OFFSET($H$3,0,0,'Données projet'!$E$11+1,1))</f>
        <v>500.25828825677058</v>
      </c>
      <c r="BJ65" s="62">
        <f t="shared" si="38"/>
        <v>313.56299786481338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3.4</v>
      </c>
      <c r="BY65" s="13">
        <f>IF('Données projet'!$A$114&gt;35,BY64+BX65-CG64,IF(A65&lt;'Données projet'!$A$114,$BV$205^A65,IF(A65='Données projet'!$A$114,'Données projet'!$B$114,BY64+BX65-CG64)))</f>
        <v>192.79999999999995</v>
      </c>
      <c r="BZ65" s="14">
        <f>BY65*VLOOKUP('Données projet'!$B$12,Paramètres!$A$1:$I$89,3,0)*VLOOKUP('Données projet'!$B$12,Paramètres!$A$1:$I$89,5,0)</f>
        <v>168.43007999999998</v>
      </c>
      <c r="CA65" s="14">
        <f t="shared" si="39"/>
        <v>42.738224098484984</v>
      </c>
      <c r="CB65" s="22">
        <f t="shared" si="10"/>
        <v>367.78479630486135</v>
      </c>
      <c r="CC65" s="62">
        <f t="shared" si="11"/>
        <v>630.14379926451261</v>
      </c>
      <c r="CD65" s="62">
        <f ca="1">AVERAGE(OFFSET($CC$3,0,0,'Données projet'!$E$12+1,1))-AVERAGE(OFFSET($H$3,0,0,'Données projet'!$E$12+1,1))</f>
        <v>287.22548699835653</v>
      </c>
      <c r="CE65" s="62">
        <f t="shared" si="40"/>
        <v>276.01618888357268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214.60000000000005</v>
      </c>
      <c r="O66" s="14">
        <f>N66*VLOOKUP('Données projet'!$B$9,Paramètres!$A$1:$I$89,3,0)*VLOOKUP('Données projet'!$B$9,Paramètres!$A$1:$I$89,5,0)</f>
        <v>217.60440000000006</v>
      </c>
      <c r="P66" s="14">
        <f t="shared" si="33"/>
        <v>53.593882578706406</v>
      </c>
      <c r="Q66" s="22">
        <f t="shared" si="53"/>
        <v>472.33700882458038</v>
      </c>
      <c r="R66" s="62">
        <f t="shared" si="0"/>
        <v>735.23334716798649</v>
      </c>
      <c r="S66" s="62">
        <f ca="1">AVERAGE(OFFSET($R$3,0,0,'Données projet'!$E$9+1,1))-AVERAGE(OFFSET($H$3,0,0,'Données projet'!$E$9+1,1))</f>
        <v>446.90706503298787</v>
      </c>
      <c r="T66" s="62">
        <f t="shared" si="34"/>
        <v>275.54513370838777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271.39999999999998</v>
      </c>
      <c r="AJ66" s="14">
        <f>AI66*VLOOKUP('Données projet'!$B$10,Paramètres!$A$1:$I$89,3,0)*VLOOKUP('Données projet'!$B$10,Paramètres!$A$1:$I$89,5,0)</f>
        <v>182.05511999999999</v>
      </c>
      <c r="AK66" s="14">
        <f t="shared" si="35"/>
        <v>45.7791099645709</v>
      </c>
      <c r="AL66" s="22">
        <f t="shared" si="4"/>
        <v>396.81128385496095</v>
      </c>
      <c r="AM66" s="62">
        <f t="shared" si="5"/>
        <v>659.70762219836706</v>
      </c>
      <c r="AN66" s="62">
        <f ca="1">AVERAGE(OFFSET($AM$3,0,0,'Données projet'!$E$10+1,1))-AVERAGE(OFFSET($H$3,0,0,'Données projet'!$E$10+1,1))</f>
        <v>369.59928463850827</v>
      </c>
      <c r="AO66" s="62">
        <f t="shared" si="36"/>
        <v>236.19165554863852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8.8000000000000007</v>
      </c>
      <c r="BD66" s="13">
        <f>IF('Données projet'!$A$88&gt;35,BD65+BC66-BL65,IF(A66&lt;'Données projet'!$A$88,$BA$205^A66,IF(A66='Données projet'!$A$88,'Données projet'!$B$88,BD65+BC66-BL65)))</f>
        <v>271.39999999999998</v>
      </c>
      <c r="BE66" s="14">
        <f>BD66*VLOOKUP('Données projet'!$B$11,Paramètres!$A$1:$I$89,3,0)*VLOOKUP('Données projet'!$B$11,Paramètres!$A$1:$I$89,5,0)</f>
        <v>262.49807999999996</v>
      </c>
      <c r="BF66" s="14">
        <f t="shared" si="37"/>
        <v>63.254570961138086</v>
      </c>
      <c r="BG66" s="22">
        <f t="shared" si="7"/>
        <v>567.35253375731543</v>
      </c>
      <c r="BH66" s="62">
        <f t="shared" si="8"/>
        <v>830.24887210072154</v>
      </c>
      <c r="BI66" s="62">
        <f ca="1">AVERAGE(OFFSET($BH$3,0,0,'Données projet'!$E$11+1,1))-AVERAGE(OFFSET($H$3,0,0,'Données projet'!$E$11+1,1))</f>
        <v>500.25828825677058</v>
      </c>
      <c r="BJ66" s="62">
        <f t="shared" si="38"/>
        <v>313.56299786481338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3.4</v>
      </c>
      <c r="BY66" s="13">
        <f>IF('Données projet'!$A$114&gt;35,BY65+BX66-CG65,IF(A66&lt;'Données projet'!$A$114,$BV$205^A66,IF(A66='Données projet'!$A$114,'Données projet'!$B$114,BY65+BX66-CG65)))</f>
        <v>196.19999999999996</v>
      </c>
      <c r="BZ66" s="14">
        <f>BY66*VLOOKUP('Données projet'!$B$12,Paramètres!$A$1:$I$89,3,0)*VLOOKUP('Données projet'!$B$12,Paramètres!$A$1:$I$89,5,0)</f>
        <v>171.40031999999999</v>
      </c>
      <c r="CA66" s="14">
        <f t="shared" si="39"/>
        <v>43.403498788621114</v>
      </c>
      <c r="CB66" s="22">
        <f t="shared" si="10"/>
        <v>374.11665105684841</v>
      </c>
      <c r="CC66" s="62">
        <f t="shared" si="11"/>
        <v>637.01298940025458</v>
      </c>
      <c r="CD66" s="62">
        <f ca="1">AVERAGE(OFFSET($CC$3,0,0,'Données projet'!$E$12+1,1))-AVERAGE(OFFSET($H$3,0,0,'Données projet'!$E$12+1,1))</f>
        <v>287.22548699835653</v>
      </c>
      <c r="CE66" s="62">
        <f t="shared" si="40"/>
        <v>276.01618888357268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221.80000000000004</v>
      </c>
      <c r="O67" s="14">
        <f>N67*VLOOKUP('Données projet'!$B$9,Paramètres!$A$1:$I$89,3,0)*VLOOKUP('Données projet'!$B$9,Paramètres!$A$1:$I$89,5,0)</f>
        <v>224.90520000000006</v>
      </c>
      <c r="P67" s="14">
        <f t="shared" si="33"/>
        <v>55.17963460003309</v>
      </c>
      <c r="Q67" s="22">
        <f t="shared" ref="Q67:Q98" si="54">(O67+P67)*0.475*44/12</f>
        <v>487.81442026172436</v>
      </c>
      <c r="R67" s="62">
        <f t="shared" ref="R67:R130" si="55">Q67+(I67+J67)*44/12</f>
        <v>751.23877242127912</v>
      </c>
      <c r="S67" s="62">
        <f ca="1">AVERAGE(OFFSET($R$3,0,0,'Données projet'!$E$9+1,1))-AVERAGE(OFFSET($H$3,0,0,'Données projet'!$E$9+1,1))</f>
        <v>446.90706503298787</v>
      </c>
      <c r="T67" s="62">
        <f t="shared" si="34"/>
        <v>275.54513370838777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280.2</v>
      </c>
      <c r="AJ67" s="14">
        <f>AI67*VLOOKUP('Données projet'!$B$10,Paramètres!$A$1:$I$89,3,0)*VLOOKUP('Données projet'!$B$10,Paramètres!$A$1:$I$89,5,0)</f>
        <v>187.95815999999999</v>
      </c>
      <c r="AK67" s="14">
        <f t="shared" si="35"/>
        <v>47.088247541318253</v>
      </c>
      <c r="AL67" s="22">
        <f t="shared" si="4"/>
        <v>409.37249313446256</v>
      </c>
      <c r="AM67" s="62">
        <f t="shared" si="5"/>
        <v>672.79684529401732</v>
      </c>
      <c r="AN67" s="62">
        <f ca="1">AVERAGE(OFFSET($AM$3,0,0,'Données projet'!$E$10+1,1))-AVERAGE(OFFSET($H$3,0,0,'Données projet'!$E$10+1,1))</f>
        <v>369.59928463850827</v>
      </c>
      <c r="AO67" s="62">
        <f t="shared" si="36"/>
        <v>236.19165554863852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8.8000000000000007</v>
      </c>
      <c r="BD67" s="13">
        <f>IF('Données projet'!$A$88&gt;35,BD66+BC67-BL66,IF(A67&lt;'Données projet'!$A$88,$BA$205^A67,IF(A67='Données projet'!$A$88,'Données projet'!$B$88,BD66+BC67-BL66)))</f>
        <v>280.2</v>
      </c>
      <c r="BE67" s="14">
        <f>BD67*VLOOKUP('Données projet'!$B$11,Paramètres!$A$1:$I$89,3,0)*VLOOKUP('Données projet'!$B$11,Paramètres!$A$1:$I$89,5,0)</f>
        <v>271.00943999999998</v>
      </c>
      <c r="BF67" s="14">
        <f t="shared" si="37"/>
        <v>65.063451383023647</v>
      </c>
      <c r="BG67" s="22">
        <f t="shared" si="7"/>
        <v>585.32695249209939</v>
      </c>
      <c r="BH67" s="62">
        <f t="shared" si="8"/>
        <v>848.75130465165421</v>
      </c>
      <c r="BI67" s="62">
        <f ca="1">AVERAGE(OFFSET($BH$3,0,0,'Données projet'!$E$11+1,1))-AVERAGE(OFFSET($H$3,0,0,'Données projet'!$E$11+1,1))</f>
        <v>500.25828825677058</v>
      </c>
      <c r="BJ67" s="62">
        <f t="shared" si="38"/>
        <v>313.56299786481338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3.4</v>
      </c>
      <c r="BY67" s="13">
        <f>IF('Données projet'!$A$114&gt;35,BY66+BX67-CG66,IF(A67&lt;'Données projet'!$A$114,$BV$205^A67,IF(A67='Données projet'!$A$114,'Données projet'!$B$114,BY66+BX67-CG66)))</f>
        <v>199.59999999999997</v>
      </c>
      <c r="BZ67" s="14">
        <f>BY67*VLOOKUP('Données projet'!$B$12,Paramètres!$A$1:$I$89,3,0)*VLOOKUP('Données projet'!$B$12,Paramètres!$A$1:$I$89,5,0)</f>
        <v>174.37056000000001</v>
      </c>
      <c r="CA67" s="14">
        <f t="shared" si="39"/>
        <v>44.06743281787746</v>
      </c>
      <c r="CB67" s="22">
        <f t="shared" si="10"/>
        <v>380.4461708244699</v>
      </c>
      <c r="CC67" s="62">
        <f t="shared" si="11"/>
        <v>643.87052298402466</v>
      </c>
      <c r="CD67" s="62">
        <f ca="1">AVERAGE(OFFSET($CC$3,0,0,'Données projet'!$E$12+1,1))-AVERAGE(OFFSET($H$3,0,0,'Données projet'!$E$12+1,1))</f>
        <v>287.22548699835653</v>
      </c>
      <c r="CE67" s="62">
        <f t="shared" si="40"/>
        <v>276.01618888357268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229.00000000000003</v>
      </c>
      <c r="O68" s="14">
        <f>N68*VLOOKUP('Données projet'!$B$9,Paramètres!$A$1:$I$89,3,0)*VLOOKUP('Données projet'!$B$9,Paramètres!$A$1:$I$89,5,0)</f>
        <v>232.20600000000005</v>
      </c>
      <c r="P68" s="14">
        <f t="shared" si="33"/>
        <v>56.759404991217572</v>
      </c>
      <c r="Q68" s="22">
        <f t="shared" si="54"/>
        <v>503.28141369303734</v>
      </c>
      <c r="R68" s="62">
        <f t="shared" si="55"/>
        <v>767.22461980949254</v>
      </c>
      <c r="S68" s="62">
        <f ca="1">AVERAGE(OFFSET($R$3,0,0,'Données projet'!$E$9+1,1))-AVERAGE(OFFSET($H$3,0,0,'Données projet'!$E$9+1,1))</f>
        <v>446.90706503298787</v>
      </c>
      <c r="T68" s="62">
        <f t="shared" si="34"/>
        <v>275.54513370838777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289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289</v>
      </c>
      <c r="AJ68" s="14">
        <f>AI68*VLOOKUP('Données projet'!$B$10,Paramètres!$A$1:$I$89,3,0)*VLOOKUP('Données projet'!$B$10,Paramètres!$A$1:$I$89,5,0)</f>
        <v>193.8612</v>
      </c>
      <c r="AK68" s="14">
        <f t="shared" si="35"/>
        <v>48.392607244332538</v>
      </c>
      <c r="AL68" s="22">
        <f t="shared" ref="AL68:AL131" si="58">(AJ68+AK68)*0.475*44/12</f>
        <v>421.92538095054584</v>
      </c>
      <c r="AM68" s="62">
        <f t="shared" ref="AM68:AM131" si="59">AL68+(AD68+AE68)*44/12</f>
        <v>685.86858706700104</v>
      </c>
      <c r="AN68" s="62">
        <f ca="1">AVERAGE(OFFSET($AM$3,0,0,'Données projet'!$E$10+1,1))-AVERAGE(OFFSET($H$3,0,0,'Données projet'!$E$10+1,1))</f>
        <v>369.59928463850827</v>
      </c>
      <c r="AO68" s="62">
        <f t="shared" si="36"/>
        <v>236.19165554863852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289</v>
      </c>
      <c r="BB68" s="13">
        <f>VLOOKUP(A68,'Données projet'!$A$87:$I$107,9,0)</f>
        <v>8.8000000000000007</v>
      </c>
      <c r="BC68" s="13">
        <f t="array" ref="BC68">INDEX(BB:BB,MIN(IF(ISNUMBER(BB68:BB264),ROW(BB68:BB264),"")))</f>
        <v>8.8000000000000007</v>
      </c>
      <c r="BD68" s="13">
        <f>IF('Données projet'!$A$88&gt;35,BD67+BC68-BL67,IF(A68&lt;'Données projet'!$A$88,$BA$205^A68,IF(A68='Données projet'!$A$88,'Données projet'!$B$88,BD67+BC68-BL67)))</f>
        <v>289</v>
      </c>
      <c r="BE68" s="14">
        <f>BD68*VLOOKUP('Données projet'!$B$11,Paramètres!$A$1:$I$89,3,0)*VLOOKUP('Données projet'!$B$11,Paramètres!$A$1:$I$89,5,0)</f>
        <v>279.52080000000001</v>
      </c>
      <c r="BF68" s="14">
        <f t="shared" si="37"/>
        <v>66.865730052421583</v>
      </c>
      <c r="BG68" s="22">
        <f t="shared" ref="BG68:BG131" si="61">(BE68+BF68)*0.475*44/12</f>
        <v>603.28987317463418</v>
      </c>
      <c r="BH68" s="62">
        <f t="shared" ref="BH68:BH131" si="62">BG68+(AY68+AZ68)*44/12</f>
        <v>867.23307929108933</v>
      </c>
      <c r="BI68" s="62">
        <f ca="1">AVERAGE(OFFSET($BH$3,0,0,'Données projet'!$E$11+1,1))-AVERAGE(OFFSET($H$3,0,0,'Données projet'!$E$11+1,1))</f>
        <v>500.25828825677058</v>
      </c>
      <c r="BJ68" s="62">
        <f t="shared" si="38"/>
        <v>313.56299786481338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28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203</v>
      </c>
      <c r="BW68" s="13">
        <f>VLOOKUP(A68,'Données projet'!$A$113:$I$133,9,0)</f>
        <v>3.4</v>
      </c>
      <c r="BX68" s="13">
        <f t="array" ref="BX68">INDEX(BW:BW,MIN(IF(ISNUMBER(BW68:BW264),ROW(BW68:BW264),"")))</f>
        <v>3.4</v>
      </c>
      <c r="BY68" s="13">
        <f>IF('Données projet'!$A$114&gt;35,BY67+BX68-CG67,IF(A68&lt;'Données projet'!$A$114,$BV$205^A68,IF(A68='Données projet'!$A$114,'Données projet'!$B$114,BY67+BX68-CG67)))</f>
        <v>202.99999999999997</v>
      </c>
      <c r="BZ68" s="14">
        <f>BY68*VLOOKUP('Données projet'!$B$12,Paramètres!$A$1:$I$89,3,0)*VLOOKUP('Données projet'!$B$12,Paramètres!$A$1:$I$89,5,0)</f>
        <v>177.3408</v>
      </c>
      <c r="CA68" s="14">
        <f t="shared" si="39"/>
        <v>44.730051658603102</v>
      </c>
      <c r="CB68" s="22">
        <f t="shared" ref="CB68:CB131" si="64">(BZ68+CA68)*0.475*44/12</f>
        <v>386.77339997206701</v>
      </c>
      <c r="CC68" s="62">
        <f t="shared" ref="CC68:CC131" si="65">CB68+(BT68+BU68)*44/12</f>
        <v>650.71660608852221</v>
      </c>
      <c r="CD68" s="62">
        <f ca="1">AVERAGE(OFFSET($CC$3,0,0,'Données projet'!$E$12+1,1))-AVERAGE(OFFSET($H$3,0,0,'Données projet'!$E$12+1,1))</f>
        <v>287.22548699835653</v>
      </c>
      <c r="CE68" s="62">
        <f t="shared" si="40"/>
        <v>276.01618888357268</v>
      </c>
      <c r="CF68" s="16">
        <f>IF(ISNA(VLOOKUP(A68,'Données projet'!$A$113:$I$133,3,0)),0,VLOOKUP(A68,'Données projet'!$A$113:$I$133,3,0))</f>
        <v>11</v>
      </c>
      <c r="CG68" s="16">
        <f>IF(ISNA(VLOOKUP(A68,'Données projet'!$A$113:$I$133,4,0)),0,VLOOKUP(A68,'Données projet'!$A$113:$I$133,4,0))</f>
        <v>8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214.80000000000004</v>
      </c>
      <c r="O69" s="14">
        <f>N69*VLOOKUP('Données projet'!$B$9,Paramètres!$A$1:$I$89,3,0)*VLOOKUP('Données projet'!$B$9,Paramètres!$A$1:$I$89,5,0)</f>
        <v>217.80720000000005</v>
      </c>
      <c r="P69" s="14">
        <f t="shared" ref="P69:P132" si="87">EXP(-1.0587+0.8836*LN(O69)+0.284)</f>
        <v>53.638013973813976</v>
      </c>
      <c r="Q69" s="22">
        <f t="shared" si="54"/>
        <v>472.76708100439265</v>
      </c>
      <c r="R69" s="62">
        <f t="shared" si="55"/>
        <v>737.22014012157979</v>
      </c>
      <c r="S69" s="62">
        <f ca="1">AVERAGE(OFFSET($R$3,0,0,'Données projet'!$E$9+1,1))-AVERAGE(OFFSET($H$3,0,0,'Données projet'!$E$9+1,1))</f>
        <v>446.90706503298787</v>
      </c>
      <c r="T69" s="62">
        <f t="shared" ref="T69:T132" si="88">$T$3</f>
        <v>275.54513370838777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180.57936000000001</v>
      </c>
      <c r="AK69" s="14">
        <f t="shared" ref="AK69:AK132" si="89">EXP(-1.0587+0.8836*LN(AJ69)+0.284)</f>
        <v>45.45105897556433</v>
      </c>
      <c r="AL69" s="22">
        <f t="shared" si="58"/>
        <v>393.66964638244121</v>
      </c>
      <c r="AM69" s="62">
        <f t="shared" si="59"/>
        <v>658.1227054996283</v>
      </c>
      <c r="AN69" s="62">
        <f ca="1">AVERAGE(OFFSET($AM$3,0,0,'Données projet'!$E$10+1,1))-AVERAGE(OFFSET($H$3,0,0,'Données projet'!$E$10+1,1))</f>
        <v>369.59928463850827</v>
      </c>
      <c r="AO69" s="62">
        <f t="shared" ref="AO69:AO132" si="90">$AO$3</f>
        <v>236.19165554863852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8.1999999999999993</v>
      </c>
      <c r="BD69" s="13">
        <f>IF('Données projet'!$A$88&gt;35,BD68+BC69-BL68,IF(A69&lt;'Données projet'!$A$88,$BA$205^A69,IF(A69='Données projet'!$A$88,'Données projet'!$B$88,BD68+BC69-BL68)))</f>
        <v>269.2</v>
      </c>
      <c r="BE69" s="14">
        <f>BD69*VLOOKUP('Données projet'!$B$11,Paramètres!$A$1:$I$89,3,0)*VLOOKUP('Données projet'!$B$11,Paramètres!$A$1:$I$89,5,0)</f>
        <v>260.37024000000002</v>
      </c>
      <c r="BF69" s="14">
        <f t="shared" ref="BF69:BF132" si="91">EXP(-1.0587+0.8836*LN(BE69)+0.284)</f>
        <v>62.801291625234725</v>
      </c>
      <c r="BG69" s="22">
        <f t="shared" si="61"/>
        <v>562.85708424728386</v>
      </c>
      <c r="BH69" s="62">
        <f t="shared" si="62"/>
        <v>827.31014336447095</v>
      </c>
      <c r="BI69" s="62">
        <f ca="1">AVERAGE(OFFSET($BH$3,0,0,'Données projet'!$E$11+1,1))-AVERAGE(OFFSET($H$3,0,0,'Données projet'!$E$11+1,1))</f>
        <v>500.25828825677058</v>
      </c>
      <c r="BJ69" s="62">
        <f t="shared" ref="BJ69:BJ132" si="92">$BJ$3</f>
        <v>313.56299786481338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3</v>
      </c>
      <c r="BY69" s="13">
        <f>IF('Données projet'!$A$114&gt;35,BY68+BX69-CG68,IF(A69&lt;'Données projet'!$A$114,$BV$205^A69,IF(A69='Données projet'!$A$114,'Données projet'!$B$114,BY68+BX69-CG68)))</f>
        <v>197.99999999999997</v>
      </c>
      <c r="BZ69" s="14">
        <f>BY69*VLOOKUP('Données projet'!$B$12,Paramètres!$A$1:$I$89,3,0)*VLOOKUP('Données projet'!$B$12,Paramètres!$A$1:$I$89,5,0)</f>
        <v>172.97280000000001</v>
      </c>
      <c r="CA69" s="14">
        <f t="shared" ref="CA69:CA132" si="93">EXP(-1.0587+0.8836*LN(BZ69)+0.284)</f>
        <v>43.75515863819728</v>
      </c>
      <c r="CB69" s="22">
        <f t="shared" si="64"/>
        <v>377.46786129486026</v>
      </c>
      <c r="CC69" s="62">
        <f t="shared" si="65"/>
        <v>641.92092041204728</v>
      </c>
      <c r="CD69" s="62">
        <f ca="1">AVERAGE(OFFSET($CC$3,0,0,'Données projet'!$E$12+1,1))-AVERAGE(OFFSET($H$3,0,0,'Données projet'!$E$12+1,1))</f>
        <v>287.22548699835653</v>
      </c>
      <c r="CE69" s="62">
        <f t="shared" ref="CE69:CE132" si="94">$CE$3</f>
        <v>276.01618888357268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221.60000000000005</v>
      </c>
      <c r="O70" s="14">
        <f>N70*VLOOKUP('Données projet'!$B$9,Paramètres!$A$1:$I$89,3,0)*VLOOKUP('Données projet'!$B$9,Paramètres!$A$1:$I$89,5,0)</f>
        <v>224.7024000000001</v>
      </c>
      <c r="P70" s="14">
        <f t="shared" si="87"/>
        <v>55.135667706678312</v>
      </c>
      <c r="Q70" s="22">
        <f t="shared" si="54"/>
        <v>487.38463458913157</v>
      </c>
      <c r="R70" s="62">
        <f t="shared" si="55"/>
        <v>752.33870189734853</v>
      </c>
      <c r="S70" s="62">
        <f ca="1">AVERAGE(OFFSET($R$3,0,0,'Données projet'!$E$9+1,1))-AVERAGE(OFFSET($H$3,0,0,'Données projet'!$E$9+1,1))</f>
        <v>446.90706503298787</v>
      </c>
      <c r="T70" s="62">
        <f t="shared" si="88"/>
        <v>275.54513370838777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186.07991999999999</v>
      </c>
      <c r="AK70" s="14">
        <f t="shared" si="89"/>
        <v>46.672230055835435</v>
      </c>
      <c r="AL70" s="22">
        <f t="shared" si="58"/>
        <v>405.37666134724668</v>
      </c>
      <c r="AM70" s="62">
        <f t="shared" si="59"/>
        <v>670.33072865546364</v>
      </c>
      <c r="AN70" s="62">
        <f ca="1">AVERAGE(OFFSET($AM$3,0,0,'Données projet'!$E$10+1,1))-AVERAGE(OFFSET($H$3,0,0,'Données projet'!$E$10+1,1))</f>
        <v>369.59928463850827</v>
      </c>
      <c r="AO70" s="62">
        <f t="shared" si="90"/>
        <v>236.19165554863852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8.1999999999999993</v>
      </c>
      <c r="BD70" s="13">
        <f>IF('Données projet'!$A$88&gt;35,BD69+BC70-BL69,IF(A70&lt;'Données projet'!$A$88,$BA$205^A70,IF(A70='Données projet'!$A$88,'Données projet'!$B$88,BD69+BC70-BL69)))</f>
        <v>277.39999999999998</v>
      </c>
      <c r="BE70" s="14">
        <f>BD70*VLOOKUP('Données projet'!$B$11,Paramètres!$A$1:$I$89,3,0)*VLOOKUP('Données projet'!$B$11,Paramètres!$A$1:$I$89,5,0)</f>
        <v>268.30127999999996</v>
      </c>
      <c r="BF70" s="14">
        <f t="shared" si="91"/>
        <v>64.488625713042012</v>
      </c>
      <c r="BG70" s="22">
        <f t="shared" si="61"/>
        <v>579.60908578354815</v>
      </c>
      <c r="BH70" s="62">
        <f t="shared" si="62"/>
        <v>844.56315309176512</v>
      </c>
      <c r="BI70" s="62">
        <f ca="1">AVERAGE(OFFSET($BH$3,0,0,'Données projet'!$E$11+1,1))-AVERAGE(OFFSET($H$3,0,0,'Données projet'!$E$11+1,1))</f>
        <v>500.25828825677058</v>
      </c>
      <c r="BJ70" s="62">
        <f t="shared" si="92"/>
        <v>313.56299786481338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3</v>
      </c>
      <c r="BY70" s="13">
        <f>IF('Données projet'!$A$114&gt;35,BY69+BX70-CG69,IF(A70&lt;'Données projet'!$A$114,$BV$205^A70,IF(A70='Données projet'!$A$114,'Données projet'!$B$114,BY69+BX70-CG69)))</f>
        <v>200.99999999999997</v>
      </c>
      <c r="BZ70" s="14">
        <f>BY70*VLOOKUP('Données projet'!$B$12,Paramètres!$A$1:$I$89,3,0)*VLOOKUP('Données projet'!$B$12,Paramètres!$A$1:$I$89,5,0)</f>
        <v>175.59359999999998</v>
      </c>
      <c r="CA70" s="14">
        <f t="shared" si="93"/>
        <v>44.340433728638573</v>
      </c>
      <c r="CB70" s="22">
        <f t="shared" si="64"/>
        <v>383.05177541071208</v>
      </c>
      <c r="CC70" s="62">
        <f t="shared" si="65"/>
        <v>648.00584271892899</v>
      </c>
      <c r="CD70" s="62">
        <f ca="1">AVERAGE(OFFSET($CC$3,0,0,'Données projet'!$E$12+1,1))-AVERAGE(OFFSET($H$3,0,0,'Données projet'!$E$12+1,1))</f>
        <v>287.22548699835653</v>
      </c>
      <c r="CE70" s="62">
        <f t="shared" si="94"/>
        <v>276.01618888357268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228.40000000000006</v>
      </c>
      <c r="O71" s="14">
        <f>N71*VLOOKUP('Données projet'!$B$9,Paramètres!$A$1:$I$89,3,0)*VLOOKUP('Données projet'!$B$9,Paramètres!$A$1:$I$89,5,0)</f>
        <v>231.59760000000006</v>
      </c>
      <c r="P71" s="14">
        <f t="shared" si="87"/>
        <v>56.627980714948151</v>
      </c>
      <c r="Q71" s="22">
        <f t="shared" si="54"/>
        <v>501.99288641186803</v>
      </c>
      <c r="R71" s="62">
        <f t="shared" si="55"/>
        <v>767.43927053908692</v>
      </c>
      <c r="S71" s="62">
        <f ca="1">AVERAGE(OFFSET($R$3,0,0,'Données projet'!$E$9+1,1))-AVERAGE(OFFSET($H$3,0,0,'Données projet'!$E$9+1,1))</f>
        <v>446.90706503298787</v>
      </c>
      <c r="T71" s="62">
        <f t="shared" si="88"/>
        <v>275.54513370838777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191.58047999999997</v>
      </c>
      <c r="AK71" s="14">
        <f t="shared" si="89"/>
        <v>47.889205896476554</v>
      </c>
      <c r="AL71" s="22">
        <f t="shared" si="58"/>
        <v>417.07636960302989</v>
      </c>
      <c r="AM71" s="62">
        <f t="shared" si="59"/>
        <v>682.52275373024872</v>
      </c>
      <c r="AN71" s="62">
        <f ca="1">AVERAGE(OFFSET($AM$3,0,0,'Données projet'!$E$10+1,1))-AVERAGE(OFFSET($H$3,0,0,'Données projet'!$E$10+1,1))</f>
        <v>369.59928463850827</v>
      </c>
      <c r="AO71" s="62">
        <f t="shared" si="90"/>
        <v>236.19165554863852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8.1999999999999993</v>
      </c>
      <c r="BD71" s="13">
        <f>IF('Données projet'!$A$88&gt;35,BD70+BC71-BL70,IF(A71&lt;'Données projet'!$A$88,$BA$205^A71,IF(A71='Données projet'!$A$88,'Données projet'!$B$88,BD70+BC71-BL70)))</f>
        <v>285.59999999999997</v>
      </c>
      <c r="BE71" s="14">
        <f>BD71*VLOOKUP('Données projet'!$B$11,Paramètres!$A$1:$I$89,3,0)*VLOOKUP('Données projet'!$B$11,Paramètres!$A$1:$I$89,5,0)</f>
        <v>276.23231999999996</v>
      </c>
      <c r="BF71" s="14">
        <f t="shared" si="91"/>
        <v>66.170163093943458</v>
      </c>
      <c r="BG71" s="22">
        <f t="shared" si="61"/>
        <v>596.35099138861813</v>
      </c>
      <c r="BH71" s="62">
        <f t="shared" si="62"/>
        <v>861.79737551583696</v>
      </c>
      <c r="BI71" s="62">
        <f ca="1">AVERAGE(OFFSET($BH$3,0,0,'Données projet'!$E$11+1,1))-AVERAGE(OFFSET($H$3,0,0,'Données projet'!$E$11+1,1))</f>
        <v>500.25828825677058</v>
      </c>
      <c r="BJ71" s="62">
        <f t="shared" si="92"/>
        <v>313.56299786481338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3</v>
      </c>
      <c r="BY71" s="13">
        <f>IF('Données projet'!$A$114&gt;35,BY70+BX71-CG70,IF(A71&lt;'Données projet'!$A$114,$BV$205^A71,IF(A71='Données projet'!$A$114,'Données projet'!$B$114,BY70+BX71-CG70)))</f>
        <v>203.99999999999997</v>
      </c>
      <c r="BZ71" s="14">
        <f>BY71*VLOOKUP('Données projet'!$B$12,Paramètres!$A$1:$I$89,3,0)*VLOOKUP('Données projet'!$B$12,Paramètres!$A$1:$I$89,5,0)</f>
        <v>178.21440000000001</v>
      </c>
      <c r="CA71" s="14">
        <f t="shared" si="93"/>
        <v>44.924692855664368</v>
      </c>
      <c r="CB71" s="22">
        <f t="shared" si="64"/>
        <v>388.63392005694874</v>
      </c>
      <c r="CC71" s="62">
        <f t="shared" si="65"/>
        <v>654.08030418416752</v>
      </c>
      <c r="CD71" s="62">
        <f ca="1">AVERAGE(OFFSET($CC$3,0,0,'Données projet'!$E$12+1,1))-AVERAGE(OFFSET($H$3,0,0,'Données projet'!$E$12+1,1))</f>
        <v>287.22548699835653</v>
      </c>
      <c r="CE71" s="62">
        <f t="shared" si="94"/>
        <v>276.01618888357268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235.20000000000007</v>
      </c>
      <c r="O72" s="14">
        <f>N72*VLOOKUP('Données projet'!$B$9,Paramètres!$A$1:$I$89,3,0)*VLOOKUP('Données projet'!$B$9,Paramètres!$A$1:$I$89,5,0)</f>
        <v>238.4928000000001</v>
      </c>
      <c r="P72" s="14">
        <f t="shared" si="87"/>
        <v>58.115130258576592</v>
      </c>
      <c r="Q72" s="22">
        <f t="shared" si="54"/>
        <v>516.59214520035437</v>
      </c>
      <c r="R72" s="62">
        <f t="shared" si="55"/>
        <v>782.52230555042092</v>
      </c>
      <c r="S72" s="62">
        <f ca="1">AVERAGE(OFFSET($R$3,0,0,'Données projet'!$E$9+1,1))-AVERAGE(OFFSET($H$3,0,0,'Données projet'!$E$9+1,1))</f>
        <v>446.90706503298787</v>
      </c>
      <c r="T72" s="62">
        <f t="shared" si="88"/>
        <v>275.54513370838777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197.08103999999997</v>
      </c>
      <c r="AK72" s="14">
        <f t="shared" si="89"/>
        <v>49.102120782543381</v>
      </c>
      <c r="AL72" s="22">
        <f t="shared" si="58"/>
        <v>428.76900502959637</v>
      </c>
      <c r="AM72" s="62">
        <f t="shared" si="59"/>
        <v>694.69916537966287</v>
      </c>
      <c r="AN72" s="62">
        <f ca="1">AVERAGE(OFFSET($AM$3,0,0,'Données projet'!$E$10+1,1))-AVERAGE(OFFSET($H$3,0,0,'Données projet'!$E$10+1,1))</f>
        <v>369.59928463850827</v>
      </c>
      <c r="AO72" s="62">
        <f t="shared" si="90"/>
        <v>236.19165554863852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8.1999999999999993</v>
      </c>
      <c r="BD72" s="13">
        <f>IF('Données projet'!$A$88&gt;35,BD71+BC72-BL71,IF(A72&lt;'Données projet'!$A$88,$BA$205^A72,IF(A72='Données projet'!$A$88,'Données projet'!$B$88,BD71+BC72-BL71)))</f>
        <v>293.79999999999995</v>
      </c>
      <c r="BE72" s="14">
        <f>BD72*VLOOKUP('Données projet'!$B$11,Paramètres!$A$1:$I$89,3,0)*VLOOKUP('Données projet'!$B$11,Paramètres!$A$1:$I$89,5,0)</f>
        <v>284.16335999999995</v>
      </c>
      <c r="BF72" s="14">
        <f t="shared" si="91"/>
        <v>67.846089314219739</v>
      </c>
      <c r="BG72" s="22">
        <f t="shared" si="61"/>
        <v>613.08312422226595</v>
      </c>
      <c r="BH72" s="62">
        <f t="shared" si="62"/>
        <v>879.01328457233251</v>
      </c>
      <c r="BI72" s="62">
        <f ca="1">AVERAGE(OFFSET($BH$3,0,0,'Données projet'!$E$11+1,1))-AVERAGE(OFFSET($H$3,0,0,'Données projet'!$E$11+1,1))</f>
        <v>500.25828825677058</v>
      </c>
      <c r="BJ72" s="62">
        <f t="shared" si="92"/>
        <v>313.56299786481338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3</v>
      </c>
      <c r="BY72" s="13">
        <f>IF('Données projet'!$A$114&gt;35,BY71+BX72-CG71,IF(A72&lt;'Données projet'!$A$114,$BV$205^A72,IF(A72='Données projet'!$A$114,'Données projet'!$B$114,BY71+BX72-CG71)))</f>
        <v>206.99999999999997</v>
      </c>
      <c r="BZ72" s="14">
        <f>BY72*VLOOKUP('Données projet'!$B$12,Paramètres!$A$1:$I$89,3,0)*VLOOKUP('Données projet'!$B$12,Paramètres!$A$1:$I$89,5,0)</f>
        <v>180.83520000000001</v>
      </c>
      <c r="CA72" s="14">
        <f t="shared" si="93"/>
        <v>45.507952685945142</v>
      </c>
      <c r="CB72" s="22">
        <f t="shared" si="64"/>
        <v>394.21432426135442</v>
      </c>
      <c r="CC72" s="62">
        <f t="shared" si="65"/>
        <v>660.14448461142092</v>
      </c>
      <c r="CD72" s="62">
        <f ca="1">AVERAGE(OFFSET($CC$3,0,0,'Données projet'!$E$12+1,1))-AVERAGE(OFFSET($H$3,0,0,'Données projet'!$E$12+1,1))</f>
        <v>287.22548699835653</v>
      </c>
      <c r="CE72" s="62">
        <f t="shared" si="94"/>
        <v>276.01618888357268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242.00000000000009</v>
      </c>
      <c r="O73" s="14">
        <f>N73*VLOOKUP('Données projet'!$B$9,Paramètres!$A$1:$I$89,3,0)*VLOOKUP('Données projet'!$B$9,Paramètres!$A$1:$I$89,5,0)</f>
        <v>245.38800000000012</v>
      </c>
      <c r="P73" s="14">
        <f t="shared" si="87"/>
        <v>59.597282764919569</v>
      </c>
      <c r="Q73" s="22">
        <f t="shared" si="54"/>
        <v>531.18270081556841</v>
      </c>
      <c r="R73" s="62">
        <f t="shared" si="55"/>
        <v>797.58824495257795</v>
      </c>
      <c r="S73" s="62">
        <f ca="1">AVERAGE(OFFSET($R$3,0,0,'Données projet'!$E$9+1,1))-AVERAGE(OFFSET($H$3,0,0,'Données projet'!$E$9+1,1))</f>
        <v>446.90706503298787</v>
      </c>
      <c r="T73" s="62">
        <f t="shared" si="88"/>
        <v>275.54513370838777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202.58159999999998</v>
      </c>
      <c r="AK73" s="14">
        <f t="shared" si="89"/>
        <v>50.311101076764672</v>
      </c>
      <c r="AL73" s="22">
        <f t="shared" si="58"/>
        <v>440.4547877086984</v>
      </c>
      <c r="AM73" s="62">
        <f t="shared" si="59"/>
        <v>706.86033184570783</v>
      </c>
      <c r="AN73" s="62">
        <f ca="1">AVERAGE(OFFSET($AM$3,0,0,'Données projet'!$E$10+1,1))-AVERAGE(OFFSET($H$3,0,0,'Données projet'!$E$10+1,1))</f>
        <v>369.59928463850827</v>
      </c>
      <c r="AO73" s="62">
        <f t="shared" si="90"/>
        <v>236.19165554863852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28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302</v>
      </c>
      <c r="BB73" s="13">
        <f>VLOOKUP(A73,'Données projet'!$A$87:$I$107,9,0)</f>
        <v>8.1999999999999993</v>
      </c>
      <c r="BC73" s="13">
        <f t="array" ref="BC73">INDEX(BB:BB,MIN(IF(ISNUMBER(BB73:BB269),ROW(BB73:BB269),"")))</f>
        <v>8.1999999999999993</v>
      </c>
      <c r="BD73" s="13">
        <f>IF('Données projet'!$A$88&gt;35,BD72+BC73-BL72,IF(A73&lt;'Données projet'!$A$88,$BA$205^A73,IF(A73='Données projet'!$A$88,'Données projet'!$B$88,BD72+BC73-BL72)))</f>
        <v>301.99999999999994</v>
      </c>
      <c r="BE73" s="14">
        <f>BD73*VLOOKUP('Données projet'!$B$11,Paramètres!$A$1:$I$89,3,0)*VLOOKUP('Données projet'!$B$11,Paramètres!$A$1:$I$89,5,0)</f>
        <v>292.09439999999995</v>
      </c>
      <c r="BF73" s="14">
        <f t="shared" si="91"/>
        <v>69.516578973599849</v>
      </c>
      <c r="BG73" s="22">
        <f t="shared" si="61"/>
        <v>629.80578837901965</v>
      </c>
      <c r="BH73" s="62">
        <f t="shared" si="62"/>
        <v>896.21133251602919</v>
      </c>
      <c r="BI73" s="62">
        <f ca="1">AVERAGE(OFFSET($BH$3,0,0,'Données projet'!$E$11+1,1))-AVERAGE(OFFSET($H$3,0,0,'Données projet'!$E$11+1,1))</f>
        <v>500.25828825677058</v>
      </c>
      <c r="BJ73" s="62">
        <f t="shared" si="92"/>
        <v>313.56299786481338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28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210</v>
      </c>
      <c r="BW73" s="13">
        <f>VLOOKUP(A73,'Données projet'!$A$113:$I$133,9,0)</f>
        <v>3</v>
      </c>
      <c r="BX73" s="13">
        <f t="array" ref="BX73">INDEX(BW:BW,MIN(IF(ISNUMBER(BW73:BW269),ROW(BW73:BW269),"")))</f>
        <v>3</v>
      </c>
      <c r="BY73" s="13">
        <f>IF('Données projet'!$A$114&gt;35,BY72+BX73-CG72,IF(A73&lt;'Données projet'!$A$114,$BV$205^A73,IF(A73='Données projet'!$A$114,'Données projet'!$B$114,BY72+BX73-CG72)))</f>
        <v>209.99999999999997</v>
      </c>
      <c r="BZ73" s="14">
        <f>BY73*VLOOKUP('Données projet'!$B$12,Paramètres!$A$1:$I$89,3,0)*VLOOKUP('Données projet'!$B$12,Paramètres!$A$1:$I$89,5,0)</f>
        <v>183.45599999999999</v>
      </c>
      <c r="CA73" s="14">
        <f t="shared" si="93"/>
        <v>46.090229375321144</v>
      </c>
      <c r="CB73" s="22">
        <f t="shared" si="64"/>
        <v>399.79301616201764</v>
      </c>
      <c r="CC73" s="62">
        <f t="shared" si="65"/>
        <v>666.19856029902712</v>
      </c>
      <c r="CD73" s="62">
        <f ca="1">AVERAGE(OFFSET($CC$3,0,0,'Données projet'!$E$12+1,1))-AVERAGE(OFFSET($H$3,0,0,'Données projet'!$E$12+1,1))</f>
        <v>287.22548699835653</v>
      </c>
      <c r="CE73" s="62">
        <f t="shared" si="94"/>
        <v>276.01618888357268</v>
      </c>
      <c r="CF73" s="16">
        <f>IF(ISNA(VLOOKUP(A73,'Données projet'!$A$113:$I$133,3,0)),0,VLOOKUP(A73,'Données projet'!$A$113:$I$133,3,0))</f>
        <v>12</v>
      </c>
      <c r="CG73" s="16">
        <f>IF(ISNA(VLOOKUP(A73,'Données projet'!$A$113:$I$133,4,0)),0,VLOOKUP(A73,'Données projet'!$A$113:$I$133,4,0))</f>
        <v>6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6.4</v>
      </c>
      <c r="N74" s="14">
        <f>IF('Données projet'!$A$36&gt;35,N73+M74-V73,IF(A74&lt;'Données projet'!$A$36,$K$205^A74,IF(A74='Données projet'!$A$36,'Données projet'!$B$36,N73+M74-V73)))</f>
        <v>227.40000000000009</v>
      </c>
      <c r="O74" s="14">
        <f>N74*VLOOKUP('Données projet'!$B$9,Paramètres!$A$1:$I$89,3,0)*VLOOKUP('Données projet'!$B$9,Paramètres!$A$1:$I$89,5,0)</f>
        <v>230.5836000000001</v>
      </c>
      <c r="P74" s="14">
        <f t="shared" si="87"/>
        <v>56.408850878328018</v>
      </c>
      <c r="Q74" s="22">
        <f t="shared" si="54"/>
        <v>499.84518527975473</v>
      </c>
      <c r="R74" s="62">
        <f t="shared" si="55"/>
        <v>766.71786635780268</v>
      </c>
      <c r="S74" s="62">
        <f ca="1">AVERAGE(OFFSET($R$3,0,0,'Données projet'!$E$9+1,1))-AVERAGE(OFFSET($H$3,0,0,'Données projet'!$E$9+1,1))</f>
        <v>446.90706503298787</v>
      </c>
      <c r="T74" s="62">
        <f t="shared" si="88"/>
        <v>275.54513370838777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281.59999999999997</v>
      </c>
      <c r="AJ74" s="14">
        <f>AI74*VLOOKUP('Données projet'!$B$10,Paramètres!$A$1:$I$89,3,0)*VLOOKUP('Données projet'!$B$10,Paramètres!$A$1:$I$89,5,0)</f>
        <v>188.89727999999997</v>
      </c>
      <c r="AK74" s="14">
        <f t="shared" si="89"/>
        <v>47.296074588020467</v>
      </c>
      <c r="AL74" s="22">
        <f t="shared" si="58"/>
        <v>411.37009257413553</v>
      </c>
      <c r="AM74" s="62">
        <f t="shared" si="59"/>
        <v>678.24277365218347</v>
      </c>
      <c r="AN74" s="62">
        <f ca="1">AVERAGE(OFFSET($AM$3,0,0,'Données projet'!$E$10+1,1))-AVERAGE(OFFSET($H$3,0,0,'Données projet'!$E$10+1,1))</f>
        <v>369.59928463850827</v>
      </c>
      <c r="AO74" s="62">
        <f t="shared" si="90"/>
        <v>236.19165554863852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7.6</v>
      </c>
      <c r="BD74" s="13">
        <f>IF('Données projet'!$A$88&gt;35,BD73+BC74-BL73,IF(A74&lt;'Données projet'!$A$88,$BA$205^A74,IF(A74='Données projet'!$A$88,'Données projet'!$B$88,BD73+BC74-BL73)))</f>
        <v>281.59999999999997</v>
      </c>
      <c r="BE74" s="14">
        <f>BD74*VLOOKUP('Données projet'!$B$11,Paramètres!$A$1:$I$89,3,0)*VLOOKUP('Données projet'!$B$11,Paramètres!$A$1:$I$89,5,0)</f>
        <v>272.36351999999999</v>
      </c>
      <c r="BF74" s="14">
        <f t="shared" si="91"/>
        <v>65.350613162347059</v>
      </c>
      <c r="BG74" s="22">
        <f t="shared" si="61"/>
        <v>588.18544859108772</v>
      </c>
      <c r="BH74" s="62">
        <f t="shared" si="62"/>
        <v>855.05812966913572</v>
      </c>
      <c r="BI74" s="62">
        <f ca="1">AVERAGE(OFFSET($BH$3,0,0,'Données projet'!$E$11+1,1))-AVERAGE(OFFSET($H$3,0,0,'Données projet'!$E$11+1,1))</f>
        <v>500.25828825677058</v>
      </c>
      <c r="BJ74" s="62">
        <f t="shared" si="92"/>
        <v>313.56299786481338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2.6</v>
      </c>
      <c r="BY74" s="13">
        <f>IF('Données projet'!$A$114&gt;35,BY73+BX74-CG73,IF(A74&lt;'Données projet'!$A$114,$BV$205^A74,IF(A74='Données projet'!$A$114,'Données projet'!$B$114,BY73+BX74-CG73)))</f>
        <v>206.59999999999997</v>
      </c>
      <c r="BZ74" s="14">
        <f>BY74*VLOOKUP('Données projet'!$B$12,Paramètres!$A$1:$I$89,3,0)*VLOOKUP('Données projet'!$B$12,Paramètres!$A$1:$I$89,5,0)</f>
        <v>180.48576</v>
      </c>
      <c r="CA74" s="14">
        <f t="shared" si="93"/>
        <v>45.430241859839441</v>
      </c>
      <c r="CB74" s="22">
        <f t="shared" si="64"/>
        <v>393.47036990588703</v>
      </c>
      <c r="CC74" s="62">
        <f t="shared" si="65"/>
        <v>660.34305098393497</v>
      </c>
      <c r="CD74" s="62">
        <f ca="1">AVERAGE(OFFSET($CC$3,0,0,'Données projet'!$E$12+1,1))-AVERAGE(OFFSET($H$3,0,0,'Données projet'!$E$12+1,1))</f>
        <v>287.22548699835653</v>
      </c>
      <c r="CE74" s="62">
        <f t="shared" si="94"/>
        <v>276.01618888357268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6.4</v>
      </c>
      <c r="N75" s="14">
        <f>IF('Données projet'!$A$36&gt;35,N74+M75-V74,IF(A75&lt;'Données projet'!$A$36,$K$205^A75,IF(A75='Données projet'!$A$36,'Données projet'!$B$36,N74+M75-V74)))</f>
        <v>233.8000000000001</v>
      </c>
      <c r="O75" s="14">
        <f>N75*VLOOKUP('Données projet'!$B$9,Paramètres!$A$1:$I$89,3,0)*VLOOKUP('Données projet'!$B$9,Paramètres!$A$1:$I$89,5,0)</f>
        <v>237.0732000000001</v>
      </c>
      <c r="P75" s="14">
        <f t="shared" si="87"/>
        <v>57.809366223361302</v>
      </c>
      <c r="Q75" s="22">
        <f t="shared" si="54"/>
        <v>513.58713617235435</v>
      </c>
      <c r="R75" s="62">
        <f t="shared" si="55"/>
        <v>780.9188504098754</v>
      </c>
      <c r="S75" s="62">
        <f ca="1">AVERAGE(OFFSET($R$3,0,0,'Données projet'!$E$9+1,1))-AVERAGE(OFFSET($H$3,0,0,'Données projet'!$E$9+1,1))</f>
        <v>446.90706503298787</v>
      </c>
      <c r="T75" s="62">
        <f t="shared" si="88"/>
        <v>275.54513370838777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289.2</v>
      </c>
      <c r="AJ75" s="14">
        <f>AI75*VLOOKUP('Données projet'!$B$10,Paramètres!$A$1:$I$89,3,0)*VLOOKUP('Données projet'!$B$10,Paramètres!$A$1:$I$89,5,0)</f>
        <v>193.99536000000001</v>
      </c>
      <c r="AK75" s="14">
        <f t="shared" si="89"/>
        <v>48.422197546048515</v>
      </c>
      <c r="AL75" s="22">
        <f t="shared" si="58"/>
        <v>422.21057939270116</v>
      </c>
      <c r="AM75" s="62">
        <f t="shared" si="59"/>
        <v>689.54229363022228</v>
      </c>
      <c r="AN75" s="62">
        <f ca="1">AVERAGE(OFFSET($AM$3,0,0,'Données projet'!$E$10+1,1))-AVERAGE(OFFSET($H$3,0,0,'Données projet'!$E$10+1,1))</f>
        <v>369.59928463850827</v>
      </c>
      <c r="AO75" s="62">
        <f t="shared" si="90"/>
        <v>236.19165554863852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7.6</v>
      </c>
      <c r="BD75" s="13">
        <f>IF('Données projet'!$A$88&gt;35,BD74+BC75-BL74,IF(A75&lt;'Données projet'!$A$88,$BA$205^A75,IF(A75='Données projet'!$A$88,'Données projet'!$B$88,BD74+BC75-BL74)))</f>
        <v>289.2</v>
      </c>
      <c r="BE75" s="14">
        <f>BD75*VLOOKUP('Données projet'!$B$11,Paramètres!$A$1:$I$89,3,0)*VLOOKUP('Données projet'!$B$11,Paramètres!$A$1:$I$89,5,0)</f>
        <v>279.71424000000002</v>
      </c>
      <c r="BF75" s="14">
        <f t="shared" si="91"/>
        <v>66.906615990158315</v>
      </c>
      <c r="BG75" s="22">
        <f t="shared" si="61"/>
        <v>603.69799084952581</v>
      </c>
      <c r="BH75" s="62">
        <f t="shared" si="62"/>
        <v>871.02970508704698</v>
      </c>
      <c r="BI75" s="62">
        <f ca="1">AVERAGE(OFFSET($BH$3,0,0,'Données projet'!$E$11+1,1))-AVERAGE(OFFSET($H$3,0,0,'Données projet'!$E$11+1,1))</f>
        <v>500.25828825677058</v>
      </c>
      <c r="BJ75" s="62">
        <f t="shared" si="92"/>
        <v>313.56299786481338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2.6</v>
      </c>
      <c r="BY75" s="13">
        <f>IF('Données projet'!$A$114&gt;35,BY74+BX75-CG74,IF(A75&lt;'Données projet'!$A$114,$BV$205^A75,IF(A75='Données projet'!$A$114,'Données projet'!$B$114,BY74+BX75-CG74)))</f>
        <v>209.19999999999996</v>
      </c>
      <c r="BZ75" s="14">
        <f>BY75*VLOOKUP('Données projet'!$B$12,Paramètres!$A$1:$I$89,3,0)*VLOOKUP('Données projet'!$B$12,Paramètres!$A$1:$I$89,5,0)</f>
        <v>182.75711999999999</v>
      </c>
      <c r="CA75" s="14">
        <f t="shared" si="93"/>
        <v>45.935050827172049</v>
      </c>
      <c r="CB75" s="22">
        <f t="shared" si="64"/>
        <v>398.30553085732464</v>
      </c>
      <c r="CC75" s="62">
        <f t="shared" si="65"/>
        <v>665.63724509484575</v>
      </c>
      <c r="CD75" s="62">
        <f ca="1">AVERAGE(OFFSET($CC$3,0,0,'Données projet'!$E$12+1,1))-AVERAGE(OFFSET($H$3,0,0,'Données projet'!$E$12+1,1))</f>
        <v>287.22548699835653</v>
      </c>
      <c r="CE75" s="62">
        <f t="shared" si="94"/>
        <v>276.01618888357268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6.4</v>
      </c>
      <c r="N76" s="14">
        <f>IF('Données projet'!$A$36&gt;35,N75+M76-V75,IF(A76&lt;'Données projet'!$A$36,$K$205^A76,IF(A76='Données projet'!$A$36,'Données projet'!$B$36,N75+M76-V75)))</f>
        <v>240.2000000000001</v>
      </c>
      <c r="O76" s="14">
        <f>N76*VLOOKUP('Données projet'!$B$9,Paramètres!$A$1:$I$89,3,0)*VLOOKUP('Données projet'!$B$9,Paramètres!$A$1:$I$89,5,0)</f>
        <v>243.56280000000012</v>
      </c>
      <c r="P76" s="14">
        <f t="shared" si="87"/>
        <v>59.205425601852873</v>
      </c>
      <c r="Q76" s="22">
        <f t="shared" si="54"/>
        <v>527.32132625656061</v>
      </c>
      <c r="R76" s="62">
        <f t="shared" si="55"/>
        <v>795.10411045448245</v>
      </c>
      <c r="S76" s="62">
        <f ca="1">AVERAGE(OFFSET($R$3,0,0,'Données projet'!$E$9+1,1))-AVERAGE(OFFSET($H$3,0,0,'Données projet'!$E$9+1,1))</f>
        <v>446.90706503298787</v>
      </c>
      <c r="T76" s="62">
        <f t="shared" si="88"/>
        <v>275.54513370838777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296.8</v>
      </c>
      <c r="AJ76" s="14">
        <f>AI76*VLOOKUP('Données projet'!$B$10,Paramètres!$A$1:$I$89,3,0)*VLOOKUP('Données projet'!$B$10,Paramètres!$A$1:$I$89,5,0)</f>
        <v>199.09344000000002</v>
      </c>
      <c r="AK76" s="14">
        <f t="shared" si="89"/>
        <v>49.544880627520683</v>
      </c>
      <c r="AL76" s="22">
        <f t="shared" si="58"/>
        <v>433.04507509293188</v>
      </c>
      <c r="AM76" s="62">
        <f t="shared" si="59"/>
        <v>700.82785929085367</v>
      </c>
      <c r="AN76" s="62">
        <f ca="1">AVERAGE(OFFSET($AM$3,0,0,'Données projet'!$E$10+1,1))-AVERAGE(OFFSET($H$3,0,0,'Données projet'!$E$10+1,1))</f>
        <v>369.59928463850827</v>
      </c>
      <c r="AO76" s="62">
        <f t="shared" si="90"/>
        <v>236.19165554863852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7.6</v>
      </c>
      <c r="BD76" s="13">
        <f>IF('Données projet'!$A$88&gt;35,BD75+BC76-BL75,IF(A76&lt;'Données projet'!$A$88,$BA$205^A76,IF(A76='Données projet'!$A$88,'Données projet'!$B$88,BD75+BC76-BL75)))</f>
        <v>296.8</v>
      </c>
      <c r="BE76" s="14">
        <f>BD76*VLOOKUP('Données projet'!$B$11,Paramètres!$A$1:$I$89,3,0)*VLOOKUP('Données projet'!$B$11,Paramètres!$A$1:$I$89,5,0)</f>
        <v>287.06496000000004</v>
      </c>
      <c r="BF76" s="14">
        <f t="shared" si="91"/>
        <v>68.457865822206315</v>
      </c>
      <c r="BG76" s="22">
        <f t="shared" si="61"/>
        <v>619.20225497367608</v>
      </c>
      <c r="BH76" s="62">
        <f t="shared" si="62"/>
        <v>886.98503917159792</v>
      </c>
      <c r="BI76" s="62">
        <f ca="1">AVERAGE(OFFSET($BH$3,0,0,'Données projet'!$E$11+1,1))-AVERAGE(OFFSET($H$3,0,0,'Données projet'!$E$11+1,1))</f>
        <v>500.25828825677058</v>
      </c>
      <c r="BJ76" s="62">
        <f t="shared" si="92"/>
        <v>313.56299786481338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2.6</v>
      </c>
      <c r="BY76" s="13">
        <f>IF('Données projet'!$A$114&gt;35,BY75+BX76-CG75,IF(A76&lt;'Données projet'!$A$114,$BV$205^A76,IF(A76='Données projet'!$A$114,'Données projet'!$B$114,BY75+BX76-CG75)))</f>
        <v>211.79999999999995</v>
      </c>
      <c r="BZ76" s="14">
        <f>BY76*VLOOKUP('Données projet'!$B$12,Paramètres!$A$1:$I$89,3,0)*VLOOKUP('Données projet'!$B$12,Paramètres!$A$1:$I$89,5,0)</f>
        <v>185.02848</v>
      </c>
      <c r="CA76" s="14">
        <f t="shared" si="93"/>
        <v>46.43913001874585</v>
      </c>
      <c r="CB76" s="22">
        <f t="shared" si="64"/>
        <v>403.13942078264904</v>
      </c>
      <c r="CC76" s="62">
        <f t="shared" si="65"/>
        <v>670.92220498057077</v>
      </c>
      <c r="CD76" s="62">
        <f ca="1">AVERAGE(OFFSET($CC$3,0,0,'Données projet'!$E$12+1,1))-AVERAGE(OFFSET($H$3,0,0,'Données projet'!$E$12+1,1))</f>
        <v>287.22548699835653</v>
      </c>
      <c r="CE76" s="62">
        <f t="shared" si="94"/>
        <v>276.01618888357268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6.4</v>
      </c>
      <c r="N77" s="14">
        <f>IF('Données projet'!$A$36&gt;35,N76+M77-V76,IF(A77&lt;'Données projet'!$A$36,$K$205^A77,IF(A77='Données projet'!$A$36,'Données projet'!$B$36,N76+M77-V76)))</f>
        <v>246.60000000000011</v>
      </c>
      <c r="O77" s="14">
        <f>N77*VLOOKUP('Données projet'!$B$9,Paramètres!$A$1:$I$89,3,0)*VLOOKUP('Données projet'!$B$9,Paramètres!$A$1:$I$89,5,0)</f>
        <v>250.05240000000012</v>
      </c>
      <c r="P77" s="14">
        <f t="shared" si="87"/>
        <v>60.597161386823522</v>
      </c>
      <c r="Q77" s="22">
        <f t="shared" si="54"/>
        <v>541.04798608205112</v>
      </c>
      <c r="R77" s="62">
        <f t="shared" si="55"/>
        <v>809.27401518500199</v>
      </c>
      <c r="S77" s="62">
        <f ca="1">AVERAGE(OFFSET($R$3,0,0,'Données projet'!$E$9+1,1))-AVERAGE(OFFSET($H$3,0,0,'Données projet'!$E$9+1,1))</f>
        <v>446.90706503298787</v>
      </c>
      <c r="T77" s="62">
        <f t="shared" si="88"/>
        <v>275.54513370838777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304.40000000000003</v>
      </c>
      <c r="AJ77" s="14">
        <f>AI77*VLOOKUP('Données projet'!$B$10,Paramètres!$A$1:$I$89,3,0)*VLOOKUP('Données projet'!$B$10,Paramètres!$A$1:$I$89,5,0)</f>
        <v>204.19152000000005</v>
      </c>
      <c r="AK77" s="14">
        <f t="shared" si="89"/>
        <v>50.66422204371576</v>
      </c>
      <c r="AL77" s="22">
        <f t="shared" si="58"/>
        <v>443.87375072613833</v>
      </c>
      <c r="AM77" s="62">
        <f t="shared" si="59"/>
        <v>712.09977982908913</v>
      </c>
      <c r="AN77" s="62">
        <f ca="1">AVERAGE(OFFSET($AM$3,0,0,'Données projet'!$E$10+1,1))-AVERAGE(OFFSET($H$3,0,0,'Données projet'!$E$10+1,1))</f>
        <v>369.59928463850827</v>
      </c>
      <c r="AO77" s="62">
        <f t="shared" si="90"/>
        <v>236.19165554863852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7.6</v>
      </c>
      <c r="BD77" s="13">
        <f>IF('Données projet'!$A$88&gt;35,BD76+BC77-BL76,IF(A77&lt;'Données projet'!$A$88,$BA$205^A77,IF(A77='Données projet'!$A$88,'Données projet'!$B$88,BD76+BC77-BL76)))</f>
        <v>304.40000000000003</v>
      </c>
      <c r="BE77" s="14">
        <f>BD77*VLOOKUP('Données projet'!$B$11,Paramètres!$A$1:$I$89,3,0)*VLOOKUP('Données projet'!$B$11,Paramètres!$A$1:$I$89,5,0)</f>
        <v>294.41568000000001</v>
      </c>
      <c r="BF77" s="14">
        <f t="shared" si="91"/>
        <v>70.004498360393455</v>
      </c>
      <c r="BG77" s="22">
        <f t="shared" si="61"/>
        <v>634.69847731101868</v>
      </c>
      <c r="BH77" s="62">
        <f t="shared" si="62"/>
        <v>902.92450641396954</v>
      </c>
      <c r="BI77" s="62">
        <f ca="1">AVERAGE(OFFSET($BH$3,0,0,'Données projet'!$E$11+1,1))-AVERAGE(OFFSET($H$3,0,0,'Données projet'!$E$11+1,1))</f>
        <v>500.25828825677058</v>
      </c>
      <c r="BJ77" s="62">
        <f t="shared" si="92"/>
        <v>313.56299786481338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2.6</v>
      </c>
      <c r="BY77" s="13">
        <f>IF('Données projet'!$A$114&gt;35,BY76+BX77-CG76,IF(A77&lt;'Données projet'!$A$114,$BV$205^A77,IF(A77='Données projet'!$A$114,'Données projet'!$B$114,BY76+BX77-CG76)))</f>
        <v>214.39999999999995</v>
      </c>
      <c r="BZ77" s="14">
        <f>BY77*VLOOKUP('Données projet'!$B$12,Paramètres!$A$1:$I$89,3,0)*VLOOKUP('Données projet'!$B$12,Paramètres!$A$1:$I$89,5,0)</f>
        <v>187.29983999999996</v>
      </c>
      <c r="CA77" s="14">
        <f t="shared" si="93"/>
        <v>46.942489429228111</v>
      </c>
      <c r="CB77" s="22">
        <f t="shared" si="64"/>
        <v>407.97205708923889</v>
      </c>
      <c r="CC77" s="62">
        <f t="shared" si="65"/>
        <v>676.19808619218975</v>
      </c>
      <c r="CD77" s="62">
        <f ca="1">AVERAGE(OFFSET($CC$3,0,0,'Données projet'!$E$12+1,1))-AVERAGE(OFFSET($H$3,0,0,'Données projet'!$E$12+1,1))</f>
        <v>287.22548699835653</v>
      </c>
      <c r="CE77" s="62">
        <f t="shared" si="94"/>
        <v>276.01618888357268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253</v>
      </c>
      <c r="L78" s="13">
        <f>VLOOKUP(A78,'Données projet'!$A$35:$I$55,9,0)</f>
        <v>6.4</v>
      </c>
      <c r="M78" s="13">
        <f t="array" ref="M78">INDEX(L:L,MIN(IF(ISNUMBER(L78:L274),ROW(L78:L274),"")))</f>
        <v>6.4</v>
      </c>
      <c r="N78" s="14">
        <f>IF('Données projet'!$A$36&gt;35,N77+M78-V77,IF(A78&lt;'Données projet'!$A$36,$K$205^A78,IF(A78='Données projet'!$A$36,'Données projet'!$B$36,N77+M78-V77)))</f>
        <v>253.00000000000011</v>
      </c>
      <c r="O78" s="14">
        <f>N78*VLOOKUP('Données projet'!$B$9,Paramètres!$A$1:$I$89,3,0)*VLOOKUP('Données projet'!$B$9,Paramètres!$A$1:$I$89,5,0)</f>
        <v>256.54200000000014</v>
      </c>
      <c r="P78" s="14">
        <f t="shared" si="87"/>
        <v>61.984698688972557</v>
      </c>
      <c r="Q78" s="22">
        <f t="shared" si="54"/>
        <v>554.76733354996077</v>
      </c>
      <c r="R78" s="62">
        <f t="shared" si="55"/>
        <v>823.42891824978551</v>
      </c>
      <c r="S78" s="62">
        <f ca="1">AVERAGE(OFFSET($R$3,0,0,'Données projet'!$E$9+1,1))-AVERAGE(OFFSET($H$3,0,0,'Données projet'!$E$9+1,1))</f>
        <v>446.90706503298787</v>
      </c>
      <c r="T78" s="62">
        <f t="shared" si="88"/>
        <v>275.54513370838777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312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312.00000000000006</v>
      </c>
      <c r="AJ78" s="14">
        <f>AI78*VLOOKUP('Données projet'!$B$10,Paramètres!$A$1:$I$89,3,0)*VLOOKUP('Données projet'!$B$10,Paramètres!$A$1:$I$89,5,0)</f>
        <v>209.28960000000004</v>
      </c>
      <c r="AK78" s="14">
        <f t="shared" si="89"/>
        <v>51.780314822292212</v>
      </c>
      <c r="AL78" s="22">
        <f t="shared" si="58"/>
        <v>454.69676831549236</v>
      </c>
      <c r="AM78" s="62">
        <f t="shared" si="59"/>
        <v>723.35835301531711</v>
      </c>
      <c r="AN78" s="62">
        <f ca="1">AVERAGE(OFFSET($AM$3,0,0,'Données projet'!$E$10+1,1))-AVERAGE(OFFSET($H$3,0,0,'Données projet'!$E$10+1,1))</f>
        <v>369.59928463850827</v>
      </c>
      <c r="AO78" s="62">
        <f t="shared" si="90"/>
        <v>236.19165554863852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312</v>
      </c>
      <c r="BB78" s="13">
        <f>VLOOKUP(A78,'Données projet'!$A$87:$I$107,9,0)</f>
        <v>7.6</v>
      </c>
      <c r="BC78" s="13">
        <f t="array" ref="BC78">INDEX(BB:BB,MIN(IF(ISNUMBER(BB78:BB274),ROW(BB78:BB274),"")))</f>
        <v>7.6</v>
      </c>
      <c r="BD78" s="13">
        <f>IF('Données projet'!$A$88&gt;35,BD77+BC78-BL77,IF(A78&lt;'Données projet'!$A$88,$BA$205^A78,IF(A78='Données projet'!$A$88,'Données projet'!$B$88,BD77+BC78-BL77)))</f>
        <v>312.00000000000006</v>
      </c>
      <c r="BE78" s="14">
        <f>BD78*VLOOKUP('Données projet'!$B$11,Paramètres!$A$1:$I$89,3,0)*VLOOKUP('Données projet'!$B$11,Paramètres!$A$1:$I$89,5,0)</f>
        <v>301.76640000000003</v>
      </c>
      <c r="BF78" s="14">
        <f t="shared" si="91"/>
        <v>71.546642144235364</v>
      </c>
      <c r="BG78" s="22">
        <f t="shared" si="61"/>
        <v>650.18688173454336</v>
      </c>
      <c r="BH78" s="62">
        <f t="shared" si="62"/>
        <v>918.84846643436822</v>
      </c>
      <c r="BI78" s="62">
        <f ca="1">AVERAGE(OFFSET($BH$3,0,0,'Données projet'!$E$11+1,1))-AVERAGE(OFFSET($H$3,0,0,'Données projet'!$E$11+1,1))</f>
        <v>500.25828825677058</v>
      </c>
      <c r="BJ78" s="62">
        <f t="shared" si="92"/>
        <v>313.56299786481338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28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217</v>
      </c>
      <c r="BW78" s="13">
        <f>VLOOKUP(A78,'Données projet'!$A$113:$I$133,9,0)</f>
        <v>2.6</v>
      </c>
      <c r="BX78" s="13">
        <f t="array" ref="BX78">INDEX(BW:BW,MIN(IF(ISNUMBER(BW78:BW274),ROW(BW78:BW274),"")))</f>
        <v>2.6</v>
      </c>
      <c r="BY78" s="13">
        <f>IF('Données projet'!$A$114&gt;35,BY77+BX78-CG77,IF(A78&lt;'Données projet'!$A$114,$BV$205^A78,IF(A78='Données projet'!$A$114,'Données projet'!$B$114,BY77+BX78-CG77)))</f>
        <v>216.99999999999994</v>
      </c>
      <c r="BZ78" s="14">
        <f>BY78*VLOOKUP('Données projet'!$B$12,Paramètres!$A$1:$I$89,3,0)*VLOOKUP('Données projet'!$B$12,Paramètres!$A$1:$I$89,5,0)</f>
        <v>189.57119999999998</v>
      </c>
      <c r="CA78" s="14">
        <f t="shared" si="93"/>
        <v>47.44513879693244</v>
      </c>
      <c r="CB78" s="22">
        <f t="shared" si="64"/>
        <v>412.80345673799064</v>
      </c>
      <c r="CC78" s="62">
        <f t="shared" si="65"/>
        <v>681.46504143781544</v>
      </c>
      <c r="CD78" s="62">
        <f ca="1">AVERAGE(OFFSET($CC$3,0,0,'Données projet'!$E$12+1,1))-AVERAGE(OFFSET($H$3,0,0,'Données projet'!$E$12+1,1))</f>
        <v>287.22548699835653</v>
      </c>
      <c r="CE78" s="62">
        <f t="shared" si="94"/>
        <v>276.01618888357268</v>
      </c>
      <c r="CF78" s="16">
        <f>IF(ISNA(VLOOKUP(A78,'Données projet'!$A$113:$I$133,3,0)),0,VLOOKUP(A78,'Données projet'!$A$113:$I$133,3,0))</f>
        <v>13</v>
      </c>
      <c r="CG78" s="16">
        <f>IF(ISNA(VLOOKUP(A78,'Données projet'!$A$113:$I$133,4,0)),0,VLOOKUP(A78,'Données projet'!$A$113:$I$133,4,0))</f>
        <v>7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238.00000000000011</v>
      </c>
      <c r="O79" s="14">
        <f>N79*VLOOKUP('Données projet'!$B$9,Paramètres!$A$1:$I$89,3,0)*VLOOKUP('Données projet'!$B$9,Paramètres!$A$1:$I$89,5,0)</f>
        <v>241.33200000000014</v>
      </c>
      <c r="P79" s="14">
        <f t="shared" si="87"/>
        <v>58.726024391301159</v>
      </c>
      <c r="Q79" s="22">
        <f t="shared" si="54"/>
        <v>522.60105914818303</v>
      </c>
      <c r="R79" s="62">
        <f t="shared" si="55"/>
        <v>791.69064352903251</v>
      </c>
      <c r="S79" s="62">
        <f ca="1">AVERAGE(OFFSET($R$3,0,0,'Données projet'!$E$9+1,1))-AVERAGE(OFFSET($H$3,0,0,'Données projet'!$E$9+1,1))</f>
        <v>446.90706503298787</v>
      </c>
      <c r="T79" s="62">
        <f t="shared" si="88"/>
        <v>275.54513370838777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291.20000000000005</v>
      </c>
      <c r="AJ79" s="14">
        <f>AI79*VLOOKUP('Données projet'!$B$10,Paramètres!$A$1:$I$89,3,0)*VLOOKUP('Données projet'!$B$10,Paramètres!$A$1:$I$89,5,0)</f>
        <v>195.33696000000003</v>
      </c>
      <c r="AK79" s="14">
        <f t="shared" si="89"/>
        <v>48.717969863105488</v>
      </c>
      <c r="AL79" s="22">
        <f t="shared" si="58"/>
        <v>425.06233617824211</v>
      </c>
      <c r="AM79" s="62">
        <f t="shared" si="59"/>
        <v>694.15192055909154</v>
      </c>
      <c r="AN79" s="62">
        <f ca="1">AVERAGE(OFFSET($AM$3,0,0,'Données projet'!$E$10+1,1))-AVERAGE(OFFSET($H$3,0,0,'Données projet'!$E$10+1,1))</f>
        <v>369.59928463850827</v>
      </c>
      <c r="AO79" s="62">
        <f t="shared" si="90"/>
        <v>236.19165554863852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7.2</v>
      </c>
      <c r="BD79" s="13">
        <f>IF('Données projet'!$A$88&gt;35,BD78+BC79-BL78,IF(A79&lt;'Données projet'!$A$88,$BA$205^A79,IF(A79='Données projet'!$A$88,'Données projet'!$B$88,BD78+BC79-BL78)))</f>
        <v>291.20000000000005</v>
      </c>
      <c r="BE79" s="14">
        <f>BD79*VLOOKUP('Données projet'!$B$11,Paramètres!$A$1:$I$89,3,0)*VLOOKUP('Données projet'!$B$11,Paramètres!$A$1:$I$89,5,0)</f>
        <v>281.64864000000006</v>
      </c>
      <c r="BF79" s="14">
        <f t="shared" si="91"/>
        <v>67.315294774697747</v>
      </c>
      <c r="BG79" s="22">
        <f t="shared" si="61"/>
        <v>607.77885306593191</v>
      </c>
      <c r="BH79" s="62">
        <f t="shared" si="62"/>
        <v>876.8684374467814</v>
      </c>
      <c r="BI79" s="62">
        <f ca="1">AVERAGE(OFFSET($BH$3,0,0,'Données projet'!$E$11+1,1))-AVERAGE(OFFSET($H$3,0,0,'Données projet'!$E$11+1,1))</f>
        <v>500.25828825677058</v>
      </c>
      <c r="BJ79" s="62">
        <f t="shared" si="92"/>
        <v>313.56299786481338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2.2000000000000002</v>
      </c>
      <c r="BY79" s="13">
        <f>IF('Données projet'!$A$114&gt;35,BY78+BX79-CG78,IF(A79&lt;'Données projet'!$A$114,$BV$205^A79,IF(A79='Données projet'!$A$114,'Données projet'!$B$114,BY78+BX79-CG78)))</f>
        <v>212.19999999999993</v>
      </c>
      <c r="BZ79" s="14">
        <f>BY79*VLOOKUP('Données projet'!$B$12,Paramètres!$A$1:$I$89,3,0)*VLOOKUP('Données projet'!$B$12,Paramètres!$A$1:$I$89,5,0)</f>
        <v>185.37791999999996</v>
      </c>
      <c r="CA79" s="14">
        <f t="shared" si="93"/>
        <v>46.516616531004161</v>
      </c>
      <c r="CB79" s="22">
        <f t="shared" si="64"/>
        <v>403.88298445816548</v>
      </c>
      <c r="CC79" s="62">
        <f t="shared" si="65"/>
        <v>672.97256883901491</v>
      </c>
      <c r="CD79" s="62">
        <f ca="1">AVERAGE(OFFSET($CC$3,0,0,'Données projet'!$E$12+1,1))-AVERAGE(OFFSET($H$3,0,0,'Données projet'!$E$12+1,1))</f>
        <v>287.22548699835653</v>
      </c>
      <c r="CE79" s="62">
        <f t="shared" si="94"/>
        <v>276.01618888357268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244.00000000000011</v>
      </c>
      <c r="O80" s="14">
        <f>N80*VLOOKUP('Données projet'!$B$9,Paramètres!$A$1:$I$89,3,0)*VLOOKUP('Données projet'!$B$9,Paramètres!$A$1:$I$89,5,0)</f>
        <v>247.41600000000014</v>
      </c>
      <c r="P80" s="14">
        <f t="shared" si="87"/>
        <v>60.032282000540242</v>
      </c>
      <c r="Q80" s="22">
        <f t="shared" si="54"/>
        <v>535.47242448427448</v>
      </c>
      <c r="R80" s="62">
        <f t="shared" si="55"/>
        <v>804.98258370854683</v>
      </c>
      <c r="S80" s="62">
        <f ca="1">AVERAGE(OFFSET($R$3,0,0,'Données projet'!$E$9+1,1))-AVERAGE(OFFSET($H$3,0,0,'Données projet'!$E$9+1,1))</f>
        <v>446.90706503298787</v>
      </c>
      <c r="T80" s="62">
        <f t="shared" si="88"/>
        <v>275.54513370838777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298.40000000000003</v>
      </c>
      <c r="AJ80" s="14">
        <f>AI80*VLOOKUP('Données projet'!$B$10,Paramètres!$A$1:$I$89,3,0)*VLOOKUP('Données projet'!$B$10,Paramètres!$A$1:$I$89,5,0)</f>
        <v>200.16672000000003</v>
      </c>
      <c r="AK80" s="14">
        <f t="shared" si="89"/>
        <v>49.780805958212774</v>
      </c>
      <c r="AL80" s="22">
        <f t="shared" si="58"/>
        <v>435.32527437722064</v>
      </c>
      <c r="AM80" s="62">
        <f t="shared" si="59"/>
        <v>704.83543360149292</v>
      </c>
      <c r="AN80" s="62">
        <f ca="1">AVERAGE(OFFSET($AM$3,0,0,'Données projet'!$E$10+1,1))-AVERAGE(OFFSET($H$3,0,0,'Données projet'!$E$10+1,1))</f>
        <v>369.59928463850827</v>
      </c>
      <c r="AO80" s="62">
        <f t="shared" si="90"/>
        <v>236.19165554863852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7.2</v>
      </c>
      <c r="BD80" s="13">
        <f>IF('Données projet'!$A$88&gt;35,BD79+BC80-BL79,IF(A80&lt;'Données projet'!$A$88,$BA$205^A80,IF(A80='Données projet'!$A$88,'Données projet'!$B$88,BD79+BC80-BL79)))</f>
        <v>298.40000000000003</v>
      </c>
      <c r="BE80" s="14">
        <f>BD80*VLOOKUP('Données projet'!$B$11,Paramètres!$A$1:$I$89,3,0)*VLOOKUP('Données projet'!$B$11,Paramètres!$A$1:$I$89,5,0)</f>
        <v>288.61248000000001</v>
      </c>
      <c r="BF80" s="14">
        <f t="shared" si="91"/>
        <v>68.783851967051476</v>
      </c>
      <c r="BG80" s="22">
        <f t="shared" si="61"/>
        <v>622.4652781759479</v>
      </c>
      <c r="BH80" s="62">
        <f t="shared" si="62"/>
        <v>891.97543740022024</v>
      </c>
      <c r="BI80" s="62">
        <f ca="1">AVERAGE(OFFSET($BH$3,0,0,'Données projet'!$E$11+1,1))-AVERAGE(OFFSET($H$3,0,0,'Données projet'!$E$11+1,1))</f>
        <v>500.25828825677058</v>
      </c>
      <c r="BJ80" s="62">
        <f t="shared" si="92"/>
        <v>313.56299786481338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2.2000000000000002</v>
      </c>
      <c r="BY80" s="13">
        <f>IF('Données projet'!$A$114&gt;35,BY79+BX80-CG79,IF(A80&lt;'Données projet'!$A$114,$BV$205^A80,IF(A80='Données projet'!$A$114,'Données projet'!$B$114,BY79+BX80-CG79)))</f>
        <v>214.39999999999992</v>
      </c>
      <c r="BZ80" s="14">
        <f>BY80*VLOOKUP('Données projet'!$B$12,Paramètres!$A$1:$I$89,3,0)*VLOOKUP('Données projet'!$B$12,Paramètres!$A$1:$I$89,5,0)</f>
        <v>187.29983999999996</v>
      </c>
      <c r="CA80" s="14">
        <f t="shared" si="93"/>
        <v>46.942489429228111</v>
      </c>
      <c r="CB80" s="22">
        <f t="shared" si="64"/>
        <v>407.97205708923889</v>
      </c>
      <c r="CC80" s="62">
        <f t="shared" si="65"/>
        <v>677.48221631351112</v>
      </c>
      <c r="CD80" s="62">
        <f ca="1">AVERAGE(OFFSET($CC$3,0,0,'Données projet'!$E$12+1,1))-AVERAGE(OFFSET($H$3,0,0,'Données projet'!$E$12+1,1))</f>
        <v>287.22548699835653</v>
      </c>
      <c r="CE80" s="62">
        <f t="shared" si="94"/>
        <v>276.01618888357268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250.00000000000011</v>
      </c>
      <c r="O81" s="14">
        <f>N81*VLOOKUP('Données projet'!$B$9,Paramètres!$A$1:$I$89,3,0)*VLOOKUP('Données projet'!$B$9,Paramètres!$A$1:$I$89,5,0)</f>
        <v>253.50000000000014</v>
      </c>
      <c r="P81" s="14">
        <f t="shared" si="87"/>
        <v>61.334805663162555</v>
      </c>
      <c r="Q81" s="22">
        <f t="shared" si="54"/>
        <v>548.33728653000833</v>
      </c>
      <c r="R81" s="62">
        <f t="shared" si="55"/>
        <v>818.26072456443455</v>
      </c>
      <c r="S81" s="62">
        <f ca="1">AVERAGE(OFFSET($R$3,0,0,'Données projet'!$E$9+1,1))-AVERAGE(OFFSET($H$3,0,0,'Données projet'!$E$9+1,1))</f>
        <v>446.90706503298787</v>
      </c>
      <c r="T81" s="62">
        <f t="shared" si="88"/>
        <v>275.54513370838777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305.60000000000002</v>
      </c>
      <c r="AJ81" s="14">
        <f>AI81*VLOOKUP('Données projet'!$B$10,Paramètres!$A$1:$I$89,3,0)*VLOOKUP('Données projet'!$B$10,Paramètres!$A$1:$I$89,5,0)</f>
        <v>204.99648000000002</v>
      </c>
      <c r="AK81" s="14">
        <f t="shared" si="89"/>
        <v>50.840660876335356</v>
      </c>
      <c r="AL81" s="22">
        <f t="shared" si="58"/>
        <v>445.58302035961742</v>
      </c>
      <c r="AM81" s="62">
        <f t="shared" si="59"/>
        <v>715.50645839404365</v>
      </c>
      <c r="AN81" s="62">
        <f ca="1">AVERAGE(OFFSET($AM$3,0,0,'Données projet'!$E$10+1,1))-AVERAGE(OFFSET($H$3,0,0,'Données projet'!$E$10+1,1))</f>
        <v>369.59928463850827</v>
      </c>
      <c r="AO81" s="62">
        <f t="shared" si="90"/>
        <v>236.19165554863852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7.2</v>
      </c>
      <c r="BD81" s="13">
        <f>IF('Données projet'!$A$88&gt;35,BD80+BC81-BL80,IF(A81&lt;'Données projet'!$A$88,$BA$205^A81,IF(A81='Données projet'!$A$88,'Données projet'!$B$88,BD80+BC81-BL80)))</f>
        <v>305.60000000000002</v>
      </c>
      <c r="BE81" s="14">
        <f>BD81*VLOOKUP('Données projet'!$B$11,Paramètres!$A$1:$I$89,3,0)*VLOOKUP('Données projet'!$B$11,Paramètres!$A$1:$I$89,5,0)</f>
        <v>295.57632000000001</v>
      </c>
      <c r="BF81" s="14">
        <f t="shared" si="91"/>
        <v>70.24828996461811</v>
      </c>
      <c r="BG81" s="22">
        <f t="shared" si="61"/>
        <v>637.1445290217099</v>
      </c>
      <c r="BH81" s="62">
        <f t="shared" si="62"/>
        <v>907.06796705613613</v>
      </c>
      <c r="BI81" s="62">
        <f ca="1">AVERAGE(OFFSET($BH$3,0,0,'Données projet'!$E$11+1,1))-AVERAGE(OFFSET($H$3,0,0,'Données projet'!$E$11+1,1))</f>
        <v>500.25828825677058</v>
      </c>
      <c r="BJ81" s="62">
        <f t="shared" si="92"/>
        <v>313.56299786481338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2.2000000000000002</v>
      </c>
      <c r="BY81" s="13">
        <f>IF('Données projet'!$A$114&gt;35,BY80+BX81-CG80,IF(A81&lt;'Données projet'!$A$114,$BV$205^A81,IF(A81='Données projet'!$A$114,'Données projet'!$B$114,BY80+BX81-CG80)))</f>
        <v>216.59999999999991</v>
      </c>
      <c r="BZ81" s="14">
        <f>BY81*VLOOKUP('Données projet'!$B$12,Paramètres!$A$1:$I$89,3,0)*VLOOKUP('Données projet'!$B$12,Paramètres!$A$1:$I$89,5,0)</f>
        <v>189.22175999999996</v>
      </c>
      <c r="CA81" s="14">
        <f t="shared" si="93"/>
        <v>47.367853957810034</v>
      </c>
      <c r="CB81" s="22">
        <f t="shared" si="64"/>
        <v>412.06024430985235</v>
      </c>
      <c r="CC81" s="62">
        <f t="shared" si="65"/>
        <v>681.98368234427858</v>
      </c>
      <c r="CD81" s="62">
        <f ca="1">AVERAGE(OFFSET($CC$3,0,0,'Données projet'!$E$12+1,1))-AVERAGE(OFFSET($H$3,0,0,'Données projet'!$E$12+1,1))</f>
        <v>287.22548699835653</v>
      </c>
      <c r="CE81" s="62">
        <f t="shared" si="94"/>
        <v>276.01618888357268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256.00000000000011</v>
      </c>
      <c r="O82" s="14">
        <f>N82*VLOOKUP('Données projet'!$B$9,Paramètres!$A$1:$I$89,3,0)*VLOOKUP('Données projet'!$B$9,Paramètres!$A$1:$I$89,5,0)</f>
        <v>259.58400000000017</v>
      </c>
      <c r="P82" s="14">
        <f t="shared" si="87"/>
        <v>62.63369530482359</v>
      </c>
      <c r="Q82" s="22">
        <f t="shared" si="54"/>
        <v>561.19581932256801</v>
      </c>
      <c r="R82" s="62">
        <f t="shared" si="55"/>
        <v>831.52536670374502</v>
      </c>
      <c r="S82" s="62">
        <f ca="1">AVERAGE(OFFSET($R$3,0,0,'Données projet'!$E$9+1,1))-AVERAGE(OFFSET($H$3,0,0,'Données projet'!$E$9+1,1))</f>
        <v>446.90706503298787</v>
      </c>
      <c r="T82" s="62">
        <f t="shared" si="88"/>
        <v>275.54513370838777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312.8</v>
      </c>
      <c r="AJ82" s="14">
        <f>AI82*VLOOKUP('Données projet'!$B$10,Paramètres!$A$1:$I$89,3,0)*VLOOKUP('Données projet'!$B$10,Paramètres!$A$1:$I$89,5,0)</f>
        <v>209.82623999999998</v>
      </c>
      <c r="AK82" s="14">
        <f t="shared" si="89"/>
        <v>51.897612937458547</v>
      </c>
      <c r="AL82" s="22">
        <f t="shared" si="58"/>
        <v>455.83571053274028</v>
      </c>
      <c r="AM82" s="62">
        <f t="shared" si="59"/>
        <v>726.16525791391723</v>
      </c>
      <c r="AN82" s="62">
        <f ca="1">AVERAGE(OFFSET($AM$3,0,0,'Données projet'!$E$10+1,1))-AVERAGE(OFFSET($H$3,0,0,'Données projet'!$E$10+1,1))</f>
        <v>369.59928463850827</v>
      </c>
      <c r="AO82" s="62">
        <f t="shared" si="90"/>
        <v>236.19165554863852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7.2</v>
      </c>
      <c r="BD82" s="13">
        <f>IF('Données projet'!$A$88&gt;35,BD81+BC82-BL81,IF(A82&lt;'Données projet'!$A$88,$BA$205^A82,IF(A82='Données projet'!$A$88,'Données projet'!$B$88,BD81+BC82-BL81)))</f>
        <v>312.8</v>
      </c>
      <c r="BE82" s="14">
        <f>BD82*VLOOKUP('Données projet'!$B$11,Paramètres!$A$1:$I$89,3,0)*VLOOKUP('Données projet'!$B$11,Paramètres!$A$1:$I$89,5,0)</f>
        <v>302.54016000000001</v>
      </c>
      <c r="BF82" s="14">
        <f t="shared" si="91"/>
        <v>71.708716984815311</v>
      </c>
      <c r="BG82" s="22">
        <f t="shared" si="61"/>
        <v>651.81679408188654</v>
      </c>
      <c r="BH82" s="62">
        <f t="shared" si="62"/>
        <v>922.14634146306344</v>
      </c>
      <c r="BI82" s="62">
        <f ca="1">AVERAGE(OFFSET($BH$3,0,0,'Données projet'!$E$11+1,1))-AVERAGE(OFFSET($H$3,0,0,'Données projet'!$E$11+1,1))</f>
        <v>500.25828825677058</v>
      </c>
      <c r="BJ82" s="62">
        <f t="shared" si="92"/>
        <v>313.56299786481338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2.2000000000000002</v>
      </c>
      <c r="BY82" s="13">
        <f>IF('Données projet'!$A$114&gt;35,BY81+BX82-CG81,IF(A82&lt;'Données projet'!$A$114,$BV$205^A82,IF(A82='Données projet'!$A$114,'Données projet'!$B$114,BY81+BX82-CG81)))</f>
        <v>218.7999999999999</v>
      </c>
      <c r="BZ82" s="14">
        <f>BY82*VLOOKUP('Données projet'!$B$12,Paramètres!$A$1:$I$89,3,0)*VLOOKUP('Données projet'!$B$12,Paramètres!$A$1:$I$89,5,0)</f>
        <v>191.14367999999993</v>
      </c>
      <c r="CA82" s="14">
        <f t="shared" si="93"/>
        <v>47.792715878069544</v>
      </c>
      <c r="CB82" s="22">
        <f t="shared" si="64"/>
        <v>416.14755615430431</v>
      </c>
      <c r="CC82" s="62">
        <f t="shared" si="65"/>
        <v>686.47710353548132</v>
      </c>
      <c r="CD82" s="62">
        <f ca="1">AVERAGE(OFFSET($CC$3,0,0,'Données projet'!$E$12+1,1))-AVERAGE(OFFSET($H$3,0,0,'Données projet'!$E$12+1,1))</f>
        <v>287.22548699835653</v>
      </c>
      <c r="CE82" s="62">
        <f t="shared" si="94"/>
        <v>276.01618888357268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262.00000000000011</v>
      </c>
      <c r="O83" s="14">
        <f>N83*VLOOKUP('Données projet'!$B$9,Paramètres!$A$1:$I$89,3,0)*VLOOKUP('Données projet'!$B$9,Paramètres!$A$1:$I$89,5,0)</f>
        <v>265.66800000000012</v>
      </c>
      <c r="P83" s="14">
        <f t="shared" si="87"/>
        <v>63.929045899944406</v>
      </c>
      <c r="Q83" s="22">
        <f t="shared" si="54"/>
        <v>574.04818827573672</v>
      </c>
      <c r="R83" s="62">
        <f t="shared" si="55"/>
        <v>844.77679991442278</v>
      </c>
      <c r="S83" s="62">
        <f ca="1">AVERAGE(OFFSET($R$3,0,0,'Données projet'!$E$9+1,1))-AVERAGE(OFFSET($H$3,0,0,'Données projet'!$E$9+1,1))</f>
        <v>446.90706503298787</v>
      </c>
      <c r="T83" s="62">
        <f t="shared" si="88"/>
        <v>275.54513370838777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320</v>
      </c>
      <c r="AJ83" s="14">
        <f>AI83*VLOOKUP('Données projet'!$B$10,Paramètres!$A$1:$I$89,3,0)*VLOOKUP('Données projet'!$B$10,Paramètres!$A$1:$I$89,5,0)</f>
        <v>214.65600000000001</v>
      </c>
      <c r="AK83" s="14">
        <f t="shared" si="89"/>
        <v>52.951736650296596</v>
      </c>
      <c r="AL83" s="22">
        <f t="shared" si="58"/>
        <v>466.08347466593324</v>
      </c>
      <c r="AM83" s="62">
        <f t="shared" si="59"/>
        <v>736.81208630461936</v>
      </c>
      <c r="AN83" s="62">
        <f ca="1">AVERAGE(OFFSET($AM$3,0,0,'Données projet'!$E$10+1,1))-AVERAGE(OFFSET($H$3,0,0,'Données projet'!$E$10+1,1))</f>
        <v>369.59928463850827</v>
      </c>
      <c r="AO83" s="62">
        <f t="shared" si="90"/>
        <v>236.19165554863852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28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320</v>
      </c>
      <c r="BB83" s="13">
        <f>VLOOKUP(A83,'Données projet'!$A$87:$I$107,9,0)</f>
        <v>7.2</v>
      </c>
      <c r="BC83" s="13">
        <f t="array" ref="BC83">INDEX(BB:BB,MIN(IF(ISNUMBER(BB83:BB279),ROW(BB83:BB279),"")))</f>
        <v>7.2</v>
      </c>
      <c r="BD83" s="13">
        <f>IF('Données projet'!$A$88&gt;35,BD82+BC83-BL82,IF(A83&lt;'Données projet'!$A$88,$BA$205^A83,IF(A83='Données projet'!$A$88,'Données projet'!$B$88,BD82+BC83-BL82)))</f>
        <v>320</v>
      </c>
      <c r="BE83" s="14">
        <f>BD83*VLOOKUP('Données projet'!$B$11,Paramètres!$A$1:$I$89,3,0)*VLOOKUP('Données projet'!$B$11,Paramètres!$A$1:$I$89,5,0)</f>
        <v>309.50400000000002</v>
      </c>
      <c r="BF83" s="14">
        <f t="shared" si="91"/>
        <v>73.165235978896504</v>
      </c>
      <c r="BG83" s="22">
        <f t="shared" si="61"/>
        <v>666.48225266324471</v>
      </c>
      <c r="BH83" s="62">
        <f t="shared" si="62"/>
        <v>937.21086430193077</v>
      </c>
      <c r="BI83" s="62">
        <f ca="1">AVERAGE(OFFSET($BH$3,0,0,'Données projet'!$E$11+1,1))-AVERAGE(OFFSET($H$3,0,0,'Données projet'!$E$11+1,1))</f>
        <v>500.25828825677058</v>
      </c>
      <c r="BJ83" s="62">
        <f t="shared" si="92"/>
        <v>313.56299786481338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28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221</v>
      </c>
      <c r="BW83" s="13">
        <f>VLOOKUP(A83,'Données projet'!$A$113:$I$133,9,0)</f>
        <v>2.2000000000000002</v>
      </c>
      <c r="BX83" s="13">
        <f t="array" ref="BX83">INDEX(BW:BW,MIN(IF(ISNUMBER(BW83:BW279),ROW(BW83:BW279),"")))</f>
        <v>2.2000000000000002</v>
      </c>
      <c r="BY83" s="13">
        <f>IF('Données projet'!$A$114&gt;35,BY82+BX83-CG82,IF(A83&lt;'Données projet'!$A$114,$BV$205^A83,IF(A83='Données projet'!$A$114,'Données projet'!$B$114,BY82+BX83-CG82)))</f>
        <v>220.99999999999989</v>
      </c>
      <c r="BZ83" s="14">
        <f>BY83*VLOOKUP('Données projet'!$B$12,Paramètres!$A$1:$I$89,3,0)*VLOOKUP('Données projet'!$B$12,Paramètres!$A$1:$I$89,5,0)</f>
        <v>193.06559999999993</v>
      </c>
      <c r="CA83" s="14">
        <f t="shared" si="93"/>
        <v>48.217080828790415</v>
      </c>
      <c r="CB83" s="22">
        <f t="shared" si="64"/>
        <v>420.23400244347653</v>
      </c>
      <c r="CC83" s="62">
        <f t="shared" si="65"/>
        <v>690.96261408216264</v>
      </c>
      <c r="CD83" s="62">
        <f ca="1">AVERAGE(OFFSET($CC$3,0,0,'Données projet'!$E$12+1,1))-AVERAGE(OFFSET($H$3,0,0,'Données projet'!$E$12+1,1))</f>
        <v>287.22548699835653</v>
      </c>
      <c r="CE83" s="62">
        <f t="shared" si="94"/>
        <v>276.01618888357268</v>
      </c>
      <c r="CF83" s="16">
        <f>IF(ISNA(VLOOKUP(A83,'Données projet'!$A$113:$I$133,3,0)),0,VLOOKUP(A83,'Données projet'!$A$113:$I$133,3,0))</f>
        <v>14</v>
      </c>
      <c r="CG83" s="16">
        <f>IF(ISNA(VLOOKUP(A83,'Données projet'!$A$113:$I$133,4,0)),0,VLOOKUP(A83,'Données projet'!$A$113:$I$133,4,0))</f>
        <v>221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246.60000000000014</v>
      </c>
      <c r="O84" s="14">
        <f>N84*VLOOKUP('Données projet'!$B$9,Paramètres!$A$1:$I$89,3,0)*VLOOKUP('Données projet'!$B$9,Paramètres!$A$1:$I$89,5,0)</f>
        <v>250.05240000000018</v>
      </c>
      <c r="P84" s="14">
        <f t="shared" si="87"/>
        <v>60.597161386823522</v>
      </c>
      <c r="Q84" s="22">
        <f t="shared" si="54"/>
        <v>541.04798608205112</v>
      </c>
      <c r="R84" s="62">
        <f t="shared" si="55"/>
        <v>812.1687391055525</v>
      </c>
      <c r="S84" s="62">
        <f ca="1">AVERAGE(OFFSET($R$3,0,0,'Données projet'!$E$9+1,1))-AVERAGE(OFFSET($H$3,0,0,'Données projet'!$E$9+1,1))</f>
        <v>446.90706503298787</v>
      </c>
      <c r="T84" s="62">
        <f t="shared" si="88"/>
        <v>275.54513370838777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6.8</v>
      </c>
      <c r="AI84" s="14">
        <f>IF('Données projet'!$A$62&gt;35,AI83+AH84-AQ83,IF(A84&lt;'Données projet'!$A$62,$AF$205^A84,IF(A84='Données projet'!$A$62,'Données projet'!$B$62,AI83+AH84-AQ83)))</f>
        <v>298.8</v>
      </c>
      <c r="AJ84" s="14">
        <f>AI84*VLOOKUP('Données projet'!$B$10,Paramètres!$A$1:$I$89,3,0)*VLOOKUP('Données projet'!$B$10,Paramètres!$A$1:$I$89,5,0)</f>
        <v>200.43504000000001</v>
      </c>
      <c r="AK84" s="14">
        <f t="shared" si="89"/>
        <v>49.83976425608784</v>
      </c>
      <c r="AL84" s="22">
        <f t="shared" si="58"/>
        <v>435.89528407935296</v>
      </c>
      <c r="AM84" s="62">
        <f t="shared" si="59"/>
        <v>707.0160371028544</v>
      </c>
      <c r="AN84" s="62">
        <f ca="1">AVERAGE(OFFSET($AM$3,0,0,'Données projet'!$E$10+1,1))-AVERAGE(OFFSET($H$3,0,0,'Données projet'!$E$10+1,1))</f>
        <v>369.59928463850827</v>
      </c>
      <c r="AO84" s="62">
        <f t="shared" si="90"/>
        <v>236.19165554863852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6.8</v>
      </c>
      <c r="BD84" s="13">
        <f>IF('Données projet'!$A$88&gt;35,BD83+BC84-BL83,IF(A84&lt;'Données projet'!$A$88,$BA$205^A84,IF(A84='Données projet'!$A$88,'Données projet'!$B$88,BD83+BC84-BL83)))</f>
        <v>298.8</v>
      </c>
      <c r="BE84" s="14">
        <f>BD84*VLOOKUP('Données projet'!$B$11,Paramètres!$A$1:$I$89,3,0)*VLOOKUP('Données projet'!$B$11,Paramètres!$A$1:$I$89,5,0)</f>
        <v>288.99936000000002</v>
      </c>
      <c r="BF84" s="14">
        <f t="shared" si="91"/>
        <v>68.86531667529006</v>
      </c>
      <c r="BG84" s="22">
        <f t="shared" si="61"/>
        <v>623.2809785427969</v>
      </c>
      <c r="BH84" s="62">
        <f t="shared" si="62"/>
        <v>894.40173156629839</v>
      </c>
      <c r="BI84" s="62">
        <f ca="1">AVERAGE(OFFSET($BH$3,0,0,'Données projet'!$E$11+1,1))-AVERAGE(OFFSET($H$3,0,0,'Données projet'!$E$11+1,1))</f>
        <v>500.25828825677058</v>
      </c>
      <c r="BJ84" s="62">
        <f t="shared" si="92"/>
        <v>313.56299786481338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-1.1368683772161603E-13</v>
      </c>
      <c r="BZ84" s="14">
        <f>BY84*VLOOKUP('Données projet'!$B$12,Paramètres!$A$1:$I$89,3,0)*VLOOKUP('Données projet'!$B$12,Paramètres!$A$1:$I$89,5,0)</f>
        <v>-9.9316821433603781E-14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287.22548699835653</v>
      </c>
      <c r="CE84" s="62">
        <f t="shared" si="94"/>
        <v>276.01618888357268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252.20000000000013</v>
      </c>
      <c r="O85" s="14">
        <f>N85*VLOOKUP('Données projet'!$B$9,Paramètres!$A$1:$I$89,3,0)*VLOOKUP('Données projet'!$B$9,Paramètres!$A$1:$I$89,5,0)</f>
        <v>255.73080000000016</v>
      </c>
      <c r="P85" s="14">
        <f t="shared" si="87"/>
        <v>61.811482021795285</v>
      </c>
      <c r="Q85" s="22">
        <f t="shared" si="54"/>
        <v>553.05280785462708</v>
      </c>
      <c r="R85" s="62">
        <f t="shared" si="55"/>
        <v>824.55889948661411</v>
      </c>
      <c r="S85" s="62">
        <f ca="1">AVERAGE(OFFSET($R$3,0,0,'Données projet'!$E$9+1,1))-AVERAGE(OFFSET($H$3,0,0,'Données projet'!$E$9+1,1))</f>
        <v>446.90706503298787</v>
      </c>
      <c r="T85" s="62">
        <f t="shared" si="88"/>
        <v>275.54513370838777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6.8</v>
      </c>
      <c r="AI85" s="14">
        <f>IF('Données projet'!$A$62&gt;35,AI84+AH85-AQ84,IF(A85&lt;'Données projet'!$A$62,$AF$205^A85,IF(A85='Données projet'!$A$62,'Données projet'!$B$62,AI84+AH85-AQ84)))</f>
        <v>305.60000000000002</v>
      </c>
      <c r="AJ85" s="14">
        <f>AI85*VLOOKUP('Données projet'!$B$10,Paramètres!$A$1:$I$89,3,0)*VLOOKUP('Données projet'!$B$10,Paramètres!$A$1:$I$89,5,0)</f>
        <v>204.99648000000002</v>
      </c>
      <c r="AK85" s="14">
        <f t="shared" si="89"/>
        <v>50.840660876335356</v>
      </c>
      <c r="AL85" s="22">
        <f t="shared" si="58"/>
        <v>445.58302035961742</v>
      </c>
      <c r="AM85" s="62">
        <f t="shared" si="59"/>
        <v>717.08911199160445</v>
      </c>
      <c r="AN85" s="62">
        <f ca="1">AVERAGE(OFFSET($AM$3,0,0,'Données projet'!$E$10+1,1))-AVERAGE(OFFSET($H$3,0,0,'Données projet'!$E$10+1,1))</f>
        <v>369.59928463850827</v>
      </c>
      <c r="AO85" s="62">
        <f t="shared" si="90"/>
        <v>236.19165554863852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6.8</v>
      </c>
      <c r="BD85" s="13">
        <f>IF('Données projet'!$A$88&gt;35,BD84+BC85-BL84,IF(A85&lt;'Données projet'!$A$88,$BA$205^A85,IF(A85='Données projet'!$A$88,'Données projet'!$B$88,BD84+BC85-BL84)))</f>
        <v>305.60000000000002</v>
      </c>
      <c r="BE85" s="14">
        <f>BD85*VLOOKUP('Données projet'!$B$11,Paramètres!$A$1:$I$89,3,0)*VLOOKUP('Données projet'!$B$11,Paramètres!$A$1:$I$89,5,0)</f>
        <v>295.57632000000001</v>
      </c>
      <c r="BF85" s="14">
        <f t="shared" si="91"/>
        <v>70.24828996461811</v>
      </c>
      <c r="BG85" s="22">
        <f t="shared" si="61"/>
        <v>637.1445290217099</v>
      </c>
      <c r="BH85" s="62">
        <f t="shared" si="62"/>
        <v>908.65062065369693</v>
      </c>
      <c r="BI85" s="62">
        <f ca="1">AVERAGE(OFFSET($BH$3,0,0,'Données projet'!$E$11+1,1))-AVERAGE(OFFSET($H$3,0,0,'Données projet'!$E$11+1,1))</f>
        <v>500.25828825677058</v>
      </c>
      <c r="BJ85" s="62">
        <f t="shared" si="92"/>
        <v>313.56299786481338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-1.1368683772161603E-13</v>
      </c>
      <c r="BZ85" s="14">
        <f>BY85*VLOOKUP('Données projet'!$B$12,Paramètres!$A$1:$I$89,3,0)*VLOOKUP('Données projet'!$B$12,Paramètres!$A$1:$I$89,5,0)</f>
        <v>-9.9316821433603781E-14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287.22548699835653</v>
      </c>
      <c r="CE85" s="62">
        <f t="shared" si="94"/>
        <v>276.01618888357268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257.80000000000013</v>
      </c>
      <c r="O86" s="14">
        <f>N86*VLOOKUP('Données projet'!$B$9,Paramètres!$A$1:$I$89,3,0)*VLOOKUP('Données projet'!$B$9,Paramètres!$A$1:$I$89,5,0)</f>
        <v>261.40920000000011</v>
      </c>
      <c r="P86" s="14">
        <f t="shared" si="87"/>
        <v>63.022667885185157</v>
      </c>
      <c r="Q86" s="22">
        <f t="shared" si="54"/>
        <v>565.052169900031</v>
      </c>
      <c r="R86" s="62">
        <f t="shared" si="55"/>
        <v>836.93691537713448</v>
      </c>
      <c r="S86" s="62">
        <f ca="1">AVERAGE(OFFSET($R$3,0,0,'Données projet'!$E$9+1,1))-AVERAGE(OFFSET($H$3,0,0,'Données projet'!$E$9+1,1))</f>
        <v>446.90706503298787</v>
      </c>
      <c r="T86" s="62">
        <f t="shared" si="88"/>
        <v>275.54513370838777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6.8</v>
      </c>
      <c r="AI86" s="14">
        <f>IF('Données projet'!$A$62&gt;35,AI85+AH86-AQ85,IF(A86&lt;'Données projet'!$A$62,$AF$205^A86,IF(A86='Données projet'!$A$62,'Données projet'!$B$62,AI85+AH86-AQ85)))</f>
        <v>312.40000000000003</v>
      </c>
      <c r="AJ86" s="14">
        <f>AI86*VLOOKUP('Données projet'!$B$10,Paramètres!$A$1:$I$89,3,0)*VLOOKUP('Données projet'!$B$10,Paramètres!$A$1:$I$89,5,0)</f>
        <v>209.55792000000005</v>
      </c>
      <c r="AK86" s="14">
        <f t="shared" si="89"/>
        <v>51.838968250395396</v>
      </c>
      <c r="AL86" s="22">
        <f t="shared" si="58"/>
        <v>455.26624703610543</v>
      </c>
      <c r="AM86" s="62">
        <f t="shared" si="59"/>
        <v>727.15099251320885</v>
      </c>
      <c r="AN86" s="62">
        <f ca="1">AVERAGE(OFFSET($AM$3,0,0,'Données projet'!$E$10+1,1))-AVERAGE(OFFSET($H$3,0,0,'Données projet'!$E$10+1,1))</f>
        <v>369.59928463850827</v>
      </c>
      <c r="AO86" s="62">
        <f t="shared" si="90"/>
        <v>236.19165554863852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6.8</v>
      </c>
      <c r="BD86" s="13">
        <f>IF('Données projet'!$A$88&gt;35,BD85+BC86-BL85,IF(A86&lt;'Données projet'!$A$88,$BA$205^A86,IF(A86='Données projet'!$A$88,'Données projet'!$B$88,BD85+BC86-BL85)))</f>
        <v>312.40000000000003</v>
      </c>
      <c r="BE86" s="14">
        <f>BD86*VLOOKUP('Données projet'!$B$11,Paramètres!$A$1:$I$89,3,0)*VLOOKUP('Données projet'!$B$11,Paramètres!$A$1:$I$89,5,0)</f>
        <v>302.15328000000005</v>
      </c>
      <c r="BF86" s="14">
        <f t="shared" si="91"/>
        <v>71.627685603423203</v>
      </c>
      <c r="BG86" s="22">
        <f t="shared" si="61"/>
        <v>651.00184842596218</v>
      </c>
      <c r="BH86" s="62">
        <f t="shared" si="62"/>
        <v>922.88659390306566</v>
      </c>
      <c r="BI86" s="62">
        <f ca="1">AVERAGE(OFFSET($BH$3,0,0,'Données projet'!$E$11+1,1))-AVERAGE(OFFSET($H$3,0,0,'Données projet'!$E$11+1,1))</f>
        <v>500.25828825677058</v>
      </c>
      <c r="BJ86" s="62">
        <f t="shared" si="92"/>
        <v>313.56299786481338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-1.1368683772161603E-13</v>
      </c>
      <c r="BZ86" s="14">
        <f>BY86*VLOOKUP('Données projet'!$B$12,Paramètres!$A$1:$I$89,3,0)*VLOOKUP('Données projet'!$B$12,Paramètres!$A$1:$I$89,5,0)</f>
        <v>-9.9316821433603781E-14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287.22548699835653</v>
      </c>
      <c r="CE86" s="62">
        <f t="shared" si="94"/>
        <v>276.01618888357268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263.40000000000015</v>
      </c>
      <c r="O87" s="14">
        <f>N87*VLOOKUP('Données projet'!$B$9,Paramètres!$A$1:$I$89,3,0)*VLOOKUP('Données projet'!$B$9,Paramètres!$A$1:$I$89,5,0)</f>
        <v>267.08760000000018</v>
      </c>
      <c r="P87" s="14">
        <f t="shared" si="87"/>
        <v>64.230794913549914</v>
      </c>
      <c r="Q87" s="22">
        <f t="shared" si="54"/>
        <v>577.04620447443301</v>
      </c>
      <c r="R87" s="62">
        <f t="shared" si="55"/>
        <v>849.30303499898332</v>
      </c>
      <c r="S87" s="62">
        <f ca="1">AVERAGE(OFFSET($R$3,0,0,'Données projet'!$E$9+1,1))-AVERAGE(OFFSET($H$3,0,0,'Données projet'!$E$9+1,1))</f>
        <v>446.90706503298787</v>
      </c>
      <c r="T87" s="62">
        <f t="shared" si="88"/>
        <v>275.54513370838777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6.8</v>
      </c>
      <c r="AI87" s="14">
        <f>IF('Données projet'!$A$62&gt;35,AI86+AH87-AQ86,IF(A87&lt;'Données projet'!$A$62,$AF$205^A87,IF(A87='Données projet'!$A$62,'Données projet'!$B$62,AI86+AH87-AQ86)))</f>
        <v>319.20000000000005</v>
      </c>
      <c r="AJ87" s="14">
        <f>AI87*VLOOKUP('Données projet'!$B$10,Paramètres!$A$1:$I$89,3,0)*VLOOKUP('Données projet'!$B$10,Paramètres!$A$1:$I$89,5,0)</f>
        <v>214.11936000000006</v>
      </c>
      <c r="AK87" s="14">
        <f t="shared" si="89"/>
        <v>52.834749228990397</v>
      </c>
      <c r="AL87" s="22">
        <f t="shared" si="58"/>
        <v>464.94507357382503</v>
      </c>
      <c r="AM87" s="62">
        <f t="shared" si="59"/>
        <v>737.20190409837528</v>
      </c>
      <c r="AN87" s="62">
        <f ca="1">AVERAGE(OFFSET($AM$3,0,0,'Données projet'!$E$10+1,1))-AVERAGE(OFFSET($H$3,0,0,'Données projet'!$E$10+1,1))</f>
        <v>369.59928463850827</v>
      </c>
      <c r="AO87" s="62">
        <f t="shared" si="90"/>
        <v>236.19165554863852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6.8</v>
      </c>
      <c r="BD87" s="13">
        <f>IF('Données projet'!$A$88&gt;35,BD86+BC87-BL86,IF(A87&lt;'Données projet'!$A$88,$BA$205^A87,IF(A87='Données projet'!$A$88,'Données projet'!$B$88,BD86+BC87-BL86)))</f>
        <v>319.20000000000005</v>
      </c>
      <c r="BE87" s="14">
        <f>BD87*VLOOKUP('Données projet'!$B$11,Paramètres!$A$1:$I$89,3,0)*VLOOKUP('Données projet'!$B$11,Paramètres!$A$1:$I$89,5,0)</f>
        <v>308.73024000000004</v>
      </c>
      <c r="BF87" s="14">
        <f t="shared" si="91"/>
        <v>73.003590434710574</v>
      </c>
      <c r="BG87" s="22">
        <f t="shared" si="61"/>
        <v>664.85308800712107</v>
      </c>
      <c r="BH87" s="62">
        <f t="shared" si="62"/>
        <v>937.10991853167138</v>
      </c>
      <c r="BI87" s="62">
        <f ca="1">AVERAGE(OFFSET($BH$3,0,0,'Données projet'!$E$11+1,1))-AVERAGE(OFFSET($H$3,0,0,'Données projet'!$E$11+1,1))</f>
        <v>500.25828825677058</v>
      </c>
      <c r="BJ87" s="62">
        <f t="shared" si="92"/>
        <v>313.56299786481338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-1.1368683772161603E-13</v>
      </c>
      <c r="BZ87" s="14">
        <f>BY87*VLOOKUP('Données projet'!$B$12,Paramètres!$A$1:$I$89,3,0)*VLOOKUP('Données projet'!$B$12,Paramètres!$A$1:$I$89,5,0)</f>
        <v>-9.9316821433603781E-14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287.22548699835653</v>
      </c>
      <c r="CE87" s="62">
        <f t="shared" si="94"/>
        <v>276.01618888357268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5.6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269.00000000000017</v>
      </c>
      <c r="O88" s="14">
        <f>N88*VLOOKUP('Données projet'!$B$9,Paramètres!$A$1:$I$89,3,0)*VLOOKUP('Données projet'!$B$9,Paramètres!$A$1:$I$89,5,0)</f>
        <v>272.76600000000019</v>
      </c>
      <c r="P88" s="14">
        <f t="shared" si="87"/>
        <v>65.435935630087627</v>
      </c>
      <c r="Q88" s="22">
        <f t="shared" si="54"/>
        <v>589.03503788906949</v>
      </c>
      <c r="R88" s="62">
        <f t="shared" si="55"/>
        <v>861.65749861735094</v>
      </c>
      <c r="S88" s="62">
        <f ca="1">AVERAGE(OFFSET($R$3,0,0,'Données projet'!$E$9+1,1))-AVERAGE(OFFSET($H$3,0,0,'Données projet'!$E$9+1,1))</f>
        <v>446.90706503298787</v>
      </c>
      <c r="T88" s="62">
        <f t="shared" si="88"/>
        <v>275.54513370838777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326</v>
      </c>
      <c r="AG88" s="13">
        <f>VLOOKUP(A88,'Données projet'!$A$61:$I$81,9,0)</f>
        <v>6.8</v>
      </c>
      <c r="AH88" s="13">
        <f t="array" ref="AH88">INDEX(AG:AG,MIN(IF(ISNUMBER(AG88:AG284),ROW(AG88:AG284),"")))</f>
        <v>6.8</v>
      </c>
      <c r="AI88" s="14">
        <f>IF('Données projet'!$A$62&gt;35,AI87+AH88-AQ87,IF(A88&lt;'Données projet'!$A$62,$AF$205^A88,IF(A88='Données projet'!$A$62,'Données projet'!$B$62,AI87+AH88-AQ87)))</f>
        <v>326.00000000000006</v>
      </c>
      <c r="AJ88" s="14">
        <f>AI88*VLOOKUP('Données projet'!$B$10,Paramètres!$A$1:$I$89,3,0)*VLOOKUP('Données projet'!$B$10,Paramètres!$A$1:$I$89,5,0)</f>
        <v>218.68080000000006</v>
      </c>
      <c r="AK88" s="14">
        <f t="shared" si="89"/>
        <v>53.828063832009121</v>
      </c>
      <c r="AL88" s="22">
        <f t="shared" si="58"/>
        <v>474.61960450741594</v>
      </c>
      <c r="AM88" s="62">
        <f t="shared" si="59"/>
        <v>747.24206523569751</v>
      </c>
      <c r="AN88" s="62">
        <f ca="1">AVERAGE(OFFSET($AM$3,0,0,'Données projet'!$E$10+1,1))-AVERAGE(OFFSET($H$3,0,0,'Données projet'!$E$10+1,1))</f>
        <v>369.59928463850827</v>
      </c>
      <c r="AO88" s="62">
        <f t="shared" si="90"/>
        <v>236.19165554863852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28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326</v>
      </c>
      <c r="BB88" s="13">
        <f>VLOOKUP(A88,'Données projet'!$A$87:$I$107,9,0)</f>
        <v>6.8</v>
      </c>
      <c r="BC88" s="13">
        <f t="array" ref="BC88">INDEX(BB:BB,MIN(IF(ISNUMBER(BB88:BB284),ROW(BB88:BB284),"")))</f>
        <v>6.8</v>
      </c>
      <c r="BD88" s="13">
        <f>IF('Données projet'!$A$88&gt;35,BD87+BC88-BL87,IF(A88&lt;'Données projet'!$A$88,$BA$205^A88,IF(A88='Données projet'!$A$88,'Données projet'!$B$88,BD87+BC88-BL87)))</f>
        <v>326.00000000000006</v>
      </c>
      <c r="BE88" s="14">
        <f>BD88*VLOOKUP('Données projet'!$B$11,Paramètres!$A$1:$I$89,3,0)*VLOOKUP('Données projet'!$B$11,Paramètres!$A$1:$I$89,5,0)</f>
        <v>315.30720000000008</v>
      </c>
      <c r="BF88" s="14">
        <f t="shared" si="91"/>
        <v>74.376087390025049</v>
      </c>
      <c r="BG88" s="22">
        <f t="shared" si="61"/>
        <v>678.69839220429378</v>
      </c>
      <c r="BH88" s="62">
        <f t="shared" si="62"/>
        <v>951.32085293257524</v>
      </c>
      <c r="BI88" s="62">
        <f ca="1">AVERAGE(OFFSET($BH$3,0,0,'Données projet'!$E$11+1,1))-AVERAGE(OFFSET($H$3,0,0,'Données projet'!$E$11+1,1))</f>
        <v>500.25828825677058</v>
      </c>
      <c r="BJ88" s="62">
        <f t="shared" si="92"/>
        <v>313.56299786481338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28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-1.1368683772161603E-13</v>
      </c>
      <c r="BZ88" s="14">
        <f>BY88*VLOOKUP('Données projet'!$B$12,Paramètres!$A$1:$I$89,3,0)*VLOOKUP('Données projet'!$B$12,Paramètres!$A$1:$I$89,5,0)</f>
        <v>-9.9316821433603781E-14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287.22548699835653</v>
      </c>
      <c r="CE88" s="62">
        <f t="shared" si="94"/>
        <v>276.01618888357268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253.40000000000015</v>
      </c>
      <c r="O89" s="14">
        <f>N89*VLOOKUP('Données projet'!$B$9,Paramètres!$A$1:$I$89,3,0)*VLOOKUP('Données projet'!$B$9,Paramètres!$A$1:$I$89,5,0)</f>
        <v>256.94760000000014</v>
      </c>
      <c r="P89" s="14">
        <f t="shared" si="87"/>
        <v>62.071283104858303</v>
      </c>
      <c r="Q89" s="22">
        <f t="shared" si="54"/>
        <v>555.6245547409618</v>
      </c>
      <c r="R89" s="62">
        <f t="shared" si="55"/>
        <v>828.60630280636656</v>
      </c>
      <c r="S89" s="62">
        <f ca="1">AVERAGE(OFFSET($R$3,0,0,'Données projet'!$E$9+1,1))-AVERAGE(OFFSET($H$3,0,0,'Données projet'!$E$9+1,1))</f>
        <v>446.90706503298787</v>
      </c>
      <c r="T89" s="62">
        <f t="shared" si="88"/>
        <v>275.54513370838777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6.4</v>
      </c>
      <c r="AI89" s="14">
        <f>IF('Données projet'!$A$62&gt;35,AI88+AH89-AQ88,IF(A89&lt;'Données projet'!$A$62,$AF$205^A89,IF(A89='Données projet'!$A$62,'Données projet'!$B$62,AI88+AH89-AQ88)))</f>
        <v>304.40000000000003</v>
      </c>
      <c r="AJ89" s="14">
        <f>AI89*VLOOKUP('Données projet'!$B$10,Paramètres!$A$1:$I$89,3,0)*VLOOKUP('Données projet'!$B$10,Paramètres!$A$1:$I$89,5,0)</f>
        <v>204.19152000000005</v>
      </c>
      <c r="AK89" s="14">
        <f t="shared" si="89"/>
        <v>50.66422204371576</v>
      </c>
      <c r="AL89" s="22">
        <f t="shared" si="58"/>
        <v>443.87375072613833</v>
      </c>
      <c r="AM89" s="62">
        <f t="shared" si="59"/>
        <v>716.85549879154303</v>
      </c>
      <c r="AN89" s="62">
        <f ca="1">AVERAGE(OFFSET($AM$3,0,0,'Données projet'!$E$10+1,1))-AVERAGE(OFFSET($H$3,0,0,'Données projet'!$E$10+1,1))</f>
        <v>369.59928463850827</v>
      </c>
      <c r="AO89" s="62">
        <f t="shared" si="90"/>
        <v>236.19165554863852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6.4</v>
      </c>
      <c r="BD89" s="13">
        <f>IF('Données projet'!$A$88&gt;35,BD88+BC89-BL88,IF(A89&lt;'Données projet'!$A$88,$BA$205^A89,IF(A89='Données projet'!$A$88,'Données projet'!$B$88,BD88+BC89-BL88)))</f>
        <v>304.40000000000003</v>
      </c>
      <c r="BE89" s="14">
        <f>BD89*VLOOKUP('Données projet'!$B$11,Paramètres!$A$1:$I$89,3,0)*VLOOKUP('Données projet'!$B$11,Paramètres!$A$1:$I$89,5,0)</f>
        <v>294.41568000000001</v>
      </c>
      <c r="BF89" s="14">
        <f t="shared" si="91"/>
        <v>70.004498360393455</v>
      </c>
      <c r="BG89" s="22">
        <f t="shared" si="61"/>
        <v>634.69847731101868</v>
      </c>
      <c r="BH89" s="62">
        <f t="shared" si="62"/>
        <v>907.68022537642332</v>
      </c>
      <c r="BI89" s="62">
        <f ca="1">AVERAGE(OFFSET($BH$3,0,0,'Données projet'!$E$11+1,1))-AVERAGE(OFFSET($H$3,0,0,'Données projet'!$E$11+1,1))</f>
        <v>500.25828825677058</v>
      </c>
      <c r="BJ89" s="62">
        <f t="shared" si="92"/>
        <v>313.56299786481338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-1.1368683772161603E-13</v>
      </c>
      <c r="BZ89" s="14">
        <f>BY89*VLOOKUP('Données projet'!$B$12,Paramètres!$A$1:$I$89,3,0)*VLOOKUP('Données projet'!$B$12,Paramètres!$A$1:$I$89,5,0)</f>
        <v>-9.9316821433603781E-14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287.22548699835653</v>
      </c>
      <c r="CE89" s="62">
        <f t="shared" si="94"/>
        <v>276.01618888357268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258.80000000000013</v>
      </c>
      <c r="O90" s="14">
        <f>N90*VLOOKUP('Données projet'!$B$9,Paramètres!$A$1:$I$89,3,0)*VLOOKUP('Données projet'!$B$9,Paramètres!$A$1:$I$89,5,0)</f>
        <v>262.42320000000012</v>
      </c>
      <c r="P90" s="14">
        <f t="shared" si="87"/>
        <v>63.23862706204779</v>
      </c>
      <c r="Q90" s="22">
        <f t="shared" si="54"/>
        <v>567.19434879973335</v>
      </c>
      <c r="R90" s="62">
        <f t="shared" si="55"/>
        <v>840.52915137020818</v>
      </c>
      <c r="S90" s="62">
        <f ca="1">AVERAGE(OFFSET($R$3,0,0,'Données projet'!$E$9+1,1))-AVERAGE(OFFSET($H$3,0,0,'Données projet'!$E$9+1,1))</f>
        <v>446.90706503298787</v>
      </c>
      <c r="T90" s="62">
        <f t="shared" si="88"/>
        <v>275.54513370838777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6.4</v>
      </c>
      <c r="AI90" s="14">
        <f>IF('Données projet'!$A$62&gt;35,AI89+AH90-AQ89,IF(A90&lt;'Données projet'!$A$62,$AF$205^A90,IF(A90='Données projet'!$A$62,'Données projet'!$B$62,AI89+AH90-AQ89)))</f>
        <v>310.8</v>
      </c>
      <c r="AJ90" s="14">
        <f>AI90*VLOOKUP('Données projet'!$B$10,Paramètres!$A$1:$I$89,3,0)*VLOOKUP('Données projet'!$B$10,Paramètres!$A$1:$I$89,5,0)</f>
        <v>208.48464000000001</v>
      </c>
      <c r="AK90" s="14">
        <f t="shared" si="89"/>
        <v>51.60430196645396</v>
      </c>
      <c r="AL90" s="22">
        <f t="shared" si="58"/>
        <v>452.98824059157391</v>
      </c>
      <c r="AM90" s="62">
        <f t="shared" si="59"/>
        <v>726.32304316204875</v>
      </c>
      <c r="AN90" s="62">
        <f ca="1">AVERAGE(OFFSET($AM$3,0,0,'Données projet'!$E$10+1,1))-AVERAGE(OFFSET($H$3,0,0,'Données projet'!$E$10+1,1))</f>
        <v>369.59928463850827</v>
      </c>
      <c r="AO90" s="62">
        <f t="shared" si="90"/>
        <v>236.19165554863852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6.4</v>
      </c>
      <c r="BD90" s="13">
        <f>IF('Données projet'!$A$88&gt;35,BD89+BC90-BL89,IF(A90&lt;'Données projet'!$A$88,$BA$205^A90,IF(A90='Données projet'!$A$88,'Données projet'!$B$88,BD89+BC90-BL89)))</f>
        <v>310.8</v>
      </c>
      <c r="BE90" s="14">
        <f>BD90*VLOOKUP('Données projet'!$B$11,Paramètres!$A$1:$I$89,3,0)*VLOOKUP('Données projet'!$B$11,Paramètres!$A$1:$I$89,5,0)</f>
        <v>300.60576000000003</v>
      </c>
      <c r="BF90" s="14">
        <f t="shared" si="91"/>
        <v>71.303439126782422</v>
      </c>
      <c r="BG90" s="22">
        <f t="shared" si="61"/>
        <v>647.74185514581279</v>
      </c>
      <c r="BH90" s="62">
        <f t="shared" si="62"/>
        <v>921.07665771628763</v>
      </c>
      <c r="BI90" s="62">
        <f ca="1">AVERAGE(OFFSET($BH$3,0,0,'Données projet'!$E$11+1,1))-AVERAGE(OFFSET($H$3,0,0,'Données projet'!$E$11+1,1))</f>
        <v>500.25828825677058</v>
      </c>
      <c r="BJ90" s="62">
        <f t="shared" si="92"/>
        <v>313.56299786481338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-1.1368683772161603E-13</v>
      </c>
      <c r="BZ90" s="14">
        <f>BY90*VLOOKUP('Données projet'!$B$12,Paramètres!$A$1:$I$89,3,0)*VLOOKUP('Données projet'!$B$12,Paramètres!$A$1:$I$89,5,0)</f>
        <v>-9.9316821433603781E-14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287.22548699835653</v>
      </c>
      <c r="CE90" s="62">
        <f t="shared" si="94"/>
        <v>276.01618888357268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264.2000000000001</v>
      </c>
      <c r="O91" s="14">
        <f>N91*VLOOKUP('Données projet'!$B$9,Paramètres!$A$1:$I$89,3,0)*VLOOKUP('Données projet'!$B$9,Paramètres!$A$1:$I$89,5,0)</f>
        <v>267.89880000000011</v>
      </c>
      <c r="P91" s="14">
        <f t="shared" si="87"/>
        <v>64.403139057834565</v>
      </c>
      <c r="Q91" s="22">
        <f t="shared" si="54"/>
        <v>578.75921052572869</v>
      </c>
      <c r="R91" s="62">
        <f t="shared" si="55"/>
        <v>852.44094289492239</v>
      </c>
      <c r="S91" s="62">
        <f ca="1">AVERAGE(OFFSET($R$3,0,0,'Données projet'!$E$9+1,1))-AVERAGE(OFFSET($H$3,0,0,'Données projet'!$E$9+1,1))</f>
        <v>446.90706503298787</v>
      </c>
      <c r="T91" s="62">
        <f t="shared" si="88"/>
        <v>275.54513370838777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6.4</v>
      </c>
      <c r="AI91" s="14">
        <f>IF('Données projet'!$A$62&gt;35,AI90+AH91-AQ90,IF(A91&lt;'Données projet'!$A$62,$AF$205^A91,IF(A91='Données projet'!$A$62,'Données projet'!$B$62,AI90+AH91-AQ90)))</f>
        <v>317.2</v>
      </c>
      <c r="AJ91" s="14">
        <f>AI91*VLOOKUP('Données projet'!$B$10,Paramètres!$A$1:$I$89,3,0)*VLOOKUP('Données projet'!$B$10,Paramètres!$A$1:$I$89,5,0)</f>
        <v>212.77775999999997</v>
      </c>
      <c r="AK91" s="14">
        <f t="shared" si="89"/>
        <v>52.542131131270303</v>
      </c>
      <c r="AL91" s="22">
        <f t="shared" si="58"/>
        <v>462.09881038696238</v>
      </c>
      <c r="AM91" s="62">
        <f t="shared" si="59"/>
        <v>735.78054275615614</v>
      </c>
      <c r="AN91" s="62">
        <f ca="1">AVERAGE(OFFSET($AM$3,0,0,'Données projet'!$E$10+1,1))-AVERAGE(OFFSET($H$3,0,0,'Données projet'!$E$10+1,1))</f>
        <v>369.59928463850827</v>
      </c>
      <c r="AO91" s="62">
        <f t="shared" si="90"/>
        <v>236.19165554863852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6.4</v>
      </c>
      <c r="BD91" s="13">
        <f>IF('Données projet'!$A$88&gt;35,BD90+BC91-BL90,IF(A91&lt;'Données projet'!$A$88,$BA$205^A91,IF(A91='Données projet'!$A$88,'Données projet'!$B$88,BD90+BC91-BL90)))</f>
        <v>317.2</v>
      </c>
      <c r="BE91" s="14">
        <f>BD91*VLOOKUP('Données projet'!$B$11,Paramètres!$A$1:$I$89,3,0)*VLOOKUP('Données projet'!$B$11,Paramètres!$A$1:$I$89,5,0)</f>
        <v>306.79584</v>
      </c>
      <c r="BF91" s="14">
        <f t="shared" si="91"/>
        <v>72.599269943528554</v>
      </c>
      <c r="BG91" s="22">
        <f t="shared" si="61"/>
        <v>660.77981648497882</v>
      </c>
      <c r="BH91" s="62">
        <f t="shared" si="62"/>
        <v>934.46154885417252</v>
      </c>
      <c r="BI91" s="62">
        <f ca="1">AVERAGE(OFFSET($BH$3,0,0,'Données projet'!$E$11+1,1))-AVERAGE(OFFSET($H$3,0,0,'Données projet'!$E$11+1,1))</f>
        <v>500.25828825677058</v>
      </c>
      <c r="BJ91" s="62">
        <f t="shared" si="92"/>
        <v>313.56299786481338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-1.1368683772161603E-13</v>
      </c>
      <c r="BZ91" s="14">
        <f>BY91*VLOOKUP('Données projet'!$B$12,Paramètres!$A$1:$I$89,3,0)*VLOOKUP('Données projet'!$B$12,Paramètres!$A$1:$I$89,5,0)</f>
        <v>-9.9316821433603781E-14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287.22548699835653</v>
      </c>
      <c r="CE91" s="62">
        <f t="shared" si="94"/>
        <v>276.01618888357268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269.60000000000008</v>
      </c>
      <c r="O92" s="14">
        <f>N92*VLOOKUP('Données projet'!$B$9,Paramètres!$A$1:$I$89,3,0)*VLOOKUP('Données projet'!$B$9,Paramètres!$A$1:$I$89,5,0)</f>
        <v>273.37440000000009</v>
      </c>
      <c r="P92" s="14">
        <f t="shared" si="87"/>
        <v>65.564883644654444</v>
      </c>
      <c r="Q92" s="22">
        <f t="shared" si="54"/>
        <v>590.31925234777327</v>
      </c>
      <c r="R92" s="62">
        <f t="shared" si="55"/>
        <v>864.34189605929691</v>
      </c>
      <c r="S92" s="62">
        <f ca="1">AVERAGE(OFFSET($R$3,0,0,'Données projet'!$E$9+1,1))-AVERAGE(OFFSET($H$3,0,0,'Données projet'!$E$9+1,1))</f>
        <v>446.90706503298787</v>
      </c>
      <c r="T92" s="62">
        <f t="shared" si="88"/>
        <v>275.54513370838777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6.4</v>
      </c>
      <c r="AI92" s="14">
        <f>IF('Données projet'!$A$62&gt;35,AI91+AH92-AQ91,IF(A92&lt;'Données projet'!$A$62,$AF$205^A92,IF(A92='Données projet'!$A$62,'Données projet'!$B$62,AI91+AH92-AQ91)))</f>
        <v>323.59999999999997</v>
      </c>
      <c r="AJ92" s="14">
        <f>AI92*VLOOKUP('Données projet'!$B$10,Paramètres!$A$1:$I$89,3,0)*VLOOKUP('Données projet'!$B$10,Paramètres!$A$1:$I$89,5,0)</f>
        <v>217.07087999999999</v>
      </c>
      <c r="AK92" s="14">
        <f t="shared" si="89"/>
        <v>53.477760184148146</v>
      </c>
      <c r="AL92" s="22">
        <f t="shared" si="58"/>
        <v>471.20554832072474</v>
      </c>
      <c r="AM92" s="62">
        <f t="shared" si="59"/>
        <v>745.22819203224833</v>
      </c>
      <c r="AN92" s="62">
        <f ca="1">AVERAGE(OFFSET($AM$3,0,0,'Données projet'!$E$10+1,1))-AVERAGE(OFFSET($H$3,0,0,'Données projet'!$E$10+1,1))</f>
        <v>369.59928463850827</v>
      </c>
      <c r="AO92" s="62">
        <f t="shared" si="90"/>
        <v>236.19165554863852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6.4</v>
      </c>
      <c r="BD92" s="13">
        <f>IF('Données projet'!$A$88&gt;35,BD91+BC92-BL91,IF(A92&lt;'Données projet'!$A$88,$BA$205^A92,IF(A92='Données projet'!$A$88,'Données projet'!$B$88,BD91+BC92-BL91)))</f>
        <v>323.59999999999997</v>
      </c>
      <c r="BE92" s="14">
        <f>BD92*VLOOKUP('Données projet'!$B$11,Paramètres!$A$1:$I$89,3,0)*VLOOKUP('Données projet'!$B$11,Paramètres!$A$1:$I$89,5,0)</f>
        <v>312.98591999999996</v>
      </c>
      <c r="BF92" s="14">
        <f t="shared" si="91"/>
        <v>73.892060789929147</v>
      </c>
      <c r="BG92" s="22">
        <f t="shared" si="61"/>
        <v>673.81248320912653</v>
      </c>
      <c r="BH92" s="62">
        <f t="shared" si="62"/>
        <v>947.83512692065005</v>
      </c>
      <c r="BI92" s="62">
        <f ca="1">AVERAGE(OFFSET($BH$3,0,0,'Données projet'!$E$11+1,1))-AVERAGE(OFFSET($H$3,0,0,'Données projet'!$E$11+1,1))</f>
        <v>500.25828825677058</v>
      </c>
      <c r="BJ92" s="62">
        <f t="shared" si="92"/>
        <v>313.56299786481338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-1.1368683772161603E-13</v>
      </c>
      <c r="BZ92" s="14">
        <f>BY92*VLOOKUP('Données projet'!$B$12,Paramètres!$A$1:$I$89,3,0)*VLOOKUP('Données projet'!$B$12,Paramètres!$A$1:$I$89,5,0)</f>
        <v>-9.9316821433603781E-14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287.22548699835653</v>
      </c>
      <c r="CE92" s="62">
        <f t="shared" si="94"/>
        <v>276.01618888357268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275.00000000000006</v>
      </c>
      <c r="O93" s="14">
        <f>N93*VLOOKUP('Données projet'!$B$9,Paramètres!$A$1:$I$89,3,0)*VLOOKUP('Données projet'!$B$9,Paramètres!$A$1:$I$89,5,0)</f>
        <v>278.85000000000008</v>
      </c>
      <c r="P93" s="14">
        <f t="shared" si="87"/>
        <v>66.723922641152967</v>
      </c>
      <c r="Q93" s="22">
        <f t="shared" si="54"/>
        <v>601.87458193334146</v>
      </c>
      <c r="R93" s="62">
        <f t="shared" si="55"/>
        <v>876.23222293756908</v>
      </c>
      <c r="S93" s="62">
        <f ca="1">AVERAGE(OFFSET($R$3,0,0,'Données projet'!$E$9+1,1))-AVERAGE(OFFSET($H$3,0,0,'Données projet'!$E$9+1,1))</f>
        <v>446.90706503298787</v>
      </c>
      <c r="T93" s="62">
        <f t="shared" si="88"/>
        <v>275.54513370838777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330</v>
      </c>
      <c r="AG93" s="13">
        <f>VLOOKUP(A93,'Données projet'!$A$61:$I$81,9,0)</f>
        <v>6.4</v>
      </c>
      <c r="AH93" s="13">
        <f t="array" ref="AH93">INDEX(AG:AG,MIN(IF(ISNUMBER(AG93:AG289),ROW(AG93:AG289),"")))</f>
        <v>6.4</v>
      </c>
      <c r="AI93" s="14">
        <f>IF('Données projet'!$A$62&gt;35,AI92+AH93-AQ92,IF(A93&lt;'Données projet'!$A$62,$AF$205^A93,IF(A93='Données projet'!$A$62,'Données projet'!$B$62,AI92+AH93-AQ92)))</f>
        <v>329.99999999999994</v>
      </c>
      <c r="AJ93" s="14">
        <f>AI93*VLOOKUP('Données projet'!$B$10,Paramètres!$A$1:$I$89,3,0)*VLOOKUP('Données projet'!$B$10,Paramètres!$A$1:$I$89,5,0)</f>
        <v>221.36399999999998</v>
      </c>
      <c r="AK93" s="14">
        <f t="shared" si="89"/>
        <v>54.411237653200793</v>
      </c>
      <c r="AL93" s="22">
        <f t="shared" si="58"/>
        <v>480.30853891265798</v>
      </c>
      <c r="AM93" s="62">
        <f t="shared" si="59"/>
        <v>754.66617991688565</v>
      </c>
      <c r="AN93" s="62">
        <f ca="1">AVERAGE(OFFSET($AM$3,0,0,'Données projet'!$E$10+1,1))-AVERAGE(OFFSET($H$3,0,0,'Données projet'!$E$10+1,1))</f>
        <v>369.59928463850827</v>
      </c>
      <c r="AO93" s="62">
        <f t="shared" si="90"/>
        <v>236.19165554863852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28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330</v>
      </c>
      <c r="BB93" s="13">
        <f>VLOOKUP(A93,'Données projet'!$A$87:$I$107,9,0)</f>
        <v>6.4</v>
      </c>
      <c r="BC93" s="13">
        <f t="array" ref="BC93">INDEX(BB:BB,MIN(IF(ISNUMBER(BB93:BB289),ROW(BB93:BB289),"")))</f>
        <v>6.4</v>
      </c>
      <c r="BD93" s="13">
        <f>IF('Données projet'!$A$88&gt;35,BD92+BC93-BL92,IF(A93&lt;'Données projet'!$A$88,$BA$205^A93,IF(A93='Données projet'!$A$88,'Données projet'!$B$88,BD92+BC93-BL92)))</f>
        <v>329.99999999999994</v>
      </c>
      <c r="BE93" s="14">
        <f>BD93*VLOOKUP('Données projet'!$B$11,Paramètres!$A$1:$I$89,3,0)*VLOOKUP('Données projet'!$B$11,Paramètres!$A$1:$I$89,5,0)</f>
        <v>319.17599999999993</v>
      </c>
      <c r="BF93" s="14">
        <f t="shared" si="91"/>
        <v>75.181878718947672</v>
      </c>
      <c r="BG93" s="22">
        <f t="shared" si="61"/>
        <v>686.83997210216705</v>
      </c>
      <c r="BH93" s="62">
        <f t="shared" si="62"/>
        <v>961.19761310639478</v>
      </c>
      <c r="BI93" s="62">
        <f ca="1">AVERAGE(OFFSET($BH$3,0,0,'Données projet'!$E$11+1,1))-AVERAGE(OFFSET($H$3,0,0,'Données projet'!$E$11+1,1))</f>
        <v>500.25828825677058</v>
      </c>
      <c r="BJ93" s="62">
        <f t="shared" si="92"/>
        <v>313.56299786481338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28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-1.1368683772161603E-13</v>
      </c>
      <c r="BZ93" s="14">
        <f>BY93*VLOOKUP('Données projet'!$B$12,Paramètres!$A$1:$I$89,3,0)*VLOOKUP('Données projet'!$B$12,Paramètres!$A$1:$I$89,5,0)</f>
        <v>-9.9316821433603781E-14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287.22548699835653</v>
      </c>
      <c r="CE93" s="62">
        <f t="shared" si="94"/>
        <v>276.01618888357268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259.00000000000006</v>
      </c>
      <c r="O94" s="14">
        <f>N94*VLOOKUP('Données projet'!$B$9,Paramètres!$A$1:$I$89,3,0)*VLOOKUP('Données projet'!$B$9,Paramètres!$A$1:$I$89,5,0)</f>
        <v>262.62600000000009</v>
      </c>
      <c r="P94" s="14">
        <f t="shared" si="87"/>
        <v>63.281807230823453</v>
      </c>
      <c r="Q94" s="22">
        <f t="shared" si="54"/>
        <v>567.622764260351</v>
      </c>
      <c r="R94" s="62">
        <f t="shared" si="55"/>
        <v>842.309591103196</v>
      </c>
      <c r="S94" s="62">
        <f ca="1">AVERAGE(OFFSET($R$3,0,0,'Données projet'!$E$9+1,1))-AVERAGE(OFFSET($H$3,0,0,'Données projet'!$E$9+1,1))</f>
        <v>446.90706503298787</v>
      </c>
      <c r="T94" s="62">
        <f t="shared" si="88"/>
        <v>275.54513370838777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</v>
      </c>
      <c r="AI94" s="14">
        <f>IF('Données projet'!$A$62&gt;35,AI93+AH94-AQ93,IF(A94&lt;'Données projet'!$A$62,$AF$205^A94,IF(A94='Données projet'!$A$62,'Données projet'!$B$62,AI93+AH94-AQ93)))</f>
        <v>307.99999999999994</v>
      </c>
      <c r="AJ94" s="14">
        <f>AI94*VLOOKUP('Données projet'!$B$10,Paramètres!$A$1:$I$89,3,0)*VLOOKUP('Données projet'!$B$10,Paramètres!$A$1:$I$89,5,0)</f>
        <v>206.60639999999995</v>
      </c>
      <c r="AK94" s="14">
        <f t="shared" si="89"/>
        <v>51.193297014519018</v>
      </c>
      <c r="AL94" s="22">
        <f t="shared" si="58"/>
        <v>449.00113896695387</v>
      </c>
      <c r="AM94" s="62">
        <f t="shared" si="59"/>
        <v>723.68796580979892</v>
      </c>
      <c r="AN94" s="62">
        <f ca="1">AVERAGE(OFFSET($AM$3,0,0,'Données projet'!$E$10+1,1))-AVERAGE(OFFSET($H$3,0,0,'Données projet'!$E$10+1,1))</f>
        <v>369.59928463850827</v>
      </c>
      <c r="AO94" s="62">
        <f t="shared" si="90"/>
        <v>236.19165554863852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6</v>
      </c>
      <c r="BD94" s="13">
        <f>IF('Données projet'!$A$88&gt;35,BD93+BC94-BL93,IF(A94&lt;'Données projet'!$A$88,$BA$205^A94,IF(A94='Données projet'!$A$88,'Données projet'!$B$88,BD93+BC94-BL93)))</f>
        <v>307.99999999999994</v>
      </c>
      <c r="BE94" s="14">
        <f>BD94*VLOOKUP('Données projet'!$B$11,Paramètres!$A$1:$I$89,3,0)*VLOOKUP('Données projet'!$B$11,Paramètres!$A$1:$I$89,5,0)</f>
        <v>297.89759999999995</v>
      </c>
      <c r="BF94" s="14">
        <f t="shared" si="91"/>
        <v>70.735539446826479</v>
      </c>
      <c r="BG94" s="22">
        <f t="shared" si="61"/>
        <v>642.03605120322266</v>
      </c>
      <c r="BH94" s="62">
        <f t="shared" si="62"/>
        <v>916.72287804606776</v>
      </c>
      <c r="BI94" s="62">
        <f ca="1">AVERAGE(OFFSET($BH$3,0,0,'Données projet'!$E$11+1,1))-AVERAGE(OFFSET($H$3,0,0,'Données projet'!$E$11+1,1))</f>
        <v>500.25828825677058</v>
      </c>
      <c r="BJ94" s="62">
        <f t="shared" si="92"/>
        <v>313.56299786481338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-1.1368683772161603E-13</v>
      </c>
      <c r="BZ94" s="14">
        <f>BY94*VLOOKUP('Données projet'!$B$12,Paramètres!$A$1:$I$89,3,0)*VLOOKUP('Données projet'!$B$12,Paramètres!$A$1:$I$89,5,0)</f>
        <v>-9.9316821433603781E-14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287.22548699835653</v>
      </c>
      <c r="CE94" s="62">
        <f t="shared" si="94"/>
        <v>276.01618888357268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264.00000000000006</v>
      </c>
      <c r="O95" s="14">
        <f>N95*VLOOKUP('Données projet'!$B$9,Paramètres!$A$1:$I$89,3,0)*VLOOKUP('Données projet'!$B$9,Paramètres!$A$1:$I$89,5,0)</f>
        <v>267.69600000000008</v>
      </c>
      <c r="P95" s="14">
        <f t="shared" si="87"/>
        <v>64.360058723585496</v>
      </c>
      <c r="Q95" s="22">
        <f t="shared" si="54"/>
        <v>578.33096894357823</v>
      </c>
      <c r="R95" s="62">
        <f t="shared" si="55"/>
        <v>853.34127098669001</v>
      </c>
      <c r="S95" s="62">
        <f ca="1">AVERAGE(OFFSET($R$3,0,0,'Données projet'!$E$9+1,1))-AVERAGE(OFFSET($H$3,0,0,'Données projet'!$E$9+1,1))</f>
        <v>446.90706503298787</v>
      </c>
      <c r="T95" s="62">
        <f t="shared" si="88"/>
        <v>275.54513370838777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</v>
      </c>
      <c r="AI95" s="14">
        <f>IF('Données projet'!$A$62&gt;35,AI94+AH95-AQ94,IF(A95&lt;'Données projet'!$A$62,$AF$205^A95,IF(A95='Données projet'!$A$62,'Données projet'!$B$62,AI94+AH95-AQ94)))</f>
        <v>313.99999999999994</v>
      </c>
      <c r="AJ95" s="14">
        <f>AI95*VLOOKUP('Données projet'!$B$10,Paramètres!$A$1:$I$89,3,0)*VLOOKUP('Données projet'!$B$10,Paramètres!$A$1:$I$89,5,0)</f>
        <v>210.63119999999998</v>
      </c>
      <c r="AK95" s="14">
        <f t="shared" si="89"/>
        <v>52.073494677019134</v>
      </c>
      <c r="AL95" s="22">
        <f t="shared" si="58"/>
        <v>457.5440098958083</v>
      </c>
      <c r="AM95" s="62">
        <f t="shared" si="59"/>
        <v>732.55431193892002</v>
      </c>
      <c r="AN95" s="62">
        <f ca="1">AVERAGE(OFFSET($AM$3,0,0,'Données projet'!$E$10+1,1))-AVERAGE(OFFSET($H$3,0,0,'Données projet'!$E$10+1,1))</f>
        <v>369.59928463850827</v>
      </c>
      <c r="AO95" s="62">
        <f t="shared" si="90"/>
        <v>236.19165554863852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6</v>
      </c>
      <c r="BD95" s="13">
        <f>IF('Données projet'!$A$88&gt;35,BD94+BC95-BL94,IF(A95&lt;'Données projet'!$A$88,$BA$205^A95,IF(A95='Données projet'!$A$88,'Données projet'!$B$88,BD94+BC95-BL94)))</f>
        <v>313.99999999999994</v>
      </c>
      <c r="BE95" s="14">
        <f>BD95*VLOOKUP('Données projet'!$B$11,Paramètres!$A$1:$I$89,3,0)*VLOOKUP('Données projet'!$B$11,Paramètres!$A$1:$I$89,5,0)</f>
        <v>303.70079999999996</v>
      </c>
      <c r="BF95" s="14">
        <f t="shared" si="91"/>
        <v>71.951738834397148</v>
      </c>
      <c r="BG95" s="22">
        <f t="shared" si="61"/>
        <v>654.26150513657501</v>
      </c>
      <c r="BH95" s="62">
        <f t="shared" si="62"/>
        <v>929.27180717968668</v>
      </c>
      <c r="BI95" s="62">
        <f ca="1">AVERAGE(OFFSET($BH$3,0,0,'Données projet'!$E$11+1,1))-AVERAGE(OFFSET($H$3,0,0,'Données projet'!$E$11+1,1))</f>
        <v>500.25828825677058</v>
      </c>
      <c r="BJ95" s="62">
        <f t="shared" si="92"/>
        <v>313.56299786481338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-1.1368683772161603E-13</v>
      </c>
      <c r="BZ95" s="14">
        <f>BY95*VLOOKUP('Données projet'!$B$12,Paramètres!$A$1:$I$89,3,0)*VLOOKUP('Données projet'!$B$12,Paramètres!$A$1:$I$89,5,0)</f>
        <v>-9.9316821433603781E-14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287.22548699835653</v>
      </c>
      <c r="CE95" s="62">
        <f t="shared" si="94"/>
        <v>276.01618888357268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269.00000000000006</v>
      </c>
      <c r="O96" s="14">
        <f>N96*VLOOKUP('Données projet'!$B$9,Paramètres!$A$1:$I$89,3,0)*VLOOKUP('Données projet'!$B$9,Paramètres!$A$1:$I$89,5,0)</f>
        <v>272.76600000000008</v>
      </c>
      <c r="P96" s="14">
        <f t="shared" si="87"/>
        <v>65.435935630087627</v>
      </c>
      <c r="Q96" s="22">
        <f t="shared" si="54"/>
        <v>589.03503788906926</v>
      </c>
      <c r="R96" s="62">
        <f t="shared" si="55"/>
        <v>864.36320356090528</v>
      </c>
      <c r="S96" s="62">
        <f ca="1">AVERAGE(OFFSET($R$3,0,0,'Données projet'!$E$9+1,1))-AVERAGE(OFFSET($H$3,0,0,'Données projet'!$E$9+1,1))</f>
        <v>446.90706503298787</v>
      </c>
      <c r="T96" s="62">
        <f t="shared" si="88"/>
        <v>275.54513370838777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</v>
      </c>
      <c r="AI96" s="14">
        <f>IF('Données projet'!$A$62&gt;35,AI95+AH96-AQ95,IF(A96&lt;'Données projet'!$A$62,$AF$205^A96,IF(A96='Données projet'!$A$62,'Données projet'!$B$62,AI95+AH96-AQ95)))</f>
        <v>319.99999999999994</v>
      </c>
      <c r="AJ96" s="14">
        <f>AI96*VLOOKUP('Données projet'!$B$10,Paramètres!$A$1:$I$89,3,0)*VLOOKUP('Données projet'!$B$10,Paramètres!$A$1:$I$89,5,0)</f>
        <v>214.65599999999995</v>
      </c>
      <c r="AK96" s="14">
        <f t="shared" si="89"/>
        <v>52.951736650296546</v>
      </c>
      <c r="AL96" s="22">
        <f t="shared" si="58"/>
        <v>466.08347466593301</v>
      </c>
      <c r="AM96" s="62">
        <f t="shared" si="59"/>
        <v>741.41164033776897</v>
      </c>
      <c r="AN96" s="62">
        <f ca="1">AVERAGE(OFFSET($AM$3,0,0,'Données projet'!$E$10+1,1))-AVERAGE(OFFSET($H$3,0,0,'Données projet'!$E$10+1,1))</f>
        <v>369.59928463850827</v>
      </c>
      <c r="AO96" s="62">
        <f t="shared" si="90"/>
        <v>236.19165554863852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6</v>
      </c>
      <c r="BD96" s="13">
        <f>IF('Données projet'!$A$88&gt;35,BD95+BC96-BL95,IF(A96&lt;'Données projet'!$A$88,$BA$205^A96,IF(A96='Données projet'!$A$88,'Données projet'!$B$88,BD95+BC96-BL95)))</f>
        <v>319.99999999999994</v>
      </c>
      <c r="BE96" s="14">
        <f>BD96*VLOOKUP('Données projet'!$B$11,Paramètres!$A$1:$I$89,3,0)*VLOOKUP('Données projet'!$B$11,Paramètres!$A$1:$I$89,5,0)</f>
        <v>309.50399999999996</v>
      </c>
      <c r="BF96" s="14">
        <f t="shared" si="91"/>
        <v>73.165235978896504</v>
      </c>
      <c r="BG96" s="22">
        <f t="shared" si="61"/>
        <v>666.48225266324471</v>
      </c>
      <c r="BH96" s="62">
        <f t="shared" si="62"/>
        <v>941.81041833508061</v>
      </c>
      <c r="BI96" s="62">
        <f ca="1">AVERAGE(OFFSET($BH$3,0,0,'Données projet'!$E$11+1,1))-AVERAGE(OFFSET($H$3,0,0,'Données projet'!$E$11+1,1))</f>
        <v>500.25828825677058</v>
      </c>
      <c r="BJ96" s="62">
        <f t="shared" si="92"/>
        <v>313.56299786481338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-1.1368683772161603E-13</v>
      </c>
      <c r="BZ96" s="14">
        <f>BY96*VLOOKUP('Données projet'!$B$12,Paramètres!$A$1:$I$89,3,0)*VLOOKUP('Données projet'!$B$12,Paramètres!$A$1:$I$89,5,0)</f>
        <v>-9.9316821433603781E-14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287.22548699835653</v>
      </c>
      <c r="CE96" s="62">
        <f t="shared" si="94"/>
        <v>276.01618888357268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274.00000000000006</v>
      </c>
      <c r="O97" s="14">
        <f>N97*VLOOKUP('Données projet'!$B$9,Paramètres!$A$1:$I$89,3,0)*VLOOKUP('Données projet'!$B$9,Paramètres!$A$1:$I$89,5,0)</f>
        <v>277.83600000000007</v>
      </c>
      <c r="P97" s="14">
        <f t="shared" si="87"/>
        <v>66.509487177652318</v>
      </c>
      <c r="Q97" s="22">
        <f t="shared" si="54"/>
        <v>599.73505683441124</v>
      </c>
      <c r="R97" s="62">
        <f t="shared" si="55"/>
        <v>875.37557191164979</v>
      </c>
      <c r="S97" s="62">
        <f ca="1">AVERAGE(OFFSET($R$3,0,0,'Données projet'!$E$9+1,1))-AVERAGE(OFFSET($H$3,0,0,'Données projet'!$E$9+1,1))</f>
        <v>446.90706503298787</v>
      </c>
      <c r="T97" s="62">
        <f t="shared" si="88"/>
        <v>275.54513370838777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</v>
      </c>
      <c r="AI97" s="14">
        <f>IF('Données projet'!$A$62&gt;35,AI96+AH97-AQ96,IF(A97&lt;'Données projet'!$A$62,$AF$205^A97,IF(A97='Données projet'!$A$62,'Données projet'!$B$62,AI96+AH97-AQ96)))</f>
        <v>325.99999999999994</v>
      </c>
      <c r="AJ97" s="14">
        <f>AI97*VLOOKUP('Données projet'!$B$10,Paramètres!$A$1:$I$89,3,0)*VLOOKUP('Données projet'!$B$10,Paramètres!$A$1:$I$89,5,0)</f>
        <v>218.68079999999998</v>
      </c>
      <c r="AK97" s="14">
        <f t="shared" si="89"/>
        <v>53.828063832009079</v>
      </c>
      <c r="AL97" s="22">
        <f t="shared" si="58"/>
        <v>474.61960450741572</v>
      </c>
      <c r="AM97" s="62">
        <f t="shared" si="59"/>
        <v>750.26011958465415</v>
      </c>
      <c r="AN97" s="62">
        <f ca="1">AVERAGE(OFFSET($AM$3,0,0,'Données projet'!$E$10+1,1))-AVERAGE(OFFSET($H$3,0,0,'Données projet'!$E$10+1,1))</f>
        <v>369.59928463850827</v>
      </c>
      <c r="AO97" s="62">
        <f t="shared" si="90"/>
        <v>236.19165554863852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6</v>
      </c>
      <c r="BD97" s="13">
        <f>IF('Données projet'!$A$88&gt;35,BD96+BC97-BL96,IF(A97&lt;'Données projet'!$A$88,$BA$205^A97,IF(A97='Données projet'!$A$88,'Données projet'!$B$88,BD96+BC97-BL96)))</f>
        <v>325.99999999999994</v>
      </c>
      <c r="BE97" s="14">
        <f>BD97*VLOOKUP('Données projet'!$B$11,Paramètres!$A$1:$I$89,3,0)*VLOOKUP('Données projet'!$B$11,Paramètres!$A$1:$I$89,5,0)</f>
        <v>315.30719999999997</v>
      </c>
      <c r="BF97" s="14">
        <f t="shared" si="91"/>
        <v>74.376087390025049</v>
      </c>
      <c r="BG97" s="22">
        <f t="shared" si="61"/>
        <v>678.69839220429355</v>
      </c>
      <c r="BH97" s="62">
        <f t="shared" si="62"/>
        <v>954.3389072815321</v>
      </c>
      <c r="BI97" s="62">
        <f ca="1">AVERAGE(OFFSET($BH$3,0,0,'Données projet'!$E$11+1,1))-AVERAGE(OFFSET($H$3,0,0,'Données projet'!$E$11+1,1))</f>
        <v>500.25828825677058</v>
      </c>
      <c r="BJ97" s="62">
        <f t="shared" si="92"/>
        <v>313.56299786481338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-1.1368683772161603E-13</v>
      </c>
      <c r="BZ97" s="14">
        <f>BY97*VLOOKUP('Données projet'!$B$12,Paramètres!$A$1:$I$89,3,0)*VLOOKUP('Données projet'!$B$12,Paramètres!$A$1:$I$89,5,0)</f>
        <v>-9.9316821433603781E-14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287.22548699835653</v>
      </c>
      <c r="CE97" s="62">
        <f t="shared" si="94"/>
        <v>276.01618888357268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279.00000000000006</v>
      </c>
      <c r="O98" s="14">
        <f>N98*VLOOKUP('Données projet'!$B$9,Paramètres!$A$1:$I$89,3,0)*VLOOKUP('Données projet'!$B$9,Paramètres!$A$1:$I$89,5,0)</f>
        <v>282.90600000000006</v>
      </c>
      <c r="P98" s="14">
        <f t="shared" si="87"/>
        <v>67.580760694123512</v>
      </c>
      <c r="Q98" s="22">
        <f t="shared" si="54"/>
        <v>610.43110820893185</v>
      </c>
      <c r="R98" s="62">
        <f t="shared" si="55"/>
        <v>886.37855412769773</v>
      </c>
      <c r="S98" s="62">
        <f ca="1">AVERAGE(OFFSET($R$3,0,0,'Données projet'!$E$9+1,1))-AVERAGE(OFFSET($H$3,0,0,'Données projet'!$E$9+1,1))</f>
        <v>446.90706503298787</v>
      </c>
      <c r="T98" s="62">
        <f t="shared" si="88"/>
        <v>275.54513370838777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332</v>
      </c>
      <c r="AG98" s="13">
        <f>VLOOKUP(A98,'Données projet'!$A$61:$I$81,9,0)</f>
        <v>6</v>
      </c>
      <c r="AH98" s="13">
        <f t="array" ref="AH98">INDEX(AG:AG,MIN(IF(ISNUMBER(AG98:AG294),ROW(AG98:AG294),"")))</f>
        <v>6</v>
      </c>
      <c r="AI98" s="14">
        <f>IF('Données projet'!$A$62&gt;35,AI97+AH98-AQ97,IF(A98&lt;'Données projet'!$A$62,$AF$205^A98,IF(A98='Données projet'!$A$62,'Données projet'!$B$62,AI97+AH98-AQ97)))</f>
        <v>331.99999999999994</v>
      </c>
      <c r="AJ98" s="14">
        <f>AI98*VLOOKUP('Données projet'!$B$10,Paramètres!$A$1:$I$89,3,0)*VLOOKUP('Données projet'!$B$10,Paramètres!$A$1:$I$89,5,0)</f>
        <v>222.70559999999995</v>
      </c>
      <c r="AK98" s="14">
        <f t="shared" si="89"/>
        <v>54.702515528198902</v>
      </c>
      <c r="AL98" s="22">
        <f t="shared" si="58"/>
        <v>483.15246787827965</v>
      </c>
      <c r="AM98" s="62">
        <f t="shared" si="59"/>
        <v>759.09991379704559</v>
      </c>
      <c r="AN98" s="62">
        <f ca="1">AVERAGE(OFFSET($AM$3,0,0,'Données projet'!$E$10+1,1))-AVERAGE(OFFSET($H$3,0,0,'Données projet'!$E$10+1,1))</f>
        <v>369.59928463850827</v>
      </c>
      <c r="AO98" s="62">
        <f t="shared" si="90"/>
        <v>236.19165554863852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28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332</v>
      </c>
      <c r="BB98" s="13">
        <f>VLOOKUP(A98,'Données projet'!$A$87:$I$107,9,0)</f>
        <v>6</v>
      </c>
      <c r="BC98" s="13">
        <f t="array" ref="BC98">INDEX(BB:BB,MIN(IF(ISNUMBER(BB98:BB294),ROW(BB98:BB294),"")))</f>
        <v>6</v>
      </c>
      <c r="BD98" s="13">
        <f>IF('Données projet'!$A$88&gt;35,BD97+BC98-BL97,IF(A98&lt;'Données projet'!$A$88,$BA$205^A98,IF(A98='Données projet'!$A$88,'Données projet'!$B$88,BD97+BC98-BL97)))</f>
        <v>331.99999999999994</v>
      </c>
      <c r="BE98" s="14">
        <f>BD98*VLOOKUP('Données projet'!$B$11,Paramètres!$A$1:$I$89,3,0)*VLOOKUP('Données projet'!$B$11,Paramètres!$A$1:$I$89,5,0)</f>
        <v>321.11039999999997</v>
      </c>
      <c r="BF98" s="14">
        <f t="shared" si="91"/>
        <v>75.584347378293316</v>
      </c>
      <c r="BG98" s="22">
        <f t="shared" si="61"/>
        <v>690.91001835052748</v>
      </c>
      <c r="BH98" s="62">
        <f t="shared" si="62"/>
        <v>966.85746426929336</v>
      </c>
      <c r="BI98" s="62">
        <f ca="1">AVERAGE(OFFSET($BH$3,0,0,'Données projet'!$E$11+1,1))-AVERAGE(OFFSET($H$3,0,0,'Données projet'!$E$11+1,1))</f>
        <v>500.25828825677058</v>
      </c>
      <c r="BJ98" s="62">
        <f t="shared" si="92"/>
        <v>313.56299786481338</v>
      </c>
      <c r="BK98" s="16">
        <f>IF(ISNA(VLOOKUP(A98,'Données projet'!$A$87:$I$107,3,0)),0,VLOOKUP(A98,'Données projet'!$A$87:$I$107,3,0))</f>
        <v>16</v>
      </c>
      <c r="BL98" s="16">
        <f>IF(ISNA(VLOOKUP(A98,'Données projet'!$A$87:$I$107,4,0)),0,VLOOKUP(A98,'Données projet'!$A$87:$I$107,4,0))</f>
        <v>28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-1.1368683772161603E-13</v>
      </c>
      <c r="BZ98" s="14">
        <f>BY98*VLOOKUP('Données projet'!$B$12,Paramètres!$A$1:$I$89,3,0)*VLOOKUP('Données projet'!$B$12,Paramètres!$A$1:$I$89,5,0)</f>
        <v>-9.9316821433603781E-14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287.22548699835653</v>
      </c>
      <c r="CE98" s="62">
        <f t="shared" si="94"/>
        <v>276.01618888357268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262.80000000000007</v>
      </c>
      <c r="O99" s="14">
        <f>N99*VLOOKUP('Données projet'!$B$9,Paramètres!$A$1:$I$89,3,0)*VLOOKUP('Données projet'!$B$9,Paramètres!$A$1:$I$89,5,0)</f>
        <v>266.47920000000011</v>
      </c>
      <c r="P99" s="14">
        <f t="shared" si="87"/>
        <v>64.101496824889679</v>
      </c>
      <c r="Q99" s="22">
        <f t="shared" ref="Q99:Q130" si="107">(O99+P99)*0.475*44/12</f>
        <v>575.76138030334971</v>
      </c>
      <c r="R99" s="62">
        <f t="shared" si="55"/>
        <v>852.01043249973714</v>
      </c>
      <c r="S99" s="62">
        <f ca="1">AVERAGE(OFFSET($R$3,0,0,'Données projet'!$E$9+1,1))-AVERAGE(OFFSET($H$3,0,0,'Données projet'!$E$9+1,1))</f>
        <v>446.90706503298787</v>
      </c>
      <c r="T99" s="62">
        <f t="shared" si="88"/>
        <v>275.54513370838777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5.8</v>
      </c>
      <c r="AI99" s="14">
        <f>IF('Données projet'!$A$62&gt;35,AI98+AH99-AQ98,IF(A99&lt;'Données projet'!$A$62,$AF$205^A99,IF(A99='Données projet'!$A$62,'Données projet'!$B$62,AI98+AH99-AQ98)))</f>
        <v>309.79999999999995</v>
      </c>
      <c r="AJ99" s="14">
        <f>AI99*VLOOKUP('Données projet'!$B$10,Paramètres!$A$1:$I$89,3,0)*VLOOKUP('Données projet'!$B$10,Paramètres!$A$1:$I$89,5,0)</f>
        <v>207.81383999999997</v>
      </c>
      <c r="AK99" s="14">
        <f t="shared" si="89"/>
        <v>51.457564160797617</v>
      </c>
      <c r="AL99" s="22">
        <f t="shared" si="58"/>
        <v>451.56436224672251</v>
      </c>
      <c r="AM99" s="62">
        <f t="shared" si="59"/>
        <v>727.81341444310988</v>
      </c>
      <c r="AN99" s="62">
        <f ca="1">AVERAGE(OFFSET($AM$3,0,0,'Données projet'!$E$10+1,1))-AVERAGE(OFFSET($H$3,0,0,'Données projet'!$E$10+1,1))</f>
        <v>369.59928463850827</v>
      </c>
      <c r="AO99" s="62">
        <f t="shared" si="90"/>
        <v>236.19165554863852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5.8</v>
      </c>
      <c r="BD99" s="13">
        <f>IF('Données projet'!$A$88&gt;35,BD98+BC99-BL98,IF(A99&lt;'Données projet'!$A$88,$BA$205^A99,IF(A99='Données projet'!$A$88,'Données projet'!$B$88,BD98+BC99-BL98)))</f>
        <v>309.79999999999995</v>
      </c>
      <c r="BE99" s="14">
        <f>BD99*VLOOKUP('Données projet'!$B$11,Paramètres!$A$1:$I$89,3,0)*VLOOKUP('Données projet'!$B$11,Paramètres!$A$1:$I$89,5,0)</f>
        <v>299.63855999999998</v>
      </c>
      <c r="BF99" s="14">
        <f t="shared" si="91"/>
        <v>71.100686453177502</v>
      </c>
      <c r="BG99" s="22">
        <f t="shared" si="61"/>
        <v>645.70418757261734</v>
      </c>
      <c r="BH99" s="62">
        <f t="shared" si="62"/>
        <v>921.95323976900477</v>
      </c>
      <c r="BI99" s="62">
        <f ca="1">AVERAGE(OFFSET($BH$3,0,0,'Données projet'!$E$11+1,1))-AVERAGE(OFFSET($H$3,0,0,'Données projet'!$E$11+1,1))</f>
        <v>500.25828825677058</v>
      </c>
      <c r="BJ99" s="62">
        <f t="shared" si="92"/>
        <v>313.56299786481338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-1.1368683772161603E-13</v>
      </c>
      <c r="BZ99" s="14">
        <f>BY99*VLOOKUP('Données projet'!$B$12,Paramètres!$A$1:$I$89,3,0)*VLOOKUP('Données projet'!$B$12,Paramètres!$A$1:$I$89,5,0)</f>
        <v>-9.9316821433603781E-14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287.22548699835653</v>
      </c>
      <c r="CE99" s="62">
        <f t="shared" si="94"/>
        <v>276.01618888357268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267.60000000000008</v>
      </c>
      <c r="O100" s="14">
        <f>N100*VLOOKUP('Données projet'!$B$9,Paramètres!$A$1:$I$89,3,0)*VLOOKUP('Données projet'!$B$9,Paramètres!$A$1:$I$89,5,0)</f>
        <v>271.34640000000007</v>
      </c>
      <c r="P100" s="14">
        <f t="shared" si="87"/>
        <v>65.134926573557365</v>
      </c>
      <c r="Q100" s="22">
        <f t="shared" si="107"/>
        <v>586.03831044894594</v>
      </c>
      <c r="R100" s="62">
        <f t="shared" si="55"/>
        <v>862.58373672832874</v>
      </c>
      <c r="S100" s="62">
        <f ca="1">AVERAGE(OFFSET($R$3,0,0,'Données projet'!$E$9+1,1))-AVERAGE(OFFSET($H$3,0,0,'Données projet'!$E$9+1,1))</f>
        <v>446.90706503298787</v>
      </c>
      <c r="T100" s="62">
        <f t="shared" si="88"/>
        <v>275.54513370838777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5.8</v>
      </c>
      <c r="AI100" s="14">
        <f>IF('Données projet'!$A$62&gt;35,AI99+AH100-AQ99,IF(A100&lt;'Données projet'!$A$62,$AF$205^A100,IF(A100='Données projet'!$A$62,'Données projet'!$B$62,AI99+AH100-AQ99)))</f>
        <v>315.59999999999997</v>
      </c>
      <c r="AJ100" s="14">
        <f>AI100*VLOOKUP('Données projet'!$B$10,Paramètres!$A$1:$I$89,3,0)*VLOOKUP('Données projet'!$B$10,Paramètres!$A$1:$I$89,5,0)</f>
        <v>211.70447999999996</v>
      </c>
      <c r="AK100" s="14">
        <f t="shared" si="89"/>
        <v>52.307882041697276</v>
      </c>
      <c r="AL100" s="22">
        <f t="shared" si="58"/>
        <v>459.82153055595603</v>
      </c>
      <c r="AM100" s="62">
        <f t="shared" si="59"/>
        <v>736.3669568353389</v>
      </c>
      <c r="AN100" s="62">
        <f ca="1">AVERAGE(OFFSET($AM$3,0,0,'Données projet'!$E$10+1,1))-AVERAGE(OFFSET($H$3,0,0,'Données projet'!$E$10+1,1))</f>
        <v>369.59928463850827</v>
      </c>
      <c r="AO100" s="62">
        <f t="shared" si="90"/>
        <v>236.19165554863852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5.8</v>
      </c>
      <c r="BD100" s="13">
        <f>IF('Données projet'!$A$88&gt;35,BD99+BC100-BL99,IF(A100&lt;'Données projet'!$A$88,$BA$205^A100,IF(A100='Données projet'!$A$88,'Données projet'!$B$88,BD99+BC100-BL99)))</f>
        <v>315.59999999999997</v>
      </c>
      <c r="BE100" s="14">
        <f>BD100*VLOOKUP('Données projet'!$B$11,Paramètres!$A$1:$I$89,3,0)*VLOOKUP('Données projet'!$B$11,Paramètres!$A$1:$I$89,5,0)</f>
        <v>305.24831999999998</v>
      </c>
      <c r="BF100" s="14">
        <f t="shared" si="91"/>
        <v>72.275599918697424</v>
      </c>
      <c r="BG100" s="22">
        <f t="shared" si="61"/>
        <v>657.5208271917312</v>
      </c>
      <c r="BH100" s="62">
        <f t="shared" si="62"/>
        <v>934.06625347111401</v>
      </c>
      <c r="BI100" s="62">
        <f ca="1">AVERAGE(OFFSET($BH$3,0,0,'Données projet'!$E$11+1,1))-AVERAGE(OFFSET($H$3,0,0,'Données projet'!$E$11+1,1))</f>
        <v>500.25828825677058</v>
      </c>
      <c r="BJ100" s="62">
        <f t="shared" si="92"/>
        <v>313.56299786481338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-1.1368683772161603E-13</v>
      </c>
      <c r="BZ100" s="14">
        <f>BY100*VLOOKUP('Données projet'!$B$12,Paramètres!$A$1:$I$89,3,0)*VLOOKUP('Données projet'!$B$12,Paramètres!$A$1:$I$89,5,0)</f>
        <v>-9.9316821433603781E-14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287.22548699835653</v>
      </c>
      <c r="CE100" s="62">
        <f t="shared" si="94"/>
        <v>276.01618888357268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272.40000000000009</v>
      </c>
      <c r="O101" s="14">
        <f>N101*VLOOKUP('Données projet'!$B$9,Paramètres!$A$1:$I$89,3,0)*VLOOKUP('Données projet'!$B$9,Paramètres!$A$1:$I$89,5,0)</f>
        <v>276.2136000000001</v>
      </c>
      <c r="P101" s="14">
        <f t="shared" si="87"/>
        <v>66.166200760877473</v>
      </c>
      <c r="Q101" s="22">
        <f t="shared" si="107"/>
        <v>596.31148632519512</v>
      </c>
      <c r="R101" s="62">
        <f t="shared" si="55"/>
        <v>873.14814525982649</v>
      </c>
      <c r="S101" s="62">
        <f ca="1">AVERAGE(OFFSET($R$3,0,0,'Données projet'!$E$9+1,1))-AVERAGE(OFFSET($H$3,0,0,'Données projet'!$E$9+1,1))</f>
        <v>446.90706503298787</v>
      </c>
      <c r="T101" s="62">
        <f t="shared" si="88"/>
        <v>275.54513370838777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5.8</v>
      </c>
      <c r="AI101" s="14">
        <f>IF('Données projet'!$A$62&gt;35,AI100+AH101-AQ100,IF(A101&lt;'Données projet'!$A$62,$AF$205^A101,IF(A101='Données projet'!$A$62,'Données projet'!$B$62,AI100+AH101-AQ100)))</f>
        <v>321.39999999999998</v>
      </c>
      <c r="AJ101" s="14">
        <f>AI101*VLOOKUP('Données projet'!$B$10,Paramètres!$A$1:$I$89,3,0)*VLOOKUP('Données projet'!$B$10,Paramètres!$A$1:$I$89,5,0)</f>
        <v>215.59512000000001</v>
      </c>
      <c r="AK101" s="14">
        <f t="shared" si="89"/>
        <v>53.156382789641306</v>
      </c>
      <c r="AL101" s="22">
        <f t="shared" si="58"/>
        <v>468.07553402529197</v>
      </c>
      <c r="AM101" s="62">
        <f t="shared" si="59"/>
        <v>744.91219295992335</v>
      </c>
      <c r="AN101" s="62">
        <f ca="1">AVERAGE(OFFSET($AM$3,0,0,'Données projet'!$E$10+1,1))-AVERAGE(OFFSET($H$3,0,0,'Données projet'!$E$10+1,1))</f>
        <v>369.59928463850827</v>
      </c>
      <c r="AO101" s="62">
        <f t="shared" si="90"/>
        <v>236.19165554863852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5.8</v>
      </c>
      <c r="BD101" s="13">
        <f>IF('Données projet'!$A$88&gt;35,BD100+BC101-BL100,IF(A101&lt;'Données projet'!$A$88,$BA$205^A101,IF(A101='Données projet'!$A$88,'Données projet'!$B$88,BD100+BC101-BL100)))</f>
        <v>321.39999999999998</v>
      </c>
      <c r="BE101" s="14">
        <f>BD101*VLOOKUP('Données projet'!$B$11,Paramètres!$A$1:$I$89,3,0)*VLOOKUP('Données projet'!$B$11,Paramètres!$A$1:$I$89,5,0)</f>
        <v>310.85807999999997</v>
      </c>
      <c r="BF101" s="14">
        <f t="shared" si="91"/>
        <v>73.448002589106309</v>
      </c>
      <c r="BG101" s="22">
        <f t="shared" si="61"/>
        <v>669.33309384269342</v>
      </c>
      <c r="BH101" s="62">
        <f t="shared" si="62"/>
        <v>946.16975277732479</v>
      </c>
      <c r="BI101" s="62">
        <f ca="1">AVERAGE(OFFSET($BH$3,0,0,'Données projet'!$E$11+1,1))-AVERAGE(OFFSET($H$3,0,0,'Données projet'!$E$11+1,1))</f>
        <v>500.25828825677058</v>
      </c>
      <c r="BJ101" s="62">
        <f t="shared" si="92"/>
        <v>313.56299786481338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-1.1368683772161603E-13</v>
      </c>
      <c r="BZ101" s="14">
        <f>BY101*VLOOKUP('Données projet'!$B$12,Paramètres!$A$1:$I$89,3,0)*VLOOKUP('Données projet'!$B$12,Paramètres!$A$1:$I$89,5,0)</f>
        <v>-9.9316821433603781E-14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287.22548699835653</v>
      </c>
      <c r="CE101" s="62">
        <f t="shared" si="94"/>
        <v>276.01618888357268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277.2000000000001</v>
      </c>
      <c r="O102" s="14">
        <f>N102*VLOOKUP('Données projet'!$B$9,Paramètres!$A$1:$I$89,3,0)*VLOOKUP('Données projet'!$B$9,Paramètres!$A$1:$I$89,5,0)</f>
        <v>281.08080000000012</v>
      </c>
      <c r="P102" s="14">
        <f t="shared" si="87"/>
        <v>67.195361752546177</v>
      </c>
      <c r="Q102" s="22">
        <f t="shared" si="107"/>
        <v>606.58098171901804</v>
      </c>
      <c r="R102" s="62">
        <f t="shared" si="55"/>
        <v>883.70382107342812</v>
      </c>
      <c r="S102" s="62">
        <f ca="1">AVERAGE(OFFSET($R$3,0,0,'Données projet'!$E$9+1,1))-AVERAGE(OFFSET($H$3,0,0,'Données projet'!$E$9+1,1))</f>
        <v>446.90706503298787</v>
      </c>
      <c r="T102" s="62">
        <f t="shared" si="88"/>
        <v>275.54513370838777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5.8</v>
      </c>
      <c r="AI102" s="14">
        <f>IF('Données projet'!$A$62&gt;35,AI101+AH102-AQ101,IF(A102&lt;'Données projet'!$A$62,$AF$205^A102,IF(A102='Données projet'!$A$62,'Données projet'!$B$62,AI101+AH102-AQ101)))</f>
        <v>327.2</v>
      </c>
      <c r="AJ102" s="14">
        <f>AI102*VLOOKUP('Données projet'!$B$10,Paramètres!$A$1:$I$89,3,0)*VLOOKUP('Données projet'!$B$10,Paramètres!$A$1:$I$89,5,0)</f>
        <v>219.48576</v>
      </c>
      <c r="AK102" s="14">
        <f t="shared" si="89"/>
        <v>54.003102979276136</v>
      </c>
      <c r="AL102" s="22">
        <f t="shared" si="58"/>
        <v>476.32643635557253</v>
      </c>
      <c r="AM102" s="62">
        <f t="shared" si="59"/>
        <v>753.44927570998266</v>
      </c>
      <c r="AN102" s="62">
        <f ca="1">AVERAGE(OFFSET($AM$3,0,0,'Données projet'!$E$10+1,1))-AVERAGE(OFFSET($H$3,0,0,'Données projet'!$E$10+1,1))</f>
        <v>369.59928463850827</v>
      </c>
      <c r="AO102" s="62">
        <f t="shared" si="90"/>
        <v>236.19165554863852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5.8</v>
      </c>
      <c r="BD102" s="13">
        <f>IF('Données projet'!$A$88&gt;35,BD101+BC102-BL101,IF(A102&lt;'Données projet'!$A$88,$BA$205^A102,IF(A102='Données projet'!$A$88,'Données projet'!$B$88,BD101+BC102-BL101)))</f>
        <v>327.2</v>
      </c>
      <c r="BE102" s="14">
        <f>BD102*VLOOKUP('Données projet'!$B$11,Paramètres!$A$1:$I$89,3,0)*VLOOKUP('Données projet'!$B$11,Paramètres!$A$1:$I$89,5,0)</f>
        <v>316.46784000000002</v>
      </c>
      <c r="BF102" s="14">
        <f t="shared" si="91"/>
        <v>74.617945000851194</v>
      </c>
      <c r="BG102" s="22">
        <f t="shared" si="61"/>
        <v>681.14107554314921</v>
      </c>
      <c r="BH102" s="62">
        <f t="shared" si="62"/>
        <v>958.26391489755929</v>
      </c>
      <c r="BI102" s="62">
        <f ca="1">AVERAGE(OFFSET($BH$3,0,0,'Données projet'!$E$11+1,1))-AVERAGE(OFFSET($H$3,0,0,'Données projet'!$E$11+1,1))</f>
        <v>500.25828825677058</v>
      </c>
      <c r="BJ102" s="62">
        <f t="shared" si="92"/>
        <v>313.56299786481338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-1.1368683772161603E-13</v>
      </c>
      <c r="BZ102" s="14">
        <f>BY102*VLOOKUP('Données projet'!$B$12,Paramètres!$A$1:$I$89,3,0)*VLOOKUP('Données projet'!$B$12,Paramètres!$A$1:$I$89,5,0)</f>
        <v>-9.9316821433603781E-14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287.22548699835653</v>
      </c>
      <c r="CE102" s="62">
        <f t="shared" si="94"/>
        <v>276.01618888357268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282.00000000000011</v>
      </c>
      <c r="O103" s="14">
        <f>N103*VLOOKUP('Données projet'!$B$9,Paramètres!$A$1:$I$89,3,0)*VLOOKUP('Données projet'!$B$9,Paramètres!$A$1:$I$89,5,0)</f>
        <v>285.94800000000009</v>
      </c>
      <c r="P103" s="14">
        <f t="shared" si="87"/>
        <v>68.222450362989363</v>
      </c>
      <c r="Q103" s="22">
        <f t="shared" si="107"/>
        <v>616.84686771553993</v>
      </c>
      <c r="R103" s="62">
        <f t="shared" si="55"/>
        <v>894.25092289924919</v>
      </c>
      <c r="S103" s="62">
        <f ca="1">AVERAGE(OFFSET($R$3,0,0,'Données projet'!$E$9+1,1))-AVERAGE(OFFSET($H$3,0,0,'Données projet'!$E$9+1,1))</f>
        <v>446.90706503298787</v>
      </c>
      <c r="T103" s="62">
        <f t="shared" si="88"/>
        <v>275.54513370838777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333</v>
      </c>
      <c r="AG103" s="13">
        <f>VLOOKUP(A103,'Données projet'!$A$61:$I$81,9,0)</f>
        <v>5.8</v>
      </c>
      <c r="AH103" s="13">
        <f t="array" ref="AH103">INDEX(AG:AG,MIN(IF(ISNUMBER(AG103:AG299),ROW(AG103:AG299),"")))</f>
        <v>5.8</v>
      </c>
      <c r="AI103" s="14">
        <f>IF('Données projet'!$A$62&gt;35,AI102+AH103-AQ102,IF(A103&lt;'Données projet'!$A$62,$AF$205^A103,IF(A103='Données projet'!$A$62,'Données projet'!$B$62,AI102+AH103-AQ102)))</f>
        <v>333</v>
      </c>
      <c r="AJ103" s="14">
        <f>AI103*VLOOKUP('Données projet'!$B$10,Paramètres!$A$1:$I$89,3,0)*VLOOKUP('Données projet'!$B$10,Paramètres!$A$1:$I$89,5,0)</f>
        <v>223.37640000000002</v>
      </c>
      <c r="AK103" s="14">
        <f t="shared" si="89"/>
        <v>54.848077814326416</v>
      </c>
      <c r="AL103" s="22">
        <f t="shared" si="58"/>
        <v>484.5742988599518</v>
      </c>
      <c r="AM103" s="62">
        <f t="shared" si="59"/>
        <v>761.97835404366106</v>
      </c>
      <c r="AN103" s="62">
        <f ca="1">AVERAGE(OFFSET($AM$3,0,0,'Données projet'!$E$10+1,1))-AVERAGE(OFFSET($H$3,0,0,'Données projet'!$E$10+1,1))</f>
        <v>369.59928463850827</v>
      </c>
      <c r="AO103" s="62">
        <f t="shared" si="90"/>
        <v>236.19165554863852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27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333</v>
      </c>
      <c r="BB103" s="13">
        <f>VLOOKUP(A103,'Données projet'!$A$87:$I$107,9,0)</f>
        <v>5.8</v>
      </c>
      <c r="BC103" s="13">
        <f t="array" ref="BC103">INDEX(BB:BB,MIN(IF(ISNUMBER(BB103:BB299),ROW(BB103:BB299),"")))</f>
        <v>5.8</v>
      </c>
      <c r="BD103" s="13">
        <f>IF('Données projet'!$A$88&gt;35,BD102+BC103-BL102,IF(A103&lt;'Données projet'!$A$88,$BA$205^A103,IF(A103='Données projet'!$A$88,'Données projet'!$B$88,BD102+BC103-BL102)))</f>
        <v>333</v>
      </c>
      <c r="BE103" s="14">
        <f>BD103*VLOOKUP('Données projet'!$B$11,Paramètres!$A$1:$I$89,3,0)*VLOOKUP('Données projet'!$B$11,Paramètres!$A$1:$I$89,5,0)</f>
        <v>322.07760000000002</v>
      </c>
      <c r="BF103" s="14">
        <f t="shared" si="91"/>
        <v>75.785475796129461</v>
      </c>
      <c r="BG103" s="22">
        <f t="shared" si="61"/>
        <v>692.94485701159203</v>
      </c>
      <c r="BH103" s="62">
        <f t="shared" si="62"/>
        <v>970.34891219530118</v>
      </c>
      <c r="BI103" s="62">
        <f ca="1">AVERAGE(OFFSET($BH$3,0,0,'Données projet'!$E$11+1,1))-AVERAGE(OFFSET($H$3,0,0,'Données projet'!$E$11+1,1))</f>
        <v>500.25828825677058</v>
      </c>
      <c r="BJ103" s="62">
        <f t="shared" si="92"/>
        <v>313.56299786481338</v>
      </c>
      <c r="BK103" s="16">
        <f>IF(ISNA(VLOOKUP(A103,'Données projet'!$A$87:$I$107,3,0)),0,VLOOKUP(A103,'Données projet'!$A$87:$I$107,3,0))</f>
        <v>17</v>
      </c>
      <c r="BL103" s="16">
        <f>IF(ISNA(VLOOKUP(A103,'Données projet'!$A$87:$I$107,4,0)),0,VLOOKUP(A103,'Données projet'!$A$87:$I$107,4,0))</f>
        <v>27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-1.1368683772161603E-13</v>
      </c>
      <c r="BZ103" s="14">
        <f>BY103*VLOOKUP('Données projet'!$B$12,Paramètres!$A$1:$I$89,3,0)*VLOOKUP('Données projet'!$B$12,Paramètres!$A$1:$I$89,5,0)</f>
        <v>-9.9316821433603781E-14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287.22548699835653</v>
      </c>
      <c r="CE103" s="62">
        <f t="shared" si="94"/>
        <v>276.01618888357268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265.40000000000009</v>
      </c>
      <c r="O104" s="14">
        <f>N104*VLOOKUP('Données projet'!$B$9,Paramètres!$A$1:$I$89,3,0)*VLOOKUP('Données projet'!$B$9,Paramètres!$A$1:$I$89,5,0)</f>
        <v>269.11560000000014</v>
      </c>
      <c r="P104" s="14">
        <f t="shared" si="87"/>
        <v>64.661541462287133</v>
      </c>
      <c r="Q104" s="22">
        <f t="shared" si="107"/>
        <v>581.32852138015028</v>
      </c>
      <c r="R104" s="62">
        <f t="shared" si="55"/>
        <v>859.00891392722474</v>
      </c>
      <c r="S104" s="62">
        <f ca="1">AVERAGE(OFFSET($R$3,0,0,'Données projet'!$E$9+1,1))-AVERAGE(OFFSET($H$3,0,0,'Données projet'!$E$9+1,1))</f>
        <v>446.90706503298787</v>
      </c>
      <c r="T104" s="62">
        <f t="shared" si="88"/>
        <v>275.54513370838777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5.4</v>
      </c>
      <c r="AI104" s="14">
        <f>IF('Données projet'!$A$62&gt;35,AI103+AH104-AQ103,IF(A104&lt;'Données projet'!$A$62,$AF$205^A104,IF(A104='Données projet'!$A$62,'Données projet'!$B$62,AI103+AH104-AQ103)))</f>
        <v>311.39999999999998</v>
      </c>
      <c r="AJ104" s="14">
        <f>AI104*VLOOKUP('Données projet'!$B$10,Paramètres!$A$1:$I$89,3,0)*VLOOKUP('Données projet'!$B$10,Paramètres!$A$1:$I$89,5,0)</f>
        <v>208.88711999999998</v>
      </c>
      <c r="AK104" s="14">
        <f t="shared" si="89"/>
        <v>51.692318263308358</v>
      </c>
      <c r="AL104" s="22">
        <f t="shared" si="58"/>
        <v>453.84252164192867</v>
      </c>
      <c r="AM104" s="62">
        <f t="shared" si="59"/>
        <v>731.52291418900313</v>
      </c>
      <c r="AN104" s="62">
        <f ca="1">AVERAGE(OFFSET($AM$3,0,0,'Données projet'!$E$10+1,1))-AVERAGE(OFFSET($H$3,0,0,'Données projet'!$E$10+1,1))</f>
        <v>369.59928463850827</v>
      </c>
      <c r="AO104" s="62">
        <f t="shared" si="90"/>
        <v>236.19165554863852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5.4</v>
      </c>
      <c r="BD104" s="13">
        <f>IF('Données projet'!$A$88&gt;35,BD103+BC104-BL103,IF(A104&lt;'Données projet'!$A$88,$BA$205^A104,IF(A104='Données projet'!$A$88,'Données projet'!$B$88,BD103+BC104-BL103)))</f>
        <v>311.39999999999998</v>
      </c>
      <c r="BE104" s="14">
        <f>BD104*VLOOKUP('Données projet'!$B$11,Paramètres!$A$1:$I$89,3,0)*VLOOKUP('Données projet'!$B$11,Paramètres!$A$1:$I$89,5,0)</f>
        <v>301.18608</v>
      </c>
      <c r="BF104" s="14">
        <f t="shared" si="91"/>
        <v>71.425054271756295</v>
      </c>
      <c r="BG104" s="22">
        <f t="shared" si="61"/>
        <v>648.96439218997557</v>
      </c>
      <c r="BH104" s="62">
        <f t="shared" si="62"/>
        <v>926.64478473705003</v>
      </c>
      <c r="BI104" s="62">
        <f ca="1">AVERAGE(OFFSET($BH$3,0,0,'Données projet'!$E$11+1,1))-AVERAGE(OFFSET($H$3,0,0,'Données projet'!$E$11+1,1))</f>
        <v>500.25828825677058</v>
      </c>
      <c r="BJ104" s="62">
        <f t="shared" si="92"/>
        <v>313.56299786481338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-1.1368683772161603E-13</v>
      </c>
      <c r="BZ104" s="14">
        <f>BY104*VLOOKUP('Données projet'!$B$12,Paramètres!$A$1:$I$89,3,0)*VLOOKUP('Données projet'!$B$12,Paramètres!$A$1:$I$89,5,0)</f>
        <v>-9.9316821433603781E-14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287.22548699835653</v>
      </c>
      <c r="CE104" s="62">
        <f t="shared" si="94"/>
        <v>276.01618888357268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269.80000000000007</v>
      </c>
      <c r="O105" s="14">
        <f>N105*VLOOKUP('Données projet'!$B$9,Paramètres!$A$1:$I$89,3,0)*VLOOKUP('Données projet'!$B$9,Paramètres!$A$1:$I$89,5,0)</f>
        <v>273.57720000000012</v>
      </c>
      <c r="P105" s="14">
        <f t="shared" si="87"/>
        <v>65.607858889915107</v>
      </c>
      <c r="Q105" s="22">
        <f t="shared" si="107"/>
        <v>590.74731089993566</v>
      </c>
      <c r="R105" s="62">
        <f t="shared" si="55"/>
        <v>868.69924697491865</v>
      </c>
      <c r="S105" s="62">
        <f ca="1">AVERAGE(OFFSET($R$3,0,0,'Données projet'!$E$9+1,1))-AVERAGE(OFFSET($H$3,0,0,'Données projet'!$E$9+1,1))</f>
        <v>446.90706503298787</v>
      </c>
      <c r="T105" s="62">
        <f t="shared" si="88"/>
        <v>275.54513370838777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5.4</v>
      </c>
      <c r="AI105" s="14">
        <f>IF('Données projet'!$A$62&gt;35,AI104+AH105-AQ104,IF(A105&lt;'Données projet'!$A$62,$AF$205^A105,IF(A105='Données projet'!$A$62,'Données projet'!$B$62,AI104+AH105-AQ104)))</f>
        <v>316.79999999999995</v>
      </c>
      <c r="AJ105" s="14">
        <f>AI105*VLOOKUP('Données projet'!$B$10,Paramètres!$A$1:$I$89,3,0)*VLOOKUP('Données projet'!$B$10,Paramètres!$A$1:$I$89,5,0)</f>
        <v>212.50943999999998</v>
      </c>
      <c r="AK105" s="14">
        <f t="shared" si="89"/>
        <v>52.483581779454731</v>
      </c>
      <c r="AL105" s="22">
        <f t="shared" si="58"/>
        <v>461.52951293255023</v>
      </c>
      <c r="AM105" s="62">
        <f t="shared" si="59"/>
        <v>739.48144900753323</v>
      </c>
      <c r="AN105" s="62">
        <f ca="1">AVERAGE(OFFSET($AM$3,0,0,'Données projet'!$E$10+1,1))-AVERAGE(OFFSET($H$3,0,0,'Données projet'!$E$10+1,1))</f>
        <v>369.59928463850827</v>
      </c>
      <c r="AO105" s="62">
        <f t="shared" si="90"/>
        <v>236.19165554863852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5.4</v>
      </c>
      <c r="BD105" s="13">
        <f>IF('Données projet'!$A$88&gt;35,BD104+BC105-BL104,IF(A105&lt;'Données projet'!$A$88,$BA$205^A105,IF(A105='Données projet'!$A$88,'Données projet'!$B$88,BD104+BC105-BL104)))</f>
        <v>316.79999999999995</v>
      </c>
      <c r="BE105" s="14">
        <f>BD105*VLOOKUP('Données projet'!$B$11,Paramètres!$A$1:$I$89,3,0)*VLOOKUP('Données projet'!$B$11,Paramètres!$A$1:$I$89,5,0)</f>
        <v>306.40895999999998</v>
      </c>
      <c r="BF105" s="14">
        <f t="shared" si="91"/>
        <v>72.518370290127464</v>
      </c>
      <c r="BG105" s="22">
        <f t="shared" si="61"/>
        <v>659.96510025530517</v>
      </c>
      <c r="BH105" s="62">
        <f t="shared" si="62"/>
        <v>937.91703633028806</v>
      </c>
      <c r="BI105" s="62">
        <f ca="1">AVERAGE(OFFSET($BH$3,0,0,'Données projet'!$E$11+1,1))-AVERAGE(OFFSET($H$3,0,0,'Données projet'!$E$11+1,1))</f>
        <v>500.25828825677058</v>
      </c>
      <c r="BJ105" s="62">
        <f t="shared" si="92"/>
        <v>313.56299786481338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-1.1368683772161603E-13</v>
      </c>
      <c r="BZ105" s="14">
        <f>BY105*VLOOKUP('Données projet'!$B$12,Paramètres!$A$1:$I$89,3,0)*VLOOKUP('Données projet'!$B$12,Paramètres!$A$1:$I$89,5,0)</f>
        <v>-9.9316821433603781E-14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287.22548699835653</v>
      </c>
      <c r="CE105" s="62">
        <f t="shared" si="94"/>
        <v>276.01618888357268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274.20000000000005</v>
      </c>
      <c r="O106" s="14">
        <f>N106*VLOOKUP('Données projet'!$B$9,Paramètres!$A$1:$I$89,3,0)*VLOOKUP('Données projet'!$B$9,Paramètres!$A$1:$I$89,5,0)</f>
        <v>278.03880000000009</v>
      </c>
      <c r="P106" s="14">
        <f t="shared" si="87"/>
        <v>66.5523815477178</v>
      </c>
      <c r="Q106" s="22">
        <f t="shared" si="107"/>
        <v>600.16297452894207</v>
      </c>
      <c r="R106" s="62">
        <f t="shared" si="55"/>
        <v>878.3817434587047</v>
      </c>
      <c r="S106" s="62">
        <f ca="1">AVERAGE(OFFSET($R$3,0,0,'Données projet'!$E$9+1,1))-AVERAGE(OFFSET($H$3,0,0,'Données projet'!$E$9+1,1))</f>
        <v>446.90706503298787</v>
      </c>
      <c r="T106" s="62">
        <f t="shared" si="88"/>
        <v>275.54513370838777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5.4</v>
      </c>
      <c r="AI106" s="14">
        <f>IF('Données projet'!$A$62&gt;35,AI105+AH106-AQ105,IF(A106&lt;'Données projet'!$A$62,$AF$205^A106,IF(A106='Données projet'!$A$62,'Données projet'!$B$62,AI105+AH106-AQ105)))</f>
        <v>322.19999999999993</v>
      </c>
      <c r="AJ106" s="14">
        <f>AI106*VLOOKUP('Données projet'!$B$10,Paramètres!$A$1:$I$89,3,0)*VLOOKUP('Données projet'!$B$10,Paramètres!$A$1:$I$89,5,0)</f>
        <v>216.13175999999996</v>
      </c>
      <c r="AK106" s="14">
        <f t="shared" si="89"/>
        <v>53.273276832974595</v>
      </c>
      <c r="AL106" s="22">
        <f t="shared" si="58"/>
        <v>469.21377248409726</v>
      </c>
      <c r="AM106" s="62">
        <f t="shared" si="59"/>
        <v>747.43254141386001</v>
      </c>
      <c r="AN106" s="62">
        <f ca="1">AVERAGE(OFFSET($AM$3,0,0,'Données projet'!$E$10+1,1))-AVERAGE(OFFSET($H$3,0,0,'Données projet'!$E$10+1,1))</f>
        <v>369.59928463850827</v>
      </c>
      <c r="AO106" s="62">
        <f t="shared" si="90"/>
        <v>236.19165554863852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5.4</v>
      </c>
      <c r="BD106" s="13">
        <f>IF('Données projet'!$A$88&gt;35,BD105+BC106-BL105,IF(A106&lt;'Données projet'!$A$88,$BA$205^A106,IF(A106='Données projet'!$A$88,'Données projet'!$B$88,BD105+BC106-BL105)))</f>
        <v>322.19999999999993</v>
      </c>
      <c r="BE106" s="14">
        <f>BD106*VLOOKUP('Données projet'!$B$11,Paramètres!$A$1:$I$89,3,0)*VLOOKUP('Données projet'!$B$11,Paramètres!$A$1:$I$89,5,0)</f>
        <v>311.63183999999995</v>
      </c>
      <c r="BF106" s="14">
        <f t="shared" si="91"/>
        <v>73.609519109735089</v>
      </c>
      <c r="BG106" s="22">
        <f t="shared" si="61"/>
        <v>670.96203378278858</v>
      </c>
      <c r="BH106" s="62">
        <f t="shared" si="62"/>
        <v>949.18080271255121</v>
      </c>
      <c r="BI106" s="62">
        <f ca="1">AVERAGE(OFFSET($BH$3,0,0,'Données projet'!$E$11+1,1))-AVERAGE(OFFSET($H$3,0,0,'Données projet'!$E$11+1,1))</f>
        <v>500.25828825677058</v>
      </c>
      <c r="BJ106" s="62">
        <f t="shared" si="92"/>
        <v>313.56299786481338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-1.1368683772161603E-13</v>
      </c>
      <c r="BZ106" s="14">
        <f>BY106*VLOOKUP('Données projet'!$B$12,Paramètres!$A$1:$I$89,3,0)*VLOOKUP('Données projet'!$B$12,Paramètres!$A$1:$I$89,5,0)</f>
        <v>-9.9316821433603781E-14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287.22548699835653</v>
      </c>
      <c r="CE106" s="62">
        <f t="shared" si="94"/>
        <v>276.01618888357268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278.60000000000002</v>
      </c>
      <c r="O107" s="14">
        <f>N107*VLOOKUP('Données projet'!$B$9,Paramètres!$A$1:$I$89,3,0)*VLOOKUP('Données projet'!$B$9,Paramètres!$A$1:$I$89,5,0)</f>
        <v>282.50040000000007</v>
      </c>
      <c r="P107" s="14">
        <f t="shared" si="87"/>
        <v>67.495141560894439</v>
      </c>
      <c r="Q107" s="22">
        <f t="shared" si="107"/>
        <v>609.57556821855781</v>
      </c>
      <c r="R107" s="62">
        <f t="shared" si="55"/>
        <v>888.05654104961877</v>
      </c>
      <c r="S107" s="62">
        <f ca="1">AVERAGE(OFFSET($R$3,0,0,'Données projet'!$E$9+1,1))-AVERAGE(OFFSET($H$3,0,0,'Données projet'!$E$9+1,1))</f>
        <v>446.90706503298787</v>
      </c>
      <c r="T107" s="62">
        <f t="shared" si="88"/>
        <v>275.54513370838777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5.4</v>
      </c>
      <c r="AI107" s="14">
        <f>IF('Données projet'!$A$62&gt;35,AI106+AH107-AQ106,IF(A107&lt;'Données projet'!$A$62,$AF$205^A107,IF(A107='Données projet'!$A$62,'Données projet'!$B$62,AI106+AH107-AQ106)))</f>
        <v>327.59999999999991</v>
      </c>
      <c r="AJ107" s="14">
        <f>AI107*VLOOKUP('Données projet'!$B$10,Paramètres!$A$1:$I$89,3,0)*VLOOKUP('Données projet'!$B$10,Paramètres!$A$1:$I$89,5,0)</f>
        <v>219.75407999999996</v>
      </c>
      <c r="AK107" s="14">
        <f t="shared" si="89"/>
        <v>54.061432744926762</v>
      </c>
      <c r="AL107" s="22">
        <f t="shared" si="58"/>
        <v>476.89535136408062</v>
      </c>
      <c r="AM107" s="62">
        <f t="shared" si="59"/>
        <v>755.37632419514148</v>
      </c>
      <c r="AN107" s="62">
        <f ca="1">AVERAGE(OFFSET($AM$3,0,0,'Données projet'!$E$10+1,1))-AVERAGE(OFFSET($H$3,0,0,'Données projet'!$E$10+1,1))</f>
        <v>369.59928463850827</v>
      </c>
      <c r="AO107" s="62">
        <f t="shared" si="90"/>
        <v>236.19165554863852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5.4</v>
      </c>
      <c r="BD107" s="13">
        <f>IF('Données projet'!$A$88&gt;35,BD106+BC107-BL106,IF(A107&lt;'Données projet'!$A$88,$BA$205^A107,IF(A107='Données projet'!$A$88,'Données projet'!$B$88,BD106+BC107-BL106)))</f>
        <v>327.59999999999991</v>
      </c>
      <c r="BE107" s="14">
        <f>BD107*VLOOKUP('Données projet'!$B$11,Paramètres!$A$1:$I$89,3,0)*VLOOKUP('Données projet'!$B$11,Paramètres!$A$1:$I$89,5,0)</f>
        <v>316.85471999999993</v>
      </c>
      <c r="BF107" s="14">
        <f t="shared" si="91"/>
        <v>74.698541244494848</v>
      </c>
      <c r="BG107" s="22">
        <f t="shared" si="61"/>
        <v>681.95526333416171</v>
      </c>
      <c r="BH107" s="62">
        <f t="shared" si="62"/>
        <v>960.43623616522268</v>
      </c>
      <c r="BI107" s="62">
        <f ca="1">AVERAGE(OFFSET($BH$3,0,0,'Données projet'!$E$11+1,1))-AVERAGE(OFFSET($H$3,0,0,'Données projet'!$E$11+1,1))</f>
        <v>500.25828825677058</v>
      </c>
      <c r="BJ107" s="62">
        <f t="shared" si="92"/>
        <v>313.56299786481338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-1.1368683772161603E-13</v>
      </c>
      <c r="BZ107" s="14">
        <f>BY107*VLOOKUP('Données projet'!$B$12,Paramètres!$A$1:$I$89,3,0)*VLOOKUP('Données projet'!$B$12,Paramètres!$A$1:$I$89,5,0)</f>
        <v>-9.9316821433603781E-14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287.22548699835653</v>
      </c>
      <c r="CE107" s="62">
        <f t="shared" si="94"/>
        <v>276.01618888357268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283</v>
      </c>
      <c r="L108" s="13">
        <f>VLOOKUP(A108,'Données projet'!$A$35:$I$55,9,0)</f>
        <v>4.4000000000000004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283</v>
      </c>
      <c r="O108" s="14">
        <f>N108*VLOOKUP('Données projet'!$B$9,Paramètres!$A$1:$I$89,3,0)*VLOOKUP('Données projet'!$B$9,Paramètres!$A$1:$I$89,5,0)</f>
        <v>286.96200000000005</v>
      </c>
      <c r="P108" s="14">
        <f t="shared" si="87"/>
        <v>68.436169981717853</v>
      </c>
      <c r="Q108" s="22">
        <f t="shared" si="107"/>
        <v>618.98514605149205</v>
      </c>
      <c r="R108" s="62">
        <f t="shared" si="55"/>
        <v>897.72377413236381</v>
      </c>
      <c r="S108" s="62">
        <f ca="1">AVERAGE(OFFSET($R$3,0,0,'Données projet'!$E$9+1,1))-AVERAGE(OFFSET($H$3,0,0,'Données projet'!$E$9+1,1))</f>
        <v>446.90706503298787</v>
      </c>
      <c r="T108" s="62">
        <f t="shared" si="88"/>
        <v>275.54513370838777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333</v>
      </c>
      <c r="AG108" s="13">
        <f>VLOOKUP(A108,'Données projet'!$A$61:$I$81,9,0)</f>
        <v>5.4</v>
      </c>
      <c r="AH108" s="13">
        <f t="array" ref="AH108">INDEX(AG:AG,MIN(IF(ISNUMBER(AG108:AG304),ROW(AG108:AG304),"")))</f>
        <v>5.4</v>
      </c>
      <c r="AI108" s="14">
        <f>IF('Données projet'!$A$62&gt;35,AI107+AH108-AQ107,IF(A108&lt;'Données projet'!$A$62,$AF$205^A108,IF(A108='Données projet'!$A$62,'Données projet'!$B$62,AI107+AH108-AQ107)))</f>
        <v>332.99999999999989</v>
      </c>
      <c r="AJ108" s="14">
        <f>AI108*VLOOKUP('Données projet'!$B$10,Paramètres!$A$1:$I$89,3,0)*VLOOKUP('Données projet'!$B$10,Paramètres!$A$1:$I$89,5,0)</f>
        <v>223.3763999999999</v>
      </c>
      <c r="AK108" s="14">
        <f t="shared" si="89"/>
        <v>54.848077814326416</v>
      </c>
      <c r="AL108" s="22">
        <f t="shared" si="58"/>
        <v>484.57429885995163</v>
      </c>
      <c r="AM108" s="62">
        <f t="shared" si="59"/>
        <v>763.31292694082344</v>
      </c>
      <c r="AN108" s="62">
        <f ca="1">AVERAGE(OFFSET($AM$3,0,0,'Données projet'!$E$10+1,1))-AVERAGE(OFFSET($H$3,0,0,'Données projet'!$E$10+1,1))</f>
        <v>369.59928463850827</v>
      </c>
      <c r="AO108" s="62">
        <f t="shared" si="90"/>
        <v>236.19165554863852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26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333</v>
      </c>
      <c r="BB108" s="13">
        <f>VLOOKUP(A108,'Données projet'!$A$87:$I$107,9,0)</f>
        <v>5.4</v>
      </c>
      <c r="BC108" s="13">
        <f t="array" ref="BC108">INDEX(BB:BB,MIN(IF(ISNUMBER(BB108:BB304),ROW(BB108:BB304),"")))</f>
        <v>5.4</v>
      </c>
      <c r="BD108" s="13">
        <f>IF('Données projet'!$A$88&gt;35,BD107+BC108-BL107,IF(A108&lt;'Données projet'!$A$88,$BA$205^A108,IF(A108='Données projet'!$A$88,'Données projet'!$B$88,BD107+BC108-BL107)))</f>
        <v>332.99999999999989</v>
      </c>
      <c r="BE108" s="14">
        <f>BD108*VLOOKUP('Données projet'!$B$11,Paramètres!$A$1:$I$89,3,0)*VLOOKUP('Données projet'!$B$11,Paramètres!$A$1:$I$89,5,0)</f>
        <v>322.0775999999999</v>
      </c>
      <c r="BF108" s="14">
        <f t="shared" si="91"/>
        <v>75.785475796129404</v>
      </c>
      <c r="BG108" s="22">
        <f t="shared" si="61"/>
        <v>692.94485701159181</v>
      </c>
      <c r="BH108" s="62">
        <f t="shared" si="62"/>
        <v>971.68348509246357</v>
      </c>
      <c r="BI108" s="62">
        <f ca="1">AVERAGE(OFFSET($BH$3,0,0,'Données projet'!$E$11+1,1))-AVERAGE(OFFSET($H$3,0,0,'Données projet'!$E$11+1,1))</f>
        <v>500.25828825677058</v>
      </c>
      <c r="BJ108" s="62">
        <f t="shared" si="92"/>
        <v>313.56299786481338</v>
      </c>
      <c r="BK108" s="16">
        <f>IF(ISNA(VLOOKUP(A108,'Données projet'!$A$87:$I$107,3,0)),0,VLOOKUP(A108,'Données projet'!$A$87:$I$107,3,0))</f>
        <v>18</v>
      </c>
      <c r="BL108" s="16">
        <f>IF(ISNA(VLOOKUP(A108,'Données projet'!$A$87:$I$107,4,0)),0,VLOOKUP(A108,'Données projet'!$A$87:$I$107,4,0))</f>
        <v>26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-1.1368683772161603E-13</v>
      </c>
      <c r="BZ108" s="14">
        <f>BY108*VLOOKUP('Données projet'!$B$12,Paramètres!$A$1:$I$89,3,0)*VLOOKUP('Données projet'!$B$12,Paramètres!$A$1:$I$89,5,0)</f>
        <v>-9.9316821433603781E-14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287.22548699835653</v>
      </c>
      <c r="CE108" s="62">
        <f t="shared" si="94"/>
        <v>276.01618888357268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267.2</v>
      </c>
      <c r="O109" s="14">
        <f>N109*VLOOKUP('Données projet'!$B$9,Paramètres!$A$1:$I$89,3,0)*VLOOKUP('Données projet'!$B$9,Paramètres!$A$1:$I$89,5,0)</f>
        <v>270.94080000000002</v>
      </c>
      <c r="P109" s="14">
        <f t="shared" si="87"/>
        <v>65.048890354155489</v>
      </c>
      <c r="Q109" s="22">
        <f t="shared" si="107"/>
        <v>585.1820440334875</v>
      </c>
      <c r="R109" s="62">
        <f t="shared" si="55"/>
        <v>864.17385762161666</v>
      </c>
      <c r="S109" s="62">
        <f ca="1">AVERAGE(OFFSET($R$3,0,0,'Données projet'!$E$9+1,1))-AVERAGE(OFFSET($H$3,0,0,'Données projet'!$E$9+1,1))</f>
        <v>446.90706503298787</v>
      </c>
      <c r="T109" s="62">
        <f t="shared" si="88"/>
        <v>275.54513370838777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</v>
      </c>
      <c r="AI109" s="14">
        <f>IF('Données projet'!$A$62&gt;35,AI108+AH109-AQ108,IF(A109&lt;'Données projet'!$A$62,$AF$205^A109,IF(A109='Données projet'!$A$62,'Données projet'!$B$62,AI108+AH109-AQ108)))</f>
        <v>311.99999999999989</v>
      </c>
      <c r="AJ109" s="14">
        <f>AI109*VLOOKUP('Données projet'!$B$10,Paramètres!$A$1:$I$89,3,0)*VLOOKUP('Données projet'!$B$10,Paramètres!$A$1:$I$89,5,0)</f>
        <v>209.28959999999992</v>
      </c>
      <c r="AK109" s="14">
        <f t="shared" si="89"/>
        <v>51.780314822292169</v>
      </c>
      <c r="AL109" s="22">
        <f t="shared" si="58"/>
        <v>454.69676831549208</v>
      </c>
      <c r="AM109" s="62">
        <f t="shared" si="59"/>
        <v>733.68858190362118</v>
      </c>
      <c r="AN109" s="62">
        <f ca="1">AVERAGE(OFFSET($AM$3,0,0,'Données projet'!$E$10+1,1))-AVERAGE(OFFSET($H$3,0,0,'Données projet'!$E$10+1,1))</f>
        <v>369.59928463850827</v>
      </c>
      <c r="AO109" s="62">
        <f t="shared" si="90"/>
        <v>236.19165554863852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</v>
      </c>
      <c r="BD109" s="13">
        <f>IF('Données projet'!$A$88&gt;35,BD108+BC109-BL108,IF(A109&lt;'Données projet'!$A$88,$BA$205^A109,IF(A109='Données projet'!$A$88,'Données projet'!$B$88,BD108+BC109-BL108)))</f>
        <v>311.99999999999989</v>
      </c>
      <c r="BE109" s="14">
        <f>BD109*VLOOKUP('Données projet'!$B$11,Paramètres!$A$1:$I$89,3,0)*VLOOKUP('Données projet'!$B$11,Paramètres!$A$1:$I$89,5,0)</f>
        <v>301.76639999999992</v>
      </c>
      <c r="BF109" s="14">
        <f t="shared" si="91"/>
        <v>71.546642144235292</v>
      </c>
      <c r="BG109" s="22">
        <f t="shared" si="61"/>
        <v>650.18688173454302</v>
      </c>
      <c r="BH109" s="62">
        <f t="shared" si="62"/>
        <v>929.17869532267218</v>
      </c>
      <c r="BI109" s="62">
        <f ca="1">AVERAGE(OFFSET($BH$3,0,0,'Données projet'!$E$11+1,1))-AVERAGE(OFFSET($H$3,0,0,'Données projet'!$E$11+1,1))</f>
        <v>500.25828825677058</v>
      </c>
      <c r="BJ109" s="62">
        <f t="shared" si="92"/>
        <v>313.56299786481338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-1.1368683772161603E-13</v>
      </c>
      <c r="BZ109" s="14">
        <f>BY109*VLOOKUP('Données projet'!$B$12,Paramètres!$A$1:$I$89,3,0)*VLOOKUP('Données projet'!$B$12,Paramètres!$A$1:$I$89,5,0)</f>
        <v>-9.9316821433603781E-14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287.22548699835653</v>
      </c>
      <c r="CE109" s="62">
        <f t="shared" si="94"/>
        <v>276.01618888357268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271.39999999999998</v>
      </c>
      <c r="O110" s="14">
        <f>N110*VLOOKUP('Données projet'!$B$9,Paramètres!$A$1:$I$89,3,0)*VLOOKUP('Données projet'!$B$9,Paramètres!$A$1:$I$89,5,0)</f>
        <v>275.19960000000003</v>
      </c>
      <c r="P110" s="14">
        <f t="shared" si="87"/>
        <v>65.951527620662617</v>
      </c>
      <c r="Q110" s="22">
        <f t="shared" si="107"/>
        <v>594.17154727265404</v>
      </c>
      <c r="R110" s="62">
        <f t="shared" si="55"/>
        <v>873.41215416552768</v>
      </c>
      <c r="S110" s="62">
        <f ca="1">AVERAGE(OFFSET($R$3,0,0,'Données projet'!$E$9+1,1))-AVERAGE(OFFSET($H$3,0,0,'Données projet'!$E$9+1,1))</f>
        <v>446.90706503298787</v>
      </c>
      <c r="T110" s="62">
        <f t="shared" si="88"/>
        <v>275.54513370838777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</v>
      </c>
      <c r="AI110" s="14">
        <f>IF('Données projet'!$A$62&gt;35,AI109+AH110-AQ109,IF(A110&lt;'Données projet'!$A$62,$AF$205^A110,IF(A110='Données projet'!$A$62,'Données projet'!$B$62,AI109+AH110-AQ109)))</f>
        <v>316.99999999999989</v>
      </c>
      <c r="AJ110" s="14">
        <f>AI110*VLOOKUP('Données projet'!$B$10,Paramètres!$A$1:$I$89,3,0)*VLOOKUP('Données projet'!$B$10,Paramètres!$A$1:$I$89,5,0)</f>
        <v>212.64359999999994</v>
      </c>
      <c r="AK110" s="14">
        <f t="shared" si="89"/>
        <v>52.512857530306484</v>
      </c>
      <c r="AL110" s="22">
        <f t="shared" si="58"/>
        <v>461.81416353195027</v>
      </c>
      <c r="AM110" s="62">
        <f t="shared" si="59"/>
        <v>741.05477042482391</v>
      </c>
      <c r="AN110" s="62">
        <f ca="1">AVERAGE(OFFSET($AM$3,0,0,'Données projet'!$E$10+1,1))-AVERAGE(OFFSET($H$3,0,0,'Données projet'!$E$10+1,1))</f>
        <v>369.59928463850827</v>
      </c>
      <c r="AO110" s="62">
        <f t="shared" si="90"/>
        <v>236.19165554863852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</v>
      </c>
      <c r="BD110" s="13">
        <f>IF('Données projet'!$A$88&gt;35,BD109+BC110-BL109,IF(A110&lt;'Données projet'!$A$88,$BA$205^A110,IF(A110='Données projet'!$A$88,'Données projet'!$B$88,BD109+BC110-BL109)))</f>
        <v>316.99999999999989</v>
      </c>
      <c r="BE110" s="14">
        <f>BD110*VLOOKUP('Données projet'!$B$11,Paramètres!$A$1:$I$89,3,0)*VLOOKUP('Données projet'!$B$11,Paramètres!$A$1:$I$89,5,0)</f>
        <v>306.60239999999993</v>
      </c>
      <c r="BF110" s="14">
        <f t="shared" si="91"/>
        <v>72.558821602115088</v>
      </c>
      <c r="BG110" s="22">
        <f t="shared" si="61"/>
        <v>660.37246095701687</v>
      </c>
      <c r="BH110" s="62">
        <f t="shared" si="62"/>
        <v>939.61306784989051</v>
      </c>
      <c r="BI110" s="62">
        <f ca="1">AVERAGE(OFFSET($BH$3,0,0,'Données projet'!$E$11+1,1))-AVERAGE(OFFSET($H$3,0,0,'Données projet'!$E$11+1,1))</f>
        <v>500.25828825677058</v>
      </c>
      <c r="BJ110" s="62">
        <f t="shared" si="92"/>
        <v>313.56299786481338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-1.1368683772161603E-13</v>
      </c>
      <c r="BZ110" s="14">
        <f>BY110*VLOOKUP('Données projet'!$B$12,Paramètres!$A$1:$I$89,3,0)*VLOOKUP('Données projet'!$B$12,Paramètres!$A$1:$I$89,5,0)</f>
        <v>-9.9316821433603781E-14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287.22548699835653</v>
      </c>
      <c r="CE110" s="62">
        <f t="shared" si="94"/>
        <v>276.01618888357268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275.59999999999997</v>
      </c>
      <c r="O111" s="14">
        <f>N111*VLOOKUP('Données projet'!$B$9,Paramètres!$A$1:$I$89,3,0)*VLOOKUP('Données projet'!$B$9,Paramètres!$A$1:$I$89,5,0)</f>
        <v>279.45839999999998</v>
      </c>
      <c r="P111" s="14">
        <f t="shared" si="87"/>
        <v>66.852540337772723</v>
      </c>
      <c r="Q111" s="22">
        <f t="shared" si="107"/>
        <v>603.15822108828741</v>
      </c>
      <c r="R111" s="62">
        <f t="shared" si="55"/>
        <v>882.64330527828679</v>
      </c>
      <c r="S111" s="62">
        <f ca="1">AVERAGE(OFFSET($R$3,0,0,'Données projet'!$E$9+1,1))-AVERAGE(OFFSET($H$3,0,0,'Données projet'!$E$9+1,1))</f>
        <v>446.90706503298787</v>
      </c>
      <c r="T111" s="62">
        <f t="shared" si="88"/>
        <v>275.54513370838777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</v>
      </c>
      <c r="AI111" s="14">
        <f>IF('Données projet'!$A$62&gt;35,AI110+AH111-AQ110,IF(A111&lt;'Données projet'!$A$62,$AF$205^A111,IF(A111='Données projet'!$A$62,'Données projet'!$B$62,AI110+AH111-AQ110)))</f>
        <v>321.99999999999989</v>
      </c>
      <c r="AJ111" s="14">
        <f>AI111*VLOOKUP('Données projet'!$B$10,Paramètres!$A$1:$I$89,3,0)*VLOOKUP('Données projet'!$B$10,Paramètres!$A$1:$I$89,5,0)</f>
        <v>215.99759999999992</v>
      </c>
      <c r="AK111" s="14">
        <f t="shared" si="89"/>
        <v>53.244056492586679</v>
      </c>
      <c r="AL111" s="22">
        <f t="shared" si="58"/>
        <v>468.92921839125489</v>
      </c>
      <c r="AM111" s="62">
        <f t="shared" si="59"/>
        <v>748.41430258125422</v>
      </c>
      <c r="AN111" s="62">
        <f ca="1">AVERAGE(OFFSET($AM$3,0,0,'Données projet'!$E$10+1,1))-AVERAGE(OFFSET($H$3,0,0,'Données projet'!$E$10+1,1))</f>
        <v>369.59928463850827</v>
      </c>
      <c r="AO111" s="62">
        <f t="shared" si="90"/>
        <v>236.19165554863852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</v>
      </c>
      <c r="BD111" s="13">
        <f>IF('Données projet'!$A$88&gt;35,BD110+BC111-BL110,IF(A111&lt;'Données projet'!$A$88,$BA$205^A111,IF(A111='Données projet'!$A$88,'Données projet'!$B$88,BD110+BC111-BL110)))</f>
        <v>321.99999999999989</v>
      </c>
      <c r="BE111" s="14">
        <f>BD111*VLOOKUP('Données projet'!$B$11,Paramètres!$A$1:$I$89,3,0)*VLOOKUP('Données projet'!$B$11,Paramètres!$A$1:$I$89,5,0)</f>
        <v>311.43839999999989</v>
      </c>
      <c r="BF111" s="14">
        <f t="shared" si="91"/>
        <v>73.569144360291361</v>
      </c>
      <c r="BG111" s="22">
        <f t="shared" si="61"/>
        <v>670.55480642750729</v>
      </c>
      <c r="BH111" s="62">
        <f t="shared" si="62"/>
        <v>950.03989061750667</v>
      </c>
      <c r="BI111" s="62">
        <f ca="1">AVERAGE(OFFSET($BH$3,0,0,'Données projet'!$E$11+1,1))-AVERAGE(OFFSET($H$3,0,0,'Données projet'!$E$11+1,1))</f>
        <v>500.25828825677058</v>
      </c>
      <c r="BJ111" s="62">
        <f t="shared" si="92"/>
        <v>313.56299786481338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-1.1368683772161603E-13</v>
      </c>
      <c r="BZ111" s="14">
        <f>BY111*VLOOKUP('Données projet'!$B$12,Paramètres!$A$1:$I$89,3,0)*VLOOKUP('Données projet'!$B$12,Paramètres!$A$1:$I$89,5,0)</f>
        <v>-9.9316821433603781E-14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287.22548699835653</v>
      </c>
      <c r="CE111" s="62">
        <f t="shared" si="94"/>
        <v>276.01618888357268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279.79999999999995</v>
      </c>
      <c r="O112" s="14">
        <f>N112*VLOOKUP('Données projet'!$B$9,Paramètres!$A$1:$I$89,3,0)*VLOOKUP('Données projet'!$B$9,Paramètres!$A$1:$I$89,5,0)</f>
        <v>283.71719999999999</v>
      </c>
      <c r="P112" s="14">
        <f t="shared" si="87"/>
        <v>67.751956122170697</v>
      </c>
      <c r="Q112" s="22">
        <f t="shared" si="107"/>
        <v>612.14211357944725</v>
      </c>
      <c r="R112" s="62">
        <f t="shared" si="55"/>
        <v>891.86743393203653</v>
      </c>
      <c r="S112" s="62">
        <f ca="1">AVERAGE(OFFSET($R$3,0,0,'Données projet'!$E$9+1,1))-AVERAGE(OFFSET($H$3,0,0,'Données projet'!$E$9+1,1))</f>
        <v>446.90706503298787</v>
      </c>
      <c r="T112" s="62">
        <f t="shared" si="88"/>
        <v>275.54513370838777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</v>
      </c>
      <c r="AI112" s="14">
        <f>IF('Données projet'!$A$62&gt;35,AI111+AH112-AQ111,IF(A112&lt;'Données projet'!$A$62,$AF$205^A112,IF(A112='Données projet'!$A$62,'Données projet'!$B$62,AI111+AH112-AQ111)))</f>
        <v>326.99999999999989</v>
      </c>
      <c r="AJ112" s="14">
        <f>AI112*VLOOKUP('Données projet'!$B$10,Paramètres!$A$1:$I$89,3,0)*VLOOKUP('Données projet'!$B$10,Paramètres!$A$1:$I$89,5,0)</f>
        <v>219.35159999999993</v>
      </c>
      <c r="AK112" s="14">
        <f t="shared" si="89"/>
        <v>53.973934984352134</v>
      </c>
      <c r="AL112" s="22">
        <f t="shared" si="58"/>
        <v>476.0419734310799</v>
      </c>
      <c r="AM112" s="62">
        <f t="shared" si="59"/>
        <v>755.76729378366917</v>
      </c>
      <c r="AN112" s="62">
        <f ca="1">AVERAGE(OFFSET($AM$3,0,0,'Données projet'!$E$10+1,1))-AVERAGE(OFFSET($H$3,0,0,'Données projet'!$E$10+1,1))</f>
        <v>369.59928463850827</v>
      </c>
      <c r="AO112" s="62">
        <f t="shared" si="90"/>
        <v>236.19165554863852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5</v>
      </c>
      <c r="BD112" s="13">
        <f>IF('Données projet'!$A$88&gt;35,BD111+BC112-BL111,IF(A112&lt;'Données projet'!$A$88,$BA$205^A112,IF(A112='Données projet'!$A$88,'Données projet'!$B$88,BD111+BC112-BL111)))</f>
        <v>326.99999999999989</v>
      </c>
      <c r="BE112" s="14">
        <f>BD112*VLOOKUP('Données projet'!$B$11,Paramètres!$A$1:$I$89,3,0)*VLOOKUP('Données projet'!$B$11,Paramètres!$A$1:$I$89,5,0)</f>
        <v>316.2743999999999</v>
      </c>
      <c r="BF112" s="14">
        <f t="shared" si="91"/>
        <v>74.577642578935567</v>
      </c>
      <c r="BG112" s="22">
        <f t="shared" si="61"/>
        <v>680.73397415831266</v>
      </c>
      <c r="BH112" s="62">
        <f t="shared" si="62"/>
        <v>960.45929451090194</v>
      </c>
      <c r="BI112" s="62">
        <f ca="1">AVERAGE(OFFSET($BH$3,0,0,'Données projet'!$E$11+1,1))-AVERAGE(OFFSET($H$3,0,0,'Données projet'!$E$11+1,1))</f>
        <v>500.25828825677058</v>
      </c>
      <c r="BJ112" s="62">
        <f t="shared" si="92"/>
        <v>313.56299786481338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-1.1368683772161603E-13</v>
      </c>
      <c r="BZ112" s="14">
        <f>BY112*VLOOKUP('Données projet'!$B$12,Paramètres!$A$1:$I$89,3,0)*VLOOKUP('Données projet'!$B$12,Paramètres!$A$1:$I$89,5,0)</f>
        <v>-9.9316821433603781E-14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287.22548699835653</v>
      </c>
      <c r="CE112" s="62">
        <f t="shared" si="94"/>
        <v>276.01618888357268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284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283.99999999999994</v>
      </c>
      <c r="O113" s="14">
        <f>N113*VLOOKUP('Données projet'!$B$9,Paramètres!$A$1:$I$89,3,0)*VLOOKUP('Données projet'!$B$9,Paramètres!$A$1:$I$89,5,0)</f>
        <v>287.97599999999994</v>
      </c>
      <c r="P113" s="14">
        <f t="shared" si="87"/>
        <v>68.649801713863141</v>
      </c>
      <c r="Q113" s="22">
        <f t="shared" si="107"/>
        <v>621.12327131831148</v>
      </c>
      <c r="R113" s="62">
        <f t="shared" si="55"/>
        <v>901.0846602731574</v>
      </c>
      <c r="S113" s="62">
        <f ca="1">AVERAGE(OFFSET($R$3,0,0,'Données projet'!$E$9+1,1))-AVERAGE(OFFSET($H$3,0,0,'Données projet'!$E$9+1,1))</f>
        <v>446.90706503298787</v>
      </c>
      <c r="T113" s="62">
        <f t="shared" si="88"/>
        <v>275.54513370838777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332</v>
      </c>
      <c r="AG113" s="13">
        <f>VLOOKUP(A113,'Données projet'!$A$61:$I$81,9,0)</f>
        <v>5</v>
      </c>
      <c r="AH113" s="13">
        <f t="array" ref="AH113">INDEX(AG:AG,MIN(IF(ISNUMBER(AG113:AG309),ROW(AG113:AG309),"")))</f>
        <v>5</v>
      </c>
      <c r="AI113" s="14">
        <f>IF('Données projet'!$A$62&gt;35,AI112+AH113-AQ112,IF(A113&lt;'Données projet'!$A$62,$AF$205^A113,IF(A113='Données projet'!$A$62,'Données projet'!$B$62,AI112+AH113-AQ112)))</f>
        <v>331.99999999999989</v>
      </c>
      <c r="AJ113" s="14">
        <f>AI113*VLOOKUP('Données projet'!$B$10,Paramètres!$A$1:$I$89,3,0)*VLOOKUP('Données projet'!$B$10,Paramètres!$A$1:$I$89,5,0)</f>
        <v>222.70559999999995</v>
      </c>
      <c r="AK113" s="14">
        <f t="shared" si="89"/>
        <v>54.702515528198902</v>
      </c>
      <c r="AL113" s="22">
        <f t="shared" si="58"/>
        <v>483.15246787827965</v>
      </c>
      <c r="AM113" s="62">
        <f t="shared" si="59"/>
        <v>763.11385683312551</v>
      </c>
      <c r="AN113" s="62">
        <f ca="1">AVERAGE(OFFSET($AM$3,0,0,'Données projet'!$E$10+1,1))-AVERAGE(OFFSET($H$3,0,0,'Données projet'!$E$10+1,1))</f>
        <v>369.59928463850827</v>
      </c>
      <c r="AO113" s="62">
        <f t="shared" si="90"/>
        <v>236.19165554863852</v>
      </c>
      <c r="AP113" s="16">
        <f>IF(ISNA(VLOOKUP(A113,'Données projet'!$A$61:$I$81,3,0)),0,VLOOKUP(A113,'Données projet'!$A$61:$I$81,3,0))</f>
        <v>19</v>
      </c>
      <c r="AQ113" s="16">
        <f>IF(ISNA(VLOOKUP(A113,'Données projet'!$A$61:$I$81,4,0)),0,VLOOKUP(A113,'Données projet'!$A$61:$I$81,4,0))</f>
        <v>25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332</v>
      </c>
      <c r="BB113" s="13">
        <f>VLOOKUP(A113,'Données projet'!$A$87:$I$107,9,0)</f>
        <v>5</v>
      </c>
      <c r="BC113" s="13">
        <f t="array" ref="BC113">INDEX(BB:BB,MIN(IF(ISNUMBER(BB113:BB309),ROW(BB113:BB309),"")))</f>
        <v>5</v>
      </c>
      <c r="BD113" s="13">
        <f>IF('Données projet'!$A$88&gt;35,BD112+BC113-BL112,IF(A113&lt;'Données projet'!$A$88,$BA$205^A113,IF(A113='Données projet'!$A$88,'Données projet'!$B$88,BD112+BC113-BL112)))</f>
        <v>331.99999999999989</v>
      </c>
      <c r="BE113" s="14">
        <f>BD113*VLOOKUP('Données projet'!$B$11,Paramètres!$A$1:$I$89,3,0)*VLOOKUP('Données projet'!$B$11,Paramètres!$A$1:$I$89,5,0)</f>
        <v>321.11039999999986</v>
      </c>
      <c r="BF113" s="14">
        <f t="shared" si="91"/>
        <v>75.584347378293316</v>
      </c>
      <c r="BG113" s="22">
        <f t="shared" si="61"/>
        <v>690.91001835052737</v>
      </c>
      <c r="BH113" s="62">
        <f t="shared" si="62"/>
        <v>970.87140730537317</v>
      </c>
      <c r="BI113" s="62">
        <f ca="1">AVERAGE(OFFSET($BH$3,0,0,'Données projet'!$E$11+1,1))-AVERAGE(OFFSET($H$3,0,0,'Données projet'!$E$11+1,1))</f>
        <v>500.25828825677058</v>
      </c>
      <c r="BJ113" s="62">
        <f t="shared" si="92"/>
        <v>313.56299786481338</v>
      </c>
      <c r="BK113" s="16">
        <f>IF(ISNA(VLOOKUP(A113,'Données projet'!$A$87:$I$107,3,0)),0,VLOOKUP(A113,'Données projet'!$A$87:$I$107,3,0))</f>
        <v>19</v>
      </c>
      <c r="BL113" s="16">
        <f>IF(ISNA(VLOOKUP(A113,'Données projet'!$A$87:$I$107,4,0)),0,VLOOKUP(A113,'Données projet'!$A$87:$I$107,4,0))</f>
        <v>25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-1.1368683772161603E-13</v>
      </c>
      <c r="BZ113" s="14">
        <f>BY113*VLOOKUP('Données projet'!$B$12,Paramètres!$A$1:$I$89,3,0)*VLOOKUP('Données projet'!$B$12,Paramètres!$A$1:$I$89,5,0)</f>
        <v>-9.9316821433603781E-14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287.22548699835653</v>
      </c>
      <c r="CE113" s="62">
        <f t="shared" si="94"/>
        <v>276.01618888357268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268.79999999999995</v>
      </c>
      <c r="O114" s="14">
        <f>N114*VLOOKUP('Données projet'!$B$9,Paramètres!$A$1:$I$89,3,0)*VLOOKUP('Données projet'!$B$9,Paramètres!$A$1:$I$89,5,0)</f>
        <v>272.56319999999994</v>
      </c>
      <c r="P114" s="14">
        <f t="shared" si="87"/>
        <v>65.392945522034609</v>
      </c>
      <c r="Q114" s="22">
        <f t="shared" si="107"/>
        <v>588.60695345087686</v>
      </c>
      <c r="R114" s="62">
        <f t="shared" si="55"/>
        <v>868.80031574550048</v>
      </c>
      <c r="S114" s="62">
        <f ca="1">AVERAGE(OFFSET($R$3,0,0,'Données projet'!$E$9+1,1))-AVERAGE(OFFSET($H$3,0,0,'Données projet'!$E$9+1,1))</f>
        <v>446.90706503298787</v>
      </c>
      <c r="T114" s="62">
        <f t="shared" si="88"/>
        <v>275.54513370838777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4.5999999999999996</v>
      </c>
      <c r="AI114" s="14">
        <f>IF('Données projet'!$A$62&gt;35,AI113+AH114-AQ113,IF(A114&lt;'Données projet'!$A$62,$AF$205^A114,IF(A114='Données projet'!$A$62,'Données projet'!$B$62,AI113+AH114-AQ113)))</f>
        <v>311.59999999999991</v>
      </c>
      <c r="AJ114" s="14">
        <f>AI114*VLOOKUP('Données projet'!$B$10,Paramètres!$A$1:$I$89,3,0)*VLOOKUP('Données projet'!$B$10,Paramètres!$A$1:$I$89,5,0)</f>
        <v>209.02127999999996</v>
      </c>
      <c r="AK114" s="14">
        <f t="shared" si="89"/>
        <v>51.72165264063711</v>
      </c>
      <c r="AL114" s="22">
        <f t="shared" si="58"/>
        <v>454.12727434910954</v>
      </c>
      <c r="AM114" s="62">
        <f t="shared" si="59"/>
        <v>734.32063664373311</v>
      </c>
      <c r="AN114" s="62">
        <f ca="1">AVERAGE(OFFSET($AM$3,0,0,'Données projet'!$E$10+1,1))-AVERAGE(OFFSET($H$3,0,0,'Données projet'!$E$10+1,1))</f>
        <v>369.59928463850827</v>
      </c>
      <c r="AO114" s="62">
        <f t="shared" si="90"/>
        <v>236.19165554863852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4.5999999999999996</v>
      </c>
      <c r="BD114" s="13">
        <f>IF('Données projet'!$A$88&gt;35,BD113+BC114-BL113,IF(A114&lt;'Données projet'!$A$88,$BA$205^A114,IF(A114='Données projet'!$A$88,'Données projet'!$B$88,BD113+BC114-BL113)))</f>
        <v>311.59999999999991</v>
      </c>
      <c r="BE114" s="14">
        <f>BD114*VLOOKUP('Données projet'!$B$11,Paramètres!$A$1:$I$89,3,0)*VLOOKUP('Données projet'!$B$11,Paramètres!$A$1:$I$89,5,0)</f>
        <v>301.37951999999996</v>
      </c>
      <c r="BF114" s="14">
        <f t="shared" si="91"/>
        <v>71.465586589963848</v>
      </c>
      <c r="BG114" s="22">
        <f t="shared" si="61"/>
        <v>649.37189397752024</v>
      </c>
      <c r="BH114" s="62">
        <f t="shared" si="62"/>
        <v>929.56525627214387</v>
      </c>
      <c r="BI114" s="62">
        <f ca="1">AVERAGE(OFFSET($BH$3,0,0,'Données projet'!$E$11+1,1))-AVERAGE(OFFSET($H$3,0,0,'Données projet'!$E$11+1,1))</f>
        <v>500.25828825677058</v>
      </c>
      <c r="BJ114" s="62">
        <f t="shared" si="92"/>
        <v>313.56299786481338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-1.1368683772161603E-13</v>
      </c>
      <c r="BZ114" s="14">
        <f>BY114*VLOOKUP('Données projet'!$B$12,Paramètres!$A$1:$I$89,3,0)*VLOOKUP('Données projet'!$B$12,Paramètres!$A$1:$I$89,5,0)</f>
        <v>-9.9316821433603781E-14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287.22548699835653</v>
      </c>
      <c r="CE114" s="62">
        <f t="shared" si="94"/>
        <v>276.01618888357268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272.59999999999997</v>
      </c>
      <c r="O115" s="14">
        <f>N115*VLOOKUP('Données projet'!$B$9,Paramètres!$A$1:$I$89,3,0)*VLOOKUP('Données projet'!$B$9,Paramètres!$A$1:$I$89,5,0)</f>
        <v>276.41640000000001</v>
      </c>
      <c r="P115" s="14">
        <f t="shared" si="87"/>
        <v>66.209124371313408</v>
      </c>
      <c r="Q115" s="22">
        <f t="shared" si="107"/>
        <v>596.7394549467042</v>
      </c>
      <c r="R115" s="62">
        <f t="shared" si="55"/>
        <v>877.16076636227513</v>
      </c>
      <c r="S115" s="62">
        <f ca="1">AVERAGE(OFFSET($R$3,0,0,'Données projet'!$E$9+1,1))-AVERAGE(OFFSET($H$3,0,0,'Données projet'!$E$9+1,1))</f>
        <v>446.90706503298787</v>
      </c>
      <c r="T115" s="62">
        <f t="shared" si="88"/>
        <v>275.54513370838777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4.5999999999999996</v>
      </c>
      <c r="AI115" s="14">
        <f>IF('Données projet'!$A$62&gt;35,AI114+AH115-AQ114,IF(A115&lt;'Données projet'!$A$62,$AF$205^A115,IF(A115='Données projet'!$A$62,'Données projet'!$B$62,AI114+AH115-AQ114)))</f>
        <v>316.19999999999993</v>
      </c>
      <c r="AJ115" s="14">
        <f>AI115*VLOOKUP('Données projet'!$B$10,Paramètres!$A$1:$I$89,3,0)*VLOOKUP('Données projet'!$B$10,Paramètres!$A$1:$I$89,5,0)</f>
        <v>212.10695999999999</v>
      </c>
      <c r="AK115" s="14">
        <f t="shared" si="89"/>
        <v>52.395741612408244</v>
      </c>
      <c r="AL115" s="22">
        <f t="shared" si="58"/>
        <v>460.67553864161101</v>
      </c>
      <c r="AM115" s="62">
        <f t="shared" si="59"/>
        <v>741.09685005718188</v>
      </c>
      <c r="AN115" s="62">
        <f ca="1">AVERAGE(OFFSET($AM$3,0,0,'Données projet'!$E$10+1,1))-AVERAGE(OFFSET($H$3,0,0,'Données projet'!$E$10+1,1))</f>
        <v>369.59928463850827</v>
      </c>
      <c r="AO115" s="62">
        <f t="shared" si="90"/>
        <v>236.19165554863852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4.5999999999999996</v>
      </c>
      <c r="BD115" s="13">
        <f>IF('Données projet'!$A$88&gt;35,BD114+BC115-BL114,IF(A115&lt;'Données projet'!$A$88,$BA$205^A115,IF(A115='Données projet'!$A$88,'Données projet'!$B$88,BD114+BC115-BL114)))</f>
        <v>316.19999999999993</v>
      </c>
      <c r="BE115" s="14">
        <f>BD115*VLOOKUP('Données projet'!$B$11,Paramètres!$A$1:$I$89,3,0)*VLOOKUP('Données projet'!$B$11,Paramètres!$A$1:$I$89,5,0)</f>
        <v>305.82863999999995</v>
      </c>
      <c r="BF115" s="14">
        <f t="shared" si="91"/>
        <v>72.396998509767741</v>
      </c>
      <c r="BG115" s="22">
        <f t="shared" si="61"/>
        <v>658.74298707117862</v>
      </c>
      <c r="BH115" s="62">
        <f t="shared" si="62"/>
        <v>939.16429848674943</v>
      </c>
      <c r="BI115" s="62">
        <f ca="1">AVERAGE(OFFSET($BH$3,0,0,'Données projet'!$E$11+1,1))-AVERAGE(OFFSET($H$3,0,0,'Données projet'!$E$11+1,1))</f>
        <v>500.25828825677058</v>
      </c>
      <c r="BJ115" s="62">
        <f t="shared" si="92"/>
        <v>313.56299786481338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-1.1368683772161603E-13</v>
      </c>
      <c r="BZ115" s="14">
        <f>BY115*VLOOKUP('Données projet'!$B$12,Paramètres!$A$1:$I$89,3,0)*VLOOKUP('Données projet'!$B$12,Paramètres!$A$1:$I$89,5,0)</f>
        <v>-9.9316821433603781E-14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287.22548699835653</v>
      </c>
      <c r="CE115" s="62">
        <f t="shared" si="94"/>
        <v>276.01618888357268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276.39999999999998</v>
      </c>
      <c r="O116" s="14">
        <f>N116*VLOOKUP('Données projet'!$B$9,Paramètres!$A$1:$I$89,3,0)*VLOOKUP('Données projet'!$B$9,Paramètres!$A$1:$I$89,5,0)</f>
        <v>280.26960000000003</v>
      </c>
      <c r="P116" s="14">
        <f t="shared" si="87"/>
        <v>67.023979919595945</v>
      </c>
      <c r="Q116" s="22">
        <f t="shared" si="107"/>
        <v>604.8696516932963</v>
      </c>
      <c r="R116" s="62">
        <f t="shared" si="55"/>
        <v>885.51495782218399</v>
      </c>
      <c r="S116" s="62">
        <f ca="1">AVERAGE(OFFSET($R$3,0,0,'Données projet'!$E$9+1,1))-AVERAGE(OFFSET($H$3,0,0,'Données projet'!$E$9+1,1))</f>
        <v>446.90706503298787</v>
      </c>
      <c r="T116" s="62">
        <f t="shared" si="88"/>
        <v>275.54513370838777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4.5999999999999996</v>
      </c>
      <c r="AI116" s="14">
        <f>IF('Données projet'!$A$62&gt;35,AI115+AH116-AQ115,IF(A116&lt;'Données projet'!$A$62,$AF$205^A116,IF(A116='Données projet'!$A$62,'Données projet'!$B$62,AI115+AH116-AQ115)))</f>
        <v>320.79999999999995</v>
      </c>
      <c r="AJ116" s="14">
        <f>AI116*VLOOKUP('Données projet'!$B$10,Paramètres!$A$1:$I$89,3,0)*VLOOKUP('Données projet'!$B$10,Paramètres!$A$1:$I$89,5,0)</f>
        <v>215.19263999999998</v>
      </c>
      <c r="AK116" s="14">
        <f t="shared" si="89"/>
        <v>53.068690033178463</v>
      </c>
      <c r="AL116" s="22">
        <f t="shared" si="58"/>
        <v>467.22181647445245</v>
      </c>
      <c r="AM116" s="62">
        <f t="shared" si="59"/>
        <v>747.86712260334002</v>
      </c>
      <c r="AN116" s="62">
        <f ca="1">AVERAGE(OFFSET($AM$3,0,0,'Données projet'!$E$10+1,1))-AVERAGE(OFFSET($H$3,0,0,'Données projet'!$E$10+1,1))</f>
        <v>369.59928463850827</v>
      </c>
      <c r="AO116" s="62">
        <f t="shared" si="90"/>
        <v>236.19165554863852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4.5999999999999996</v>
      </c>
      <c r="BD116" s="13">
        <f>IF('Données projet'!$A$88&gt;35,BD115+BC116-BL115,IF(A116&lt;'Données projet'!$A$88,$BA$205^A116,IF(A116='Données projet'!$A$88,'Données projet'!$B$88,BD115+BC116-BL115)))</f>
        <v>320.79999999999995</v>
      </c>
      <c r="BE116" s="14">
        <f>BD116*VLOOKUP('Données projet'!$B$11,Paramètres!$A$1:$I$89,3,0)*VLOOKUP('Données projet'!$B$11,Paramètres!$A$1:$I$89,5,0)</f>
        <v>310.27775999999994</v>
      </c>
      <c r="BF116" s="14">
        <f t="shared" si="91"/>
        <v>73.326834491020819</v>
      </c>
      <c r="BG116" s="22">
        <f t="shared" si="61"/>
        <v>668.11133540519438</v>
      </c>
      <c r="BH116" s="62">
        <f t="shared" si="62"/>
        <v>948.75664153408206</v>
      </c>
      <c r="BI116" s="62">
        <f ca="1">AVERAGE(OFFSET($BH$3,0,0,'Données projet'!$E$11+1,1))-AVERAGE(OFFSET($H$3,0,0,'Données projet'!$E$11+1,1))</f>
        <v>500.25828825677058</v>
      </c>
      <c r="BJ116" s="62">
        <f t="shared" si="92"/>
        <v>313.56299786481338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-1.1368683772161603E-13</v>
      </c>
      <c r="BZ116" s="14">
        <f>BY116*VLOOKUP('Données projet'!$B$12,Paramètres!$A$1:$I$89,3,0)*VLOOKUP('Données projet'!$B$12,Paramètres!$A$1:$I$89,5,0)</f>
        <v>-9.9316821433603781E-14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287.22548699835653</v>
      </c>
      <c r="CE116" s="62">
        <f t="shared" si="94"/>
        <v>276.01618888357268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280.2</v>
      </c>
      <c r="O117" s="14">
        <f>N117*VLOOKUP('Données projet'!$B$9,Paramètres!$A$1:$I$89,3,0)*VLOOKUP('Données projet'!$B$9,Paramètres!$A$1:$I$89,5,0)</f>
        <v>284.12279999999998</v>
      </c>
      <c r="P117" s="14">
        <f t="shared" si="87"/>
        <v>67.837532462585557</v>
      </c>
      <c r="Q117" s="22">
        <f t="shared" si="107"/>
        <v>612.99757903900309</v>
      </c>
      <c r="R117" s="62">
        <f t="shared" si="55"/>
        <v>893.86299407370848</v>
      </c>
      <c r="S117" s="62">
        <f ca="1">AVERAGE(OFFSET($R$3,0,0,'Données projet'!$E$9+1,1))-AVERAGE(OFFSET($H$3,0,0,'Données projet'!$E$9+1,1))</f>
        <v>446.90706503298787</v>
      </c>
      <c r="T117" s="62">
        <f t="shared" si="88"/>
        <v>275.54513370838777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4.5999999999999996</v>
      </c>
      <c r="AI117" s="14">
        <f>IF('Données projet'!$A$62&gt;35,AI116+AH117-AQ116,IF(A117&lt;'Données projet'!$A$62,$AF$205^A117,IF(A117='Données projet'!$A$62,'Données projet'!$B$62,AI116+AH117-AQ116)))</f>
        <v>325.39999999999998</v>
      </c>
      <c r="AJ117" s="14">
        <f>AI117*VLOOKUP('Données projet'!$B$10,Paramètres!$A$1:$I$89,3,0)*VLOOKUP('Données projet'!$B$10,Paramètres!$A$1:$I$89,5,0)</f>
        <v>218.27832000000001</v>
      </c>
      <c r="AK117" s="14">
        <f t="shared" si="89"/>
        <v>53.740516147179761</v>
      </c>
      <c r="AL117" s="22">
        <f t="shared" si="58"/>
        <v>473.76613962300468</v>
      </c>
      <c r="AM117" s="62">
        <f t="shared" si="59"/>
        <v>754.63155465771013</v>
      </c>
      <c r="AN117" s="62">
        <f ca="1">AVERAGE(OFFSET($AM$3,0,0,'Données projet'!$E$10+1,1))-AVERAGE(OFFSET($H$3,0,0,'Données projet'!$E$10+1,1))</f>
        <v>369.59928463850827</v>
      </c>
      <c r="AO117" s="62">
        <f t="shared" si="90"/>
        <v>236.19165554863852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4.5999999999999996</v>
      </c>
      <c r="BD117" s="13">
        <f>IF('Données projet'!$A$88&gt;35,BD116+BC117-BL116,IF(A117&lt;'Données projet'!$A$88,$BA$205^A117,IF(A117='Données projet'!$A$88,'Données projet'!$B$88,BD116+BC117-BL116)))</f>
        <v>325.39999999999998</v>
      </c>
      <c r="BE117" s="14">
        <f>BD117*VLOOKUP('Données projet'!$B$11,Paramètres!$A$1:$I$89,3,0)*VLOOKUP('Données projet'!$B$11,Paramètres!$A$1:$I$89,5,0)</f>
        <v>314.72687999999999</v>
      </c>
      <c r="BF117" s="14">
        <f t="shared" si="91"/>
        <v>74.255119742405697</v>
      </c>
      <c r="BG117" s="22">
        <f t="shared" si="61"/>
        <v>677.47698288468996</v>
      </c>
      <c r="BH117" s="62">
        <f t="shared" si="62"/>
        <v>958.34239791939535</v>
      </c>
      <c r="BI117" s="62">
        <f ca="1">AVERAGE(OFFSET($BH$3,0,0,'Données projet'!$E$11+1,1))-AVERAGE(OFFSET($H$3,0,0,'Données projet'!$E$11+1,1))</f>
        <v>500.25828825677058</v>
      </c>
      <c r="BJ117" s="62">
        <f t="shared" si="92"/>
        <v>313.56299786481338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-1.1368683772161603E-13</v>
      </c>
      <c r="BZ117" s="14">
        <f>BY117*VLOOKUP('Données projet'!$B$12,Paramètres!$A$1:$I$89,3,0)*VLOOKUP('Données projet'!$B$12,Paramètres!$A$1:$I$89,5,0)</f>
        <v>-9.9316821433603781E-14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287.22548699835653</v>
      </c>
      <c r="CE117" s="62">
        <f t="shared" si="94"/>
        <v>276.01618888357268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284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284</v>
      </c>
      <c r="O118" s="14">
        <f>N118*VLOOKUP('Données projet'!$B$9,Paramètres!$A$1:$I$89,3,0)*VLOOKUP('Données projet'!$B$9,Paramètres!$A$1:$I$89,5,0)</f>
        <v>287.976</v>
      </c>
      <c r="P118" s="14">
        <f t="shared" si="87"/>
        <v>68.649801713863141</v>
      </c>
      <c r="Q118" s="22">
        <f t="shared" si="107"/>
        <v>621.12327131831159</v>
      </c>
      <c r="R118" s="62">
        <f t="shared" si="55"/>
        <v>902.2049768614088</v>
      </c>
      <c r="S118" s="62">
        <f ca="1">AVERAGE(OFFSET($R$3,0,0,'Données projet'!$E$9+1,1))-AVERAGE(OFFSET($H$3,0,0,'Données projet'!$E$9+1,1))</f>
        <v>446.90706503298787</v>
      </c>
      <c r="T118" s="62">
        <f t="shared" si="88"/>
        <v>275.54513370838777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330</v>
      </c>
      <c r="AG118" s="13">
        <f>VLOOKUP(A118,'Données projet'!$A$61:$I$81,9,0)</f>
        <v>4.5999999999999996</v>
      </c>
      <c r="AH118" s="13">
        <f t="array" ref="AH118">INDEX(AG:AG,MIN(IF(ISNUMBER(AG118:AG314),ROW(AG118:AG314),"")))</f>
        <v>4.5999999999999996</v>
      </c>
      <c r="AI118" s="14">
        <f>IF('Données projet'!$A$62&gt;35,AI117+AH118-AQ117,IF(A118&lt;'Données projet'!$A$62,$AF$205^A118,IF(A118='Données projet'!$A$62,'Données projet'!$B$62,AI117+AH118-AQ117)))</f>
        <v>330</v>
      </c>
      <c r="AJ118" s="14">
        <f>AI118*VLOOKUP('Données projet'!$B$10,Paramètres!$A$1:$I$89,3,0)*VLOOKUP('Données projet'!$B$10,Paramètres!$A$1:$I$89,5,0)</f>
        <v>221.364</v>
      </c>
      <c r="AK118" s="14">
        <f t="shared" si="89"/>
        <v>54.411237653200793</v>
      </c>
      <c r="AL118" s="22">
        <f t="shared" si="58"/>
        <v>480.30853891265809</v>
      </c>
      <c r="AM118" s="62">
        <f t="shared" si="59"/>
        <v>761.39024445575535</v>
      </c>
      <c r="AN118" s="62">
        <f ca="1">AVERAGE(OFFSET($AM$3,0,0,'Données projet'!$E$10+1,1))-AVERAGE(OFFSET($H$3,0,0,'Données projet'!$E$10+1,1))</f>
        <v>369.59928463850827</v>
      </c>
      <c r="AO118" s="62">
        <f t="shared" si="90"/>
        <v>236.19165554863852</v>
      </c>
      <c r="AP118" s="16">
        <f>IF(ISNA(VLOOKUP(A118,'Données projet'!$A$61:$I$81,3,0)),0,VLOOKUP(A118,'Données projet'!$A$61:$I$81,3,0))</f>
        <v>20</v>
      </c>
      <c r="AQ118" s="16">
        <f>IF(ISNA(VLOOKUP(A118,'Données projet'!$A$61:$I$81,4,0)),0,VLOOKUP(A118,'Données projet'!$A$61:$I$81,4,0))</f>
        <v>330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330</v>
      </c>
      <c r="BB118" s="13">
        <f>VLOOKUP(A118,'Données projet'!$A$87:$I$107,9,0)</f>
        <v>4.5999999999999996</v>
      </c>
      <c r="BC118" s="13">
        <f t="array" ref="BC118">INDEX(BB:BB,MIN(IF(ISNUMBER(BB118:BB314),ROW(BB118:BB314),"")))</f>
        <v>4.5999999999999996</v>
      </c>
      <c r="BD118" s="13">
        <f>IF('Données projet'!$A$88&gt;35,BD117+BC118-BL117,IF(A118&lt;'Données projet'!$A$88,$BA$205^A118,IF(A118='Données projet'!$A$88,'Données projet'!$B$88,BD117+BC118-BL117)))</f>
        <v>330</v>
      </c>
      <c r="BE118" s="14">
        <f>BD118*VLOOKUP('Données projet'!$B$11,Paramètres!$A$1:$I$89,3,0)*VLOOKUP('Données projet'!$B$11,Paramètres!$A$1:$I$89,5,0)</f>
        <v>319.17599999999999</v>
      </c>
      <c r="BF118" s="14">
        <f t="shared" si="91"/>
        <v>75.181878718947672</v>
      </c>
      <c r="BG118" s="22">
        <f t="shared" si="61"/>
        <v>686.83997210216705</v>
      </c>
      <c r="BH118" s="62">
        <f t="shared" si="62"/>
        <v>967.92167764526425</v>
      </c>
      <c r="BI118" s="62">
        <f ca="1">AVERAGE(OFFSET($BH$3,0,0,'Données projet'!$E$11+1,1))-AVERAGE(OFFSET($H$3,0,0,'Données projet'!$E$11+1,1))</f>
        <v>500.25828825677058</v>
      </c>
      <c r="BJ118" s="62">
        <f t="shared" si="92"/>
        <v>313.56299786481338</v>
      </c>
      <c r="BK118" s="16">
        <f>IF(ISNA(VLOOKUP(A118,'Données projet'!$A$87:$I$107,3,0)),0,VLOOKUP(A118,'Données projet'!$A$87:$I$107,3,0))</f>
        <v>20</v>
      </c>
      <c r="BL118" s="16">
        <f>IF(ISNA(VLOOKUP(A118,'Données projet'!$A$87:$I$107,4,0)),0,VLOOKUP(A118,'Données projet'!$A$87:$I$107,4,0))</f>
        <v>330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-1.1368683772161603E-13</v>
      </c>
      <c r="BZ118" s="14">
        <f>BY118*VLOOKUP('Données projet'!$B$12,Paramètres!$A$1:$I$89,3,0)*VLOOKUP('Données projet'!$B$12,Paramètres!$A$1:$I$89,5,0)</f>
        <v>-9.9316821433603781E-14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287.22548699835653</v>
      </c>
      <c r="CE118" s="62">
        <f t="shared" si="94"/>
        <v>276.01618888357268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269.60000000000002</v>
      </c>
      <c r="O119" s="14">
        <f>N119*VLOOKUP('Données projet'!$B$9,Paramètres!$A$1:$I$89,3,0)*VLOOKUP('Données projet'!$B$9,Paramètres!$A$1:$I$89,5,0)</f>
        <v>273.37440000000004</v>
      </c>
      <c r="P119" s="14">
        <f t="shared" si="87"/>
        <v>65.564883644654444</v>
      </c>
      <c r="Q119" s="22">
        <f t="shared" si="107"/>
        <v>590.31925234777316</v>
      </c>
      <c r="R119" s="62">
        <f t="shared" si="55"/>
        <v>871.61349624249465</v>
      </c>
      <c r="S119" s="62">
        <f ca="1">AVERAGE(OFFSET($R$3,0,0,'Données projet'!$E$9+1,1))-AVERAGE(OFFSET($H$3,0,0,'Données projet'!$E$9+1,1))</f>
        <v>446.90706503298787</v>
      </c>
      <c r="T119" s="62">
        <f t="shared" si="88"/>
        <v>275.54513370838777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369.59928463850827</v>
      </c>
      <c r="AO119" s="62">
        <f t="shared" si="90"/>
        <v>236.19165554863852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500.25828825677058</v>
      </c>
      <c r="BJ119" s="62">
        <f t="shared" si="92"/>
        <v>313.56299786481338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-1.1368683772161603E-13</v>
      </c>
      <c r="BZ119" s="14">
        <f>BY119*VLOOKUP('Données projet'!$B$12,Paramètres!$A$1:$I$89,3,0)*VLOOKUP('Données projet'!$B$12,Paramètres!$A$1:$I$89,5,0)</f>
        <v>-9.9316821433603781E-14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287.22548699835653</v>
      </c>
      <c r="CE119" s="62">
        <f t="shared" si="94"/>
        <v>276.01618888357268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273.20000000000005</v>
      </c>
      <c r="O120" s="14">
        <f>N120*VLOOKUP('Données projet'!$B$9,Paramètres!$A$1:$I$89,3,0)*VLOOKUP('Données projet'!$B$9,Paramètres!$A$1:$I$89,5,0)</f>
        <v>277.02480000000008</v>
      </c>
      <c r="P120" s="14">
        <f t="shared" si="87"/>
        <v>66.337873221533528</v>
      </c>
      <c r="Q120" s="22">
        <f t="shared" si="107"/>
        <v>598.02332252750432</v>
      </c>
      <c r="R120" s="62">
        <f t="shared" si="55"/>
        <v>879.52641770861396</v>
      </c>
      <c r="S120" s="62">
        <f ca="1">AVERAGE(OFFSET($R$3,0,0,'Données projet'!$E$9+1,1))-AVERAGE(OFFSET($H$3,0,0,'Données projet'!$E$9+1,1))</f>
        <v>446.90706503298787</v>
      </c>
      <c r="T120" s="62">
        <f t="shared" si="88"/>
        <v>275.54513370838777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369.59928463850827</v>
      </c>
      <c r="AO120" s="62">
        <f t="shared" si="90"/>
        <v>236.19165554863852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500.25828825677058</v>
      </c>
      <c r="BJ120" s="62">
        <f t="shared" si="92"/>
        <v>313.56299786481338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-1.1368683772161603E-13</v>
      </c>
      <c r="BZ120" s="14">
        <f>BY120*VLOOKUP('Données projet'!$B$12,Paramètres!$A$1:$I$89,3,0)*VLOOKUP('Données projet'!$B$12,Paramètres!$A$1:$I$89,5,0)</f>
        <v>-9.9316821433603781E-14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287.22548699835653</v>
      </c>
      <c r="CE120" s="62">
        <f t="shared" si="94"/>
        <v>276.01618888357268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276.80000000000007</v>
      </c>
      <c r="O121" s="14">
        <f>N121*VLOOKUP('Données projet'!$B$9,Paramètres!$A$1:$I$89,3,0)*VLOOKUP('Données projet'!$B$9,Paramètres!$A$1:$I$89,5,0)</f>
        <v>280.67520000000007</v>
      </c>
      <c r="P121" s="14">
        <f t="shared" si="87"/>
        <v>67.109678043026491</v>
      </c>
      <c r="Q121" s="22">
        <f t="shared" si="107"/>
        <v>605.72532925827124</v>
      </c>
      <c r="R121" s="62">
        <f t="shared" si="55"/>
        <v>887.4336526228717</v>
      </c>
      <c r="S121" s="62">
        <f ca="1">AVERAGE(OFFSET($R$3,0,0,'Données projet'!$E$9+1,1))-AVERAGE(OFFSET($H$3,0,0,'Données projet'!$E$9+1,1))</f>
        <v>446.90706503298787</v>
      </c>
      <c r="T121" s="62">
        <f t="shared" si="88"/>
        <v>275.54513370838777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369.59928463850827</v>
      </c>
      <c r="AO121" s="62">
        <f t="shared" si="90"/>
        <v>236.19165554863852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500.25828825677058</v>
      </c>
      <c r="BJ121" s="62">
        <f t="shared" si="92"/>
        <v>313.56299786481338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-1.1368683772161603E-13</v>
      </c>
      <c r="BZ121" s="14">
        <f>BY121*VLOOKUP('Données projet'!$B$12,Paramètres!$A$1:$I$89,3,0)*VLOOKUP('Données projet'!$B$12,Paramètres!$A$1:$I$89,5,0)</f>
        <v>-9.9316821433603781E-14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287.22548699835653</v>
      </c>
      <c r="CE121" s="62">
        <f t="shared" si="94"/>
        <v>276.01618888357268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280.40000000000009</v>
      </c>
      <c r="O122" s="14">
        <f>N122*VLOOKUP('Données projet'!$B$9,Paramètres!$A$1:$I$89,3,0)*VLOOKUP('Données projet'!$B$9,Paramètres!$A$1:$I$89,5,0)</f>
        <v>284.32560000000012</v>
      </c>
      <c r="P122" s="14">
        <f t="shared" si="87"/>
        <v>67.880315299331201</v>
      </c>
      <c r="Q122" s="22">
        <f t="shared" si="107"/>
        <v>613.42530247966863</v>
      </c>
      <c r="R122" s="62">
        <f t="shared" si="55"/>
        <v>895.33529377759783</v>
      </c>
      <c r="S122" s="62">
        <f ca="1">AVERAGE(OFFSET($R$3,0,0,'Données projet'!$E$9+1,1))-AVERAGE(OFFSET($H$3,0,0,'Données projet'!$E$9+1,1))</f>
        <v>446.90706503298787</v>
      </c>
      <c r="T122" s="62">
        <f t="shared" si="88"/>
        <v>275.54513370838777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369.59928463850827</v>
      </c>
      <c r="AO122" s="62">
        <f t="shared" si="90"/>
        <v>236.19165554863852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500.25828825677058</v>
      </c>
      <c r="BJ122" s="62">
        <f t="shared" si="92"/>
        <v>313.56299786481338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-1.1368683772161603E-13</v>
      </c>
      <c r="BZ122" s="14">
        <f>BY122*VLOOKUP('Données projet'!$B$12,Paramètres!$A$1:$I$89,3,0)*VLOOKUP('Données projet'!$B$12,Paramètres!$A$1:$I$89,5,0)</f>
        <v>-9.9316821433603781E-14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287.22548699835653</v>
      </c>
      <c r="CE122" s="62">
        <f t="shared" si="94"/>
        <v>276.01618888357268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284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284.00000000000011</v>
      </c>
      <c r="O123" s="14">
        <f>N123*VLOOKUP('Données projet'!$B$9,Paramètres!$A$1:$I$89,3,0)*VLOOKUP('Données projet'!$B$9,Paramètres!$A$1:$I$89,5,0)</f>
        <v>287.97600000000011</v>
      </c>
      <c r="P123" s="14">
        <f t="shared" si="87"/>
        <v>68.649801713863141</v>
      </c>
      <c r="Q123" s="22">
        <f t="shared" si="107"/>
        <v>621.12327131831182</v>
      </c>
      <c r="R123" s="62">
        <f t="shared" si="55"/>
        <v>903.23143206178838</v>
      </c>
      <c r="S123" s="62">
        <f ca="1">AVERAGE(OFFSET($R$3,0,0,'Données projet'!$E$9+1,1))-AVERAGE(OFFSET($H$3,0,0,'Données projet'!$E$9+1,1))</f>
        <v>446.90706503298787</v>
      </c>
      <c r="T123" s="62">
        <f t="shared" si="88"/>
        <v>275.54513370838777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284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369.59928463850827</v>
      </c>
      <c r="AO123" s="62">
        <f t="shared" si="90"/>
        <v>236.19165554863852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500.25828825677058</v>
      </c>
      <c r="BJ123" s="62">
        <f t="shared" si="92"/>
        <v>313.56299786481338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-1.1368683772161603E-13</v>
      </c>
      <c r="BZ123" s="14">
        <f>BY123*VLOOKUP('Données projet'!$B$12,Paramètres!$A$1:$I$89,3,0)*VLOOKUP('Données projet'!$B$12,Paramètres!$A$1:$I$89,5,0)</f>
        <v>-9.9316821433603781E-14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287.22548699835653</v>
      </c>
      <c r="CE123" s="62">
        <f t="shared" si="94"/>
        <v>276.01618888357268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1.1527845344971866E-13</v>
      </c>
      <c r="P124" s="14">
        <f t="shared" si="87"/>
        <v>1.7033846239409443E-12</v>
      </c>
      <c r="Q124" s="22">
        <f t="shared" si="107"/>
        <v>3.1675048597887374E-12</v>
      </c>
      <c r="R124" s="62">
        <f t="shared" si="55"/>
        <v>282.30289239218757</v>
      </c>
      <c r="S124" s="62">
        <f ca="1">AVERAGE(OFFSET($R$3,0,0,'Données projet'!$E$9+1,1))-AVERAGE(OFFSET($H$3,0,0,'Données projet'!$E$9+1,1))</f>
        <v>446.90706503298787</v>
      </c>
      <c r="T124" s="62">
        <f t="shared" si="88"/>
        <v>275.54513370838777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369.59928463850827</v>
      </c>
      <c r="AO124" s="62">
        <f t="shared" si="90"/>
        <v>236.19165554863852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500.25828825677058</v>
      </c>
      <c r="BJ124" s="62">
        <f t="shared" si="92"/>
        <v>313.56299786481338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-1.1368683772161603E-13</v>
      </c>
      <c r="BZ124" s="14">
        <f>BY124*VLOOKUP('Données projet'!$B$12,Paramètres!$A$1:$I$89,3,0)*VLOOKUP('Données projet'!$B$12,Paramètres!$A$1:$I$89,5,0)</f>
        <v>-9.9316821433603781E-14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287.22548699835653</v>
      </c>
      <c r="CE124" s="62">
        <f t="shared" si="94"/>
        <v>276.01618888357268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1.1527845344971866E-13</v>
      </c>
      <c r="P125" s="14">
        <f t="shared" si="87"/>
        <v>1.7033846239409443E-12</v>
      </c>
      <c r="Q125" s="22">
        <f t="shared" si="107"/>
        <v>3.1675048597887374E-12</v>
      </c>
      <c r="R125" s="62">
        <f t="shared" si="55"/>
        <v>282.49424588214498</v>
      </c>
      <c r="S125" s="62">
        <f ca="1">AVERAGE(OFFSET($R$3,0,0,'Données projet'!$E$9+1,1))-AVERAGE(OFFSET($H$3,0,0,'Données projet'!$E$9+1,1))</f>
        <v>446.90706503298787</v>
      </c>
      <c r="T125" s="62">
        <f t="shared" si="88"/>
        <v>275.54513370838777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369.59928463850827</v>
      </c>
      <c r="AO125" s="62">
        <f t="shared" si="90"/>
        <v>236.19165554863852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500.25828825677058</v>
      </c>
      <c r="BJ125" s="62">
        <f t="shared" si="92"/>
        <v>313.56299786481338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-1.1368683772161603E-13</v>
      </c>
      <c r="BZ125" s="14">
        <f>BY125*VLOOKUP('Données projet'!$B$12,Paramètres!$A$1:$I$89,3,0)*VLOOKUP('Données projet'!$B$12,Paramètres!$A$1:$I$89,5,0)</f>
        <v>-9.9316821433603781E-14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287.22548699835653</v>
      </c>
      <c r="CE125" s="62">
        <f t="shared" si="94"/>
        <v>276.01618888357268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1.1527845344971866E-13</v>
      </c>
      <c r="P126" s="14">
        <f t="shared" si="87"/>
        <v>1.7033846239409443E-12</v>
      </c>
      <c r="Q126" s="22">
        <f t="shared" si="107"/>
        <v>3.1675048597887374E-12</v>
      </c>
      <c r="R126" s="62">
        <f t="shared" si="55"/>
        <v>282.68227981685385</v>
      </c>
      <c r="S126" s="62">
        <f ca="1">AVERAGE(OFFSET($R$3,0,0,'Données projet'!$E$9+1,1))-AVERAGE(OFFSET($H$3,0,0,'Données projet'!$E$9+1,1))</f>
        <v>446.90706503298787</v>
      </c>
      <c r="T126" s="62">
        <f t="shared" si="88"/>
        <v>275.54513370838777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369.59928463850827</v>
      </c>
      <c r="AO126" s="62">
        <f t="shared" si="90"/>
        <v>236.19165554863852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500.25828825677058</v>
      </c>
      <c r="BJ126" s="62">
        <f t="shared" si="92"/>
        <v>313.56299786481338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-1.1368683772161603E-13</v>
      </c>
      <c r="BZ126" s="14">
        <f>BY126*VLOOKUP('Données projet'!$B$12,Paramètres!$A$1:$I$89,3,0)*VLOOKUP('Données projet'!$B$12,Paramètres!$A$1:$I$89,5,0)</f>
        <v>-9.9316821433603781E-14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287.22548699835653</v>
      </c>
      <c r="CE126" s="62">
        <f t="shared" si="94"/>
        <v>276.01618888357268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1.1527845344971866E-13</v>
      </c>
      <c r="P127" s="14">
        <f t="shared" si="87"/>
        <v>1.7033846239409443E-12</v>
      </c>
      <c r="Q127" s="22">
        <f t="shared" si="107"/>
        <v>3.1675048597887374E-12</v>
      </c>
      <c r="R127" s="62">
        <f t="shared" si="55"/>
        <v>282.86705178317652</v>
      </c>
      <c r="S127" s="62">
        <f ca="1">AVERAGE(OFFSET($R$3,0,0,'Données projet'!$E$9+1,1))-AVERAGE(OFFSET($H$3,0,0,'Données projet'!$E$9+1,1))</f>
        <v>446.90706503298787</v>
      </c>
      <c r="T127" s="62">
        <f t="shared" si="88"/>
        <v>275.54513370838777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369.59928463850827</v>
      </c>
      <c r="AO127" s="62">
        <f t="shared" si="90"/>
        <v>236.19165554863852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500.25828825677058</v>
      </c>
      <c r="BJ127" s="62">
        <f t="shared" si="92"/>
        <v>313.56299786481338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-1.1368683772161603E-13</v>
      </c>
      <c r="BZ127" s="14">
        <f>BY127*VLOOKUP('Données projet'!$B$12,Paramètres!$A$1:$I$89,3,0)*VLOOKUP('Données projet'!$B$12,Paramètres!$A$1:$I$89,5,0)</f>
        <v>-9.9316821433603781E-14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287.22548699835653</v>
      </c>
      <c r="CE127" s="62">
        <f t="shared" si="94"/>
        <v>276.01618888357268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1.1527845344971866E-13</v>
      </c>
      <c r="P128" s="14">
        <f t="shared" si="87"/>
        <v>1.7033846239409443E-12</v>
      </c>
      <c r="Q128" s="22">
        <f t="shared" si="107"/>
        <v>3.1675048597887374E-12</v>
      </c>
      <c r="R128" s="62">
        <f t="shared" si="55"/>
        <v>283.04861836897169</v>
      </c>
      <c r="S128" s="62">
        <f ca="1">AVERAGE(OFFSET($R$3,0,0,'Données projet'!$E$9+1,1))-AVERAGE(OFFSET($H$3,0,0,'Données projet'!$E$9+1,1))</f>
        <v>446.90706503298787</v>
      </c>
      <c r="T128" s="62">
        <f t="shared" si="88"/>
        <v>275.54513370838777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369.59928463850827</v>
      </c>
      <c r="AO128" s="62">
        <f t="shared" si="90"/>
        <v>236.19165554863852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500.25828825677058</v>
      </c>
      <c r="BJ128" s="62">
        <f t="shared" si="92"/>
        <v>313.56299786481338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-1.1368683772161603E-13</v>
      </c>
      <c r="BZ128" s="14">
        <f>BY128*VLOOKUP('Données projet'!$B$12,Paramètres!$A$1:$I$89,3,0)*VLOOKUP('Données projet'!$B$12,Paramètres!$A$1:$I$89,5,0)</f>
        <v>-9.9316821433603781E-14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287.22548699835653</v>
      </c>
      <c r="CE128" s="62">
        <f t="shared" si="94"/>
        <v>276.01618888357268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1.1527845344971866E-13</v>
      </c>
      <c r="P129" s="14">
        <f t="shared" si="87"/>
        <v>1.7033846239409443E-12</v>
      </c>
      <c r="Q129" s="22">
        <f t="shared" si="107"/>
        <v>3.1675048597887374E-12</v>
      </c>
      <c r="R129" s="62">
        <f t="shared" si="55"/>
        <v>283.22703518042539</v>
      </c>
      <c r="S129" s="62">
        <f ca="1">AVERAGE(OFFSET($R$3,0,0,'Données projet'!$E$9+1,1))-AVERAGE(OFFSET($H$3,0,0,'Données projet'!$E$9+1,1))</f>
        <v>446.90706503298787</v>
      </c>
      <c r="T129" s="62">
        <f t="shared" si="88"/>
        <v>275.54513370838777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369.59928463850827</v>
      </c>
      <c r="AO129" s="62">
        <f t="shared" si="90"/>
        <v>236.19165554863852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500.25828825677058</v>
      </c>
      <c r="BJ129" s="62">
        <f t="shared" si="92"/>
        <v>313.56299786481338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-1.1368683772161603E-13</v>
      </c>
      <c r="BZ129" s="14">
        <f>BY129*VLOOKUP('Données projet'!$B$12,Paramètres!$A$1:$I$89,3,0)*VLOOKUP('Données projet'!$B$12,Paramètres!$A$1:$I$89,5,0)</f>
        <v>-9.9316821433603781E-14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287.22548699835653</v>
      </c>
      <c r="CE129" s="62">
        <f t="shared" si="94"/>
        <v>276.01618888357268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1.1527845344971866E-13</v>
      </c>
      <c r="P130" s="14">
        <f t="shared" si="87"/>
        <v>1.7033846239409443E-12</v>
      </c>
      <c r="Q130" s="22">
        <f t="shared" si="107"/>
        <v>3.1675048597887374E-12</v>
      </c>
      <c r="R130" s="62">
        <f t="shared" si="55"/>
        <v>283.40235685908061</v>
      </c>
      <c r="S130" s="62">
        <f ca="1">AVERAGE(OFFSET($R$3,0,0,'Données projet'!$E$9+1,1))-AVERAGE(OFFSET($H$3,0,0,'Données projet'!$E$9+1,1))</f>
        <v>446.90706503298787</v>
      </c>
      <c r="T130" s="62">
        <f t="shared" si="88"/>
        <v>275.54513370838777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369.59928463850827</v>
      </c>
      <c r="AO130" s="62">
        <f t="shared" si="90"/>
        <v>236.19165554863852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500.25828825677058</v>
      </c>
      <c r="BJ130" s="62">
        <f t="shared" si="92"/>
        <v>313.56299786481338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-1.1368683772161603E-13</v>
      </c>
      <c r="BZ130" s="14">
        <f>BY130*VLOOKUP('Données projet'!$B$12,Paramètres!$A$1:$I$89,3,0)*VLOOKUP('Données projet'!$B$12,Paramètres!$A$1:$I$89,5,0)</f>
        <v>-9.9316821433603781E-14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287.22548699835653</v>
      </c>
      <c r="CE130" s="62">
        <f t="shared" si="94"/>
        <v>276.01618888357268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1.1527845344971866E-13</v>
      </c>
      <c r="P131" s="14">
        <f t="shared" si="87"/>
        <v>1.7033846239409443E-12</v>
      </c>
      <c r="Q131" s="22">
        <f t="shared" ref="Q131:Q153" si="108">(O131+P131)*0.475*44/12</f>
        <v>3.1675048597887374E-12</v>
      </c>
      <c r="R131" s="62">
        <f t="shared" ref="R131:R194" si="109">Q131+(I131+J131)*44/12</f>
        <v>283.57463709857171</v>
      </c>
      <c r="S131" s="62">
        <f ca="1">AVERAGE(OFFSET($R$3,0,0,'Données projet'!$E$9+1,1))-AVERAGE(OFFSET($H$3,0,0,'Données projet'!$E$9+1,1))</f>
        <v>446.90706503298787</v>
      </c>
      <c r="T131" s="62">
        <f t="shared" si="88"/>
        <v>275.54513370838777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369.59928463850827</v>
      </c>
      <c r="AO131" s="62">
        <f t="shared" si="90"/>
        <v>236.19165554863852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500.25828825677058</v>
      </c>
      <c r="BJ131" s="62">
        <f t="shared" si="92"/>
        <v>313.56299786481338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-1.1368683772161603E-13</v>
      </c>
      <c r="BZ131" s="14">
        <f>BY131*VLOOKUP('Données projet'!$B$12,Paramètres!$A$1:$I$89,3,0)*VLOOKUP('Données projet'!$B$12,Paramètres!$A$1:$I$89,5,0)</f>
        <v>-9.9316821433603781E-14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287.22548699835653</v>
      </c>
      <c r="CE131" s="62">
        <f t="shared" si="94"/>
        <v>276.01618888357268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1.1527845344971866E-13</v>
      </c>
      <c r="P132" s="14">
        <f t="shared" si="87"/>
        <v>1.7033846239409443E-12</v>
      </c>
      <c r="Q132" s="22">
        <f t="shared" si="108"/>
        <v>3.1675048597887374E-12</v>
      </c>
      <c r="R132" s="62">
        <f t="shared" si="109"/>
        <v>283.74392866106854</v>
      </c>
      <c r="S132" s="62">
        <f ca="1">AVERAGE(OFFSET($R$3,0,0,'Données projet'!$E$9+1,1))-AVERAGE(OFFSET($H$3,0,0,'Données projet'!$E$9+1,1))</f>
        <v>446.90706503298787</v>
      </c>
      <c r="T132" s="62">
        <f t="shared" si="88"/>
        <v>275.54513370838777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369.59928463850827</v>
      </c>
      <c r="AO132" s="62">
        <f t="shared" si="90"/>
        <v>236.19165554863852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500.25828825677058</v>
      </c>
      <c r="BJ132" s="62">
        <f t="shared" si="92"/>
        <v>313.56299786481338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-1.1368683772161603E-13</v>
      </c>
      <c r="BZ132" s="14">
        <f>BY132*VLOOKUP('Données projet'!$B$12,Paramètres!$A$1:$I$89,3,0)*VLOOKUP('Données projet'!$B$12,Paramètres!$A$1:$I$89,5,0)</f>
        <v>-9.9316821433603781E-14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287.22548699835653</v>
      </c>
      <c r="CE132" s="62">
        <f t="shared" si="94"/>
        <v>276.01618888357268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1.1527845344971866E-13</v>
      </c>
      <c r="P133" s="14">
        <f t="shared" ref="P133:P196" si="141">EXP(-1.0587+0.8836*LN(O133)+0.284)</f>
        <v>1.7033846239409443E-12</v>
      </c>
      <c r="Q133" s="22">
        <f t="shared" si="108"/>
        <v>3.1675048597887374E-12</v>
      </c>
      <c r="R133" s="62">
        <f t="shared" si="109"/>
        <v>283.91028339343529</v>
      </c>
      <c r="S133" s="62">
        <f ca="1">AVERAGE(OFFSET($R$3,0,0,'Données projet'!$E$9+1,1))-AVERAGE(OFFSET($H$3,0,0,'Données projet'!$E$9+1,1))</f>
        <v>446.90706503298787</v>
      </c>
      <c r="T133" s="62">
        <f t="shared" ref="T133:T196" si="142">$T$3</f>
        <v>275.54513370838777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369.59928463850827</v>
      </c>
      <c r="AO133" s="62">
        <f t="shared" ref="AO133:AO196" si="144">$AO$3</f>
        <v>236.19165554863852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500.25828825677058</v>
      </c>
      <c r="BJ133" s="62">
        <f t="shared" ref="BJ133:BJ196" si="146">$BJ$3</f>
        <v>313.56299786481338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-1.1368683772161603E-13</v>
      </c>
      <c r="BZ133" s="14">
        <f>BY133*VLOOKUP('Données projet'!$B$12,Paramètres!$A$1:$I$89,3,0)*VLOOKUP('Données projet'!$B$12,Paramètres!$A$1:$I$89,5,0)</f>
        <v>-9.9316821433603781E-14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287.22548699835653</v>
      </c>
      <c r="CE133" s="62">
        <f t="shared" ref="CE133:CE196" si="148">$CE$3</f>
        <v>276.01618888357268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1.1527845344971866E-13</v>
      </c>
      <c r="P134" s="14">
        <f t="shared" si="141"/>
        <v>1.7033846239409443E-12</v>
      </c>
      <c r="Q134" s="22">
        <f t="shared" si="108"/>
        <v>3.1675048597887374E-12</v>
      </c>
      <c r="R134" s="62">
        <f t="shared" si="109"/>
        <v>284.07375224310891</v>
      </c>
      <c r="S134" s="62">
        <f ca="1">AVERAGE(OFFSET($R$3,0,0,'Données projet'!$E$9+1,1))-AVERAGE(OFFSET($H$3,0,0,'Données projet'!$E$9+1,1))</f>
        <v>446.90706503298787</v>
      </c>
      <c r="T134" s="62">
        <f t="shared" si="142"/>
        <v>275.54513370838777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369.59928463850827</v>
      </c>
      <c r="AO134" s="62">
        <f t="shared" si="144"/>
        <v>236.19165554863852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500.25828825677058</v>
      </c>
      <c r="BJ134" s="62">
        <f t="shared" si="146"/>
        <v>313.56299786481338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-1.1368683772161603E-13</v>
      </c>
      <c r="BZ134" s="14">
        <f>BY134*VLOOKUP('Données projet'!$B$12,Paramètres!$A$1:$I$89,3,0)*VLOOKUP('Données projet'!$B$12,Paramètres!$A$1:$I$89,5,0)</f>
        <v>-9.9316821433603781E-14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287.22548699835653</v>
      </c>
      <c r="CE134" s="62">
        <f t="shared" si="148"/>
        <v>276.01618888357268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1.1527845344971866E-13</v>
      </c>
      <c r="P135" s="14">
        <f t="shared" si="141"/>
        <v>1.7033846239409443E-12</v>
      </c>
      <c r="Q135" s="22">
        <f t="shared" si="108"/>
        <v>3.1675048597887374E-12</v>
      </c>
      <c r="R135" s="62">
        <f t="shared" si="109"/>
        <v>284.23438527370234</v>
      </c>
      <c r="S135" s="62">
        <f ca="1">AVERAGE(OFFSET($R$3,0,0,'Données projet'!$E$9+1,1))-AVERAGE(OFFSET($H$3,0,0,'Données projet'!$E$9+1,1))</f>
        <v>446.90706503298787</v>
      </c>
      <c r="T135" s="62">
        <f t="shared" si="142"/>
        <v>275.54513370838777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369.59928463850827</v>
      </c>
      <c r="AO135" s="62">
        <f t="shared" si="144"/>
        <v>236.19165554863852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500.25828825677058</v>
      </c>
      <c r="BJ135" s="62">
        <f t="shared" si="146"/>
        <v>313.56299786481338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-1.1368683772161603E-13</v>
      </c>
      <c r="BZ135" s="14">
        <f>BY135*VLOOKUP('Données projet'!$B$12,Paramètres!$A$1:$I$89,3,0)*VLOOKUP('Données projet'!$B$12,Paramètres!$A$1:$I$89,5,0)</f>
        <v>-9.9316821433603781E-14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287.22548699835653</v>
      </c>
      <c r="CE135" s="62">
        <f t="shared" si="148"/>
        <v>276.01618888357268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1.1527845344971866E-13</v>
      </c>
      <c r="P136" s="14">
        <f t="shared" si="141"/>
        <v>1.7033846239409443E-12</v>
      </c>
      <c r="Q136" s="22">
        <f t="shared" si="108"/>
        <v>3.1675048597887374E-12</v>
      </c>
      <c r="R136" s="62">
        <f t="shared" si="109"/>
        <v>284.39223168033658</v>
      </c>
      <c r="S136" s="62">
        <f ca="1">AVERAGE(OFFSET($R$3,0,0,'Données projet'!$E$9+1,1))-AVERAGE(OFFSET($H$3,0,0,'Données projet'!$E$9+1,1))</f>
        <v>446.90706503298787</v>
      </c>
      <c r="T136" s="62">
        <f t="shared" si="142"/>
        <v>275.54513370838777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369.59928463850827</v>
      </c>
      <c r="AO136" s="62">
        <f t="shared" si="144"/>
        <v>236.19165554863852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500.25828825677058</v>
      </c>
      <c r="BJ136" s="62">
        <f t="shared" si="146"/>
        <v>313.56299786481338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-1.1368683772161603E-13</v>
      </c>
      <c r="BZ136" s="14">
        <f>BY136*VLOOKUP('Données projet'!$B$12,Paramètres!$A$1:$I$89,3,0)*VLOOKUP('Données projet'!$B$12,Paramètres!$A$1:$I$89,5,0)</f>
        <v>-9.9316821433603781E-14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287.22548699835653</v>
      </c>
      <c r="CE136" s="62">
        <f t="shared" si="148"/>
        <v>276.01618888357268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1.1527845344971866E-13</v>
      </c>
      <c r="P137" s="14">
        <f t="shared" si="141"/>
        <v>1.7033846239409443E-12</v>
      </c>
      <c r="Q137" s="22">
        <f t="shared" si="108"/>
        <v>3.1675048597887374E-12</v>
      </c>
      <c r="R137" s="62">
        <f t="shared" si="109"/>
        <v>284.54733980470746</v>
      </c>
      <c r="S137" s="62">
        <f ca="1">AVERAGE(OFFSET($R$3,0,0,'Données projet'!$E$9+1,1))-AVERAGE(OFFSET($H$3,0,0,'Données projet'!$E$9+1,1))</f>
        <v>446.90706503298787</v>
      </c>
      <c r="T137" s="62">
        <f t="shared" si="142"/>
        <v>275.54513370838777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369.59928463850827</v>
      </c>
      <c r="AO137" s="62">
        <f t="shared" si="144"/>
        <v>236.19165554863852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500.25828825677058</v>
      </c>
      <c r="BJ137" s="62">
        <f t="shared" si="146"/>
        <v>313.56299786481338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-1.1368683772161603E-13</v>
      </c>
      <c r="BZ137" s="14">
        <f>BY137*VLOOKUP('Données projet'!$B$12,Paramètres!$A$1:$I$89,3,0)*VLOOKUP('Données projet'!$B$12,Paramètres!$A$1:$I$89,5,0)</f>
        <v>-9.9316821433603781E-14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287.22548699835653</v>
      </c>
      <c r="CE137" s="62">
        <f t="shared" si="148"/>
        <v>276.01618888357268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1.1527845344971866E-13</v>
      </c>
      <c r="P138" s="14">
        <f t="shared" si="141"/>
        <v>1.7033846239409443E-12</v>
      </c>
      <c r="Q138" s="22">
        <f t="shared" si="108"/>
        <v>3.1675048597887374E-12</v>
      </c>
      <c r="R138" s="62">
        <f t="shared" si="109"/>
        <v>284.69975714989033</v>
      </c>
      <c r="S138" s="62">
        <f ca="1">AVERAGE(OFFSET($R$3,0,0,'Données projet'!$E$9+1,1))-AVERAGE(OFFSET($H$3,0,0,'Données projet'!$E$9+1,1))</f>
        <v>446.90706503298787</v>
      </c>
      <c r="T138" s="62">
        <f t="shared" si="142"/>
        <v>275.54513370838777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369.59928463850827</v>
      </c>
      <c r="AO138" s="62">
        <f t="shared" si="144"/>
        <v>236.19165554863852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500.25828825677058</v>
      </c>
      <c r="BJ138" s="62">
        <f t="shared" si="146"/>
        <v>313.56299786481338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-1.1368683772161603E-13</v>
      </c>
      <c r="BZ138" s="14">
        <f>BY138*VLOOKUP('Données projet'!$B$12,Paramètres!$A$1:$I$89,3,0)*VLOOKUP('Données projet'!$B$12,Paramètres!$A$1:$I$89,5,0)</f>
        <v>-9.9316821433603781E-14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287.22548699835653</v>
      </c>
      <c r="CE138" s="62">
        <f t="shared" si="148"/>
        <v>276.01618888357268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1.1527845344971866E-13</v>
      </c>
      <c r="P139" s="14">
        <f t="shared" si="141"/>
        <v>1.7033846239409443E-12</v>
      </c>
      <c r="Q139" s="22">
        <f t="shared" si="108"/>
        <v>3.1675048597887374E-12</v>
      </c>
      <c r="R139" s="62">
        <f t="shared" si="109"/>
        <v>284.8495303948884</v>
      </c>
      <c r="S139" s="62">
        <f ca="1">AVERAGE(OFFSET($R$3,0,0,'Données projet'!$E$9+1,1))-AVERAGE(OFFSET($H$3,0,0,'Données projet'!$E$9+1,1))</f>
        <v>446.90706503298787</v>
      </c>
      <c r="T139" s="62">
        <f t="shared" si="142"/>
        <v>275.54513370838777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369.59928463850827</v>
      </c>
      <c r="AO139" s="62">
        <f t="shared" si="144"/>
        <v>236.19165554863852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500.25828825677058</v>
      </c>
      <c r="BJ139" s="62">
        <f t="shared" si="146"/>
        <v>313.56299786481338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-1.1368683772161603E-13</v>
      </c>
      <c r="BZ139" s="14">
        <f>BY139*VLOOKUP('Données projet'!$B$12,Paramètres!$A$1:$I$89,3,0)*VLOOKUP('Données projet'!$B$12,Paramètres!$A$1:$I$89,5,0)</f>
        <v>-9.9316821433603781E-14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287.22548699835653</v>
      </c>
      <c r="CE139" s="62">
        <f t="shared" si="148"/>
        <v>276.01618888357268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1.1527845344971866E-13</v>
      </c>
      <c r="P140" s="14">
        <f t="shared" si="141"/>
        <v>1.7033846239409443E-12</v>
      </c>
      <c r="Q140" s="22">
        <f t="shared" si="108"/>
        <v>3.1675048597887374E-12</v>
      </c>
      <c r="R140" s="62">
        <f t="shared" si="109"/>
        <v>284.99670540892856</v>
      </c>
      <c r="S140" s="62">
        <f ca="1">AVERAGE(OFFSET($R$3,0,0,'Données projet'!$E$9+1,1))-AVERAGE(OFFSET($H$3,0,0,'Données projet'!$E$9+1,1))</f>
        <v>446.90706503298787</v>
      </c>
      <c r="T140" s="62">
        <f t="shared" si="142"/>
        <v>275.54513370838777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369.59928463850827</v>
      </c>
      <c r="AO140" s="62">
        <f t="shared" si="144"/>
        <v>236.19165554863852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500.25828825677058</v>
      </c>
      <c r="BJ140" s="62">
        <f t="shared" si="146"/>
        <v>313.56299786481338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-1.1368683772161603E-13</v>
      </c>
      <c r="BZ140" s="14">
        <f>BY140*VLOOKUP('Données projet'!$B$12,Paramètres!$A$1:$I$89,3,0)*VLOOKUP('Données projet'!$B$12,Paramètres!$A$1:$I$89,5,0)</f>
        <v>-9.9316821433603781E-14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287.22548699835653</v>
      </c>
      <c r="CE140" s="62">
        <f t="shared" si="148"/>
        <v>276.01618888357268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1.1527845344971866E-13</v>
      </c>
      <c r="P141" s="14">
        <f t="shared" si="141"/>
        <v>1.7033846239409443E-12</v>
      </c>
      <c r="Q141" s="22">
        <f t="shared" si="108"/>
        <v>3.1675048597887374E-12</v>
      </c>
      <c r="R141" s="62">
        <f t="shared" si="109"/>
        <v>285.14132726550912</v>
      </c>
      <c r="S141" s="62">
        <f ca="1">AVERAGE(OFFSET($R$3,0,0,'Données projet'!$E$9+1,1))-AVERAGE(OFFSET($H$3,0,0,'Données projet'!$E$9+1,1))</f>
        <v>446.90706503298787</v>
      </c>
      <c r="T141" s="62">
        <f t="shared" si="142"/>
        <v>275.54513370838777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369.59928463850827</v>
      </c>
      <c r="AO141" s="62">
        <f t="shared" si="144"/>
        <v>236.19165554863852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500.25828825677058</v>
      </c>
      <c r="BJ141" s="62">
        <f t="shared" si="146"/>
        <v>313.56299786481338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-1.1368683772161603E-13</v>
      </c>
      <c r="BZ141" s="14">
        <f>BY141*VLOOKUP('Données projet'!$B$12,Paramètres!$A$1:$I$89,3,0)*VLOOKUP('Données projet'!$B$12,Paramètres!$A$1:$I$89,5,0)</f>
        <v>-9.9316821433603781E-14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287.22548699835653</v>
      </c>
      <c r="CE141" s="62">
        <f t="shared" si="148"/>
        <v>276.01618888357268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1.1527845344971866E-13</v>
      </c>
      <c r="P142" s="14">
        <f t="shared" si="141"/>
        <v>1.7033846239409443E-12</v>
      </c>
      <c r="Q142" s="22">
        <f t="shared" si="108"/>
        <v>3.1675048597887374E-12</v>
      </c>
      <c r="R142" s="62">
        <f t="shared" si="109"/>
        <v>285.28344025620407</v>
      </c>
      <c r="S142" s="62">
        <f ca="1">AVERAGE(OFFSET($R$3,0,0,'Données projet'!$E$9+1,1))-AVERAGE(OFFSET($H$3,0,0,'Données projet'!$E$9+1,1))</f>
        <v>446.90706503298787</v>
      </c>
      <c r="T142" s="62">
        <f t="shared" si="142"/>
        <v>275.54513370838777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369.59928463850827</v>
      </c>
      <c r="AO142" s="62">
        <f t="shared" si="144"/>
        <v>236.19165554863852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500.25828825677058</v>
      </c>
      <c r="BJ142" s="62">
        <f t="shared" si="146"/>
        <v>313.56299786481338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-1.1368683772161603E-13</v>
      </c>
      <c r="BZ142" s="14">
        <f>BY142*VLOOKUP('Données projet'!$B$12,Paramètres!$A$1:$I$89,3,0)*VLOOKUP('Données projet'!$B$12,Paramètres!$A$1:$I$89,5,0)</f>
        <v>-9.9316821433603781E-14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287.22548699835653</v>
      </c>
      <c r="CE142" s="62">
        <f t="shared" si="148"/>
        <v>276.01618888357268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1.1527845344971866E-13</v>
      </c>
      <c r="P143" s="14">
        <f t="shared" si="141"/>
        <v>1.7033846239409443E-12</v>
      </c>
      <c r="Q143" s="22">
        <f t="shared" si="108"/>
        <v>3.1675048597887374E-12</v>
      </c>
      <c r="R143" s="62">
        <f t="shared" si="109"/>
        <v>285.42308790422754</v>
      </c>
      <c r="S143" s="62">
        <f ca="1">AVERAGE(OFFSET($R$3,0,0,'Données projet'!$E$9+1,1))-AVERAGE(OFFSET($H$3,0,0,'Données projet'!$E$9+1,1))</f>
        <v>446.90706503298787</v>
      </c>
      <c r="T143" s="62">
        <f t="shared" si="142"/>
        <v>275.54513370838777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369.59928463850827</v>
      </c>
      <c r="AO143" s="62">
        <f t="shared" si="144"/>
        <v>236.19165554863852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500.25828825677058</v>
      </c>
      <c r="BJ143" s="62">
        <f t="shared" si="146"/>
        <v>313.56299786481338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-1.1368683772161603E-13</v>
      </c>
      <c r="BZ143" s="14">
        <f>BY143*VLOOKUP('Données projet'!$B$12,Paramètres!$A$1:$I$89,3,0)*VLOOKUP('Données projet'!$B$12,Paramètres!$A$1:$I$89,5,0)</f>
        <v>-9.9316821433603781E-14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287.22548699835653</v>
      </c>
      <c r="CE143" s="62">
        <f t="shared" si="148"/>
        <v>276.01618888357268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1.1527845344971866E-13</v>
      </c>
      <c r="P144" s="14">
        <f t="shared" si="141"/>
        <v>1.7033846239409443E-12</v>
      </c>
      <c r="Q144" s="22">
        <f t="shared" si="108"/>
        <v>3.1675048597887374E-12</v>
      </c>
      <c r="R144" s="62">
        <f t="shared" si="109"/>
        <v>285.5603129777632</v>
      </c>
      <c r="S144" s="62">
        <f ca="1">AVERAGE(OFFSET($R$3,0,0,'Données projet'!$E$9+1,1))-AVERAGE(OFFSET($H$3,0,0,'Données projet'!$E$9+1,1))</f>
        <v>446.90706503298787</v>
      </c>
      <c r="T144" s="62">
        <f t="shared" si="142"/>
        <v>275.54513370838777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369.59928463850827</v>
      </c>
      <c r="AO144" s="62">
        <f t="shared" si="144"/>
        <v>236.19165554863852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500.25828825677058</v>
      </c>
      <c r="BJ144" s="62">
        <f t="shared" si="146"/>
        <v>313.56299786481338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-1.1368683772161603E-13</v>
      </c>
      <c r="BZ144" s="14">
        <f>BY144*VLOOKUP('Données projet'!$B$12,Paramètres!$A$1:$I$89,3,0)*VLOOKUP('Données projet'!$B$12,Paramètres!$A$1:$I$89,5,0)</f>
        <v>-9.9316821433603781E-14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287.22548699835653</v>
      </c>
      <c r="CE144" s="62">
        <f t="shared" si="148"/>
        <v>276.01618888357268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1.1527845344971866E-13</v>
      </c>
      <c r="P145" s="14">
        <f t="shared" si="141"/>
        <v>1.7033846239409443E-12</v>
      </c>
      <c r="Q145" s="22">
        <f t="shared" si="108"/>
        <v>3.1675048597887374E-12</v>
      </c>
      <c r="R145" s="62">
        <f t="shared" si="109"/>
        <v>285.69515750306226</v>
      </c>
      <c r="S145" s="62">
        <f ca="1">AVERAGE(OFFSET($R$3,0,0,'Données projet'!$E$9+1,1))-AVERAGE(OFFSET($H$3,0,0,'Données projet'!$E$9+1,1))</f>
        <v>446.90706503298787</v>
      </c>
      <c r="T145" s="62">
        <f t="shared" si="142"/>
        <v>275.54513370838777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369.59928463850827</v>
      </c>
      <c r="AO145" s="62">
        <f t="shared" si="144"/>
        <v>236.19165554863852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500.25828825677058</v>
      </c>
      <c r="BJ145" s="62">
        <f t="shared" si="146"/>
        <v>313.56299786481338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-1.1368683772161603E-13</v>
      </c>
      <c r="BZ145" s="14">
        <f>BY145*VLOOKUP('Données projet'!$B$12,Paramètres!$A$1:$I$89,3,0)*VLOOKUP('Données projet'!$B$12,Paramètres!$A$1:$I$89,5,0)</f>
        <v>-9.9316821433603781E-14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287.22548699835653</v>
      </c>
      <c r="CE145" s="62">
        <f t="shared" si="148"/>
        <v>276.01618888357268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1.1527845344971866E-13</v>
      </c>
      <c r="P146" s="14">
        <f t="shared" si="141"/>
        <v>1.7033846239409443E-12</v>
      </c>
      <c r="Q146" s="22">
        <f t="shared" si="108"/>
        <v>3.1675048597887374E-12</v>
      </c>
      <c r="R146" s="62">
        <f t="shared" si="109"/>
        <v>285.82766277731463</v>
      </c>
      <c r="S146" s="62">
        <f ca="1">AVERAGE(OFFSET($R$3,0,0,'Données projet'!$E$9+1,1))-AVERAGE(OFFSET($H$3,0,0,'Données projet'!$E$9+1,1))</f>
        <v>446.90706503298787</v>
      </c>
      <c r="T146" s="62">
        <f t="shared" si="142"/>
        <v>275.54513370838777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369.59928463850827</v>
      </c>
      <c r="AO146" s="62">
        <f t="shared" si="144"/>
        <v>236.19165554863852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500.25828825677058</v>
      </c>
      <c r="BJ146" s="62">
        <f t="shared" si="146"/>
        <v>313.56299786481338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-1.1368683772161603E-13</v>
      </c>
      <c r="BZ146" s="14">
        <f>BY146*VLOOKUP('Données projet'!$B$12,Paramètres!$A$1:$I$89,3,0)*VLOOKUP('Données projet'!$B$12,Paramètres!$A$1:$I$89,5,0)</f>
        <v>-9.9316821433603781E-14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287.22548699835653</v>
      </c>
      <c r="CE146" s="62">
        <f t="shared" si="148"/>
        <v>276.01618888357268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1.1527845344971866E-13</v>
      </c>
      <c r="P147" s="14">
        <f t="shared" si="141"/>
        <v>1.7033846239409443E-12</v>
      </c>
      <c r="Q147" s="22">
        <f t="shared" si="108"/>
        <v>3.1675048597887374E-12</v>
      </c>
      <c r="R147" s="62">
        <f t="shared" si="109"/>
        <v>285.95786938129606</v>
      </c>
      <c r="S147" s="62">
        <f ca="1">AVERAGE(OFFSET($R$3,0,0,'Données projet'!$E$9+1,1))-AVERAGE(OFFSET($H$3,0,0,'Données projet'!$E$9+1,1))</f>
        <v>446.90706503298787</v>
      </c>
      <c r="T147" s="62">
        <f t="shared" si="142"/>
        <v>275.54513370838777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369.59928463850827</v>
      </c>
      <c r="AO147" s="62">
        <f t="shared" si="144"/>
        <v>236.19165554863852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500.25828825677058</v>
      </c>
      <c r="BJ147" s="62">
        <f t="shared" si="146"/>
        <v>313.56299786481338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-1.1368683772161603E-13</v>
      </c>
      <c r="BZ147" s="14">
        <f>BY147*VLOOKUP('Données projet'!$B$12,Paramètres!$A$1:$I$89,3,0)*VLOOKUP('Données projet'!$B$12,Paramètres!$A$1:$I$89,5,0)</f>
        <v>-9.9316821433603781E-14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287.22548699835653</v>
      </c>
      <c r="CE147" s="62">
        <f t="shared" si="148"/>
        <v>276.01618888357268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1.1527845344971866E-13</v>
      </c>
      <c r="P148" s="14">
        <f t="shared" si="141"/>
        <v>1.7033846239409443E-12</v>
      </c>
      <c r="Q148" s="22">
        <f t="shared" si="108"/>
        <v>3.1675048597887374E-12</v>
      </c>
      <c r="R148" s="62">
        <f t="shared" si="109"/>
        <v>286.08581719179676</v>
      </c>
      <c r="S148" s="62">
        <f ca="1">AVERAGE(OFFSET($R$3,0,0,'Données projet'!$E$9+1,1))-AVERAGE(OFFSET($H$3,0,0,'Données projet'!$E$9+1,1))</f>
        <v>446.90706503298787</v>
      </c>
      <c r="T148" s="62">
        <f t="shared" si="142"/>
        <v>275.54513370838777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369.59928463850827</v>
      </c>
      <c r="AO148" s="62">
        <f t="shared" si="144"/>
        <v>236.19165554863852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500.25828825677058</v>
      </c>
      <c r="BJ148" s="62">
        <f t="shared" si="146"/>
        <v>313.56299786481338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-1.1368683772161603E-13</v>
      </c>
      <c r="BZ148" s="14">
        <f>BY148*VLOOKUP('Données projet'!$B$12,Paramètres!$A$1:$I$89,3,0)*VLOOKUP('Données projet'!$B$12,Paramètres!$A$1:$I$89,5,0)</f>
        <v>-9.9316821433603781E-14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287.22548699835653</v>
      </c>
      <c r="CE148" s="62">
        <f t="shared" si="148"/>
        <v>276.01618888357268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1.1527845344971866E-13</v>
      </c>
      <c r="P149" s="14">
        <f t="shared" si="141"/>
        <v>1.7033846239409443E-12</v>
      </c>
      <c r="Q149" s="22">
        <f t="shared" si="108"/>
        <v>3.1675048597887374E-12</v>
      </c>
      <c r="R149" s="62">
        <f t="shared" si="109"/>
        <v>286.21154539383383</v>
      </c>
      <c r="S149" s="62">
        <f ca="1">AVERAGE(OFFSET($R$3,0,0,'Données projet'!$E$9+1,1))-AVERAGE(OFFSET($H$3,0,0,'Données projet'!$E$9+1,1))</f>
        <v>446.90706503298787</v>
      </c>
      <c r="T149" s="62">
        <f t="shared" si="142"/>
        <v>275.54513370838777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369.59928463850827</v>
      </c>
      <c r="AO149" s="62">
        <f t="shared" si="144"/>
        <v>236.19165554863852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500.25828825677058</v>
      </c>
      <c r="BJ149" s="62">
        <f t="shared" si="146"/>
        <v>313.56299786481338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-1.1368683772161603E-13</v>
      </c>
      <c r="BZ149" s="14">
        <f>BY149*VLOOKUP('Données projet'!$B$12,Paramètres!$A$1:$I$89,3,0)*VLOOKUP('Données projet'!$B$12,Paramètres!$A$1:$I$89,5,0)</f>
        <v>-9.9316821433603781E-14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287.22548699835653</v>
      </c>
      <c r="CE149" s="62">
        <f t="shared" si="148"/>
        <v>276.01618888357268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1.1527845344971866E-13</v>
      </c>
      <c r="P150" s="14">
        <f t="shared" si="141"/>
        <v>1.7033846239409443E-12</v>
      </c>
      <c r="Q150" s="22">
        <f t="shared" si="108"/>
        <v>3.1675048597887374E-12</v>
      </c>
      <c r="R150" s="62">
        <f t="shared" si="109"/>
        <v>286.3350924926516</v>
      </c>
      <c r="S150" s="62">
        <f ca="1">AVERAGE(OFFSET($R$3,0,0,'Données projet'!$E$9+1,1))-AVERAGE(OFFSET($H$3,0,0,'Données projet'!$E$9+1,1))</f>
        <v>446.90706503298787</v>
      </c>
      <c r="T150" s="62">
        <f t="shared" si="142"/>
        <v>275.54513370838777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369.59928463850827</v>
      </c>
      <c r="AO150" s="62">
        <f t="shared" si="144"/>
        <v>236.19165554863852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500.25828825677058</v>
      </c>
      <c r="BJ150" s="62">
        <f t="shared" si="146"/>
        <v>313.56299786481338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-1.1368683772161603E-13</v>
      </c>
      <c r="BZ150" s="14">
        <f>BY150*VLOOKUP('Données projet'!$B$12,Paramètres!$A$1:$I$89,3,0)*VLOOKUP('Données projet'!$B$12,Paramètres!$A$1:$I$89,5,0)</f>
        <v>-9.9316821433603781E-14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287.22548699835653</v>
      </c>
      <c r="CE150" s="62">
        <f t="shared" si="148"/>
        <v>276.01618888357268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1.1527845344971866E-13</v>
      </c>
      <c r="P151" s="14">
        <f t="shared" si="141"/>
        <v>1.7033846239409443E-12</v>
      </c>
      <c r="Q151" s="22">
        <f t="shared" si="108"/>
        <v>3.1675048597887374E-12</v>
      </c>
      <c r="R151" s="62">
        <f t="shared" si="109"/>
        <v>286.45649632551488</v>
      </c>
      <c r="S151" s="62">
        <f ca="1">AVERAGE(OFFSET($R$3,0,0,'Données projet'!$E$9+1,1))-AVERAGE(OFFSET($H$3,0,0,'Données projet'!$E$9+1,1))</f>
        <v>446.90706503298787</v>
      </c>
      <c r="T151" s="62">
        <f t="shared" si="142"/>
        <v>275.54513370838777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369.59928463850827</v>
      </c>
      <c r="AO151" s="62">
        <f t="shared" si="144"/>
        <v>236.19165554863852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500.25828825677058</v>
      </c>
      <c r="BJ151" s="62">
        <f t="shared" si="146"/>
        <v>313.56299786481338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-1.1368683772161603E-13</v>
      </c>
      <c r="BZ151" s="14">
        <f>BY151*VLOOKUP('Données projet'!$B$12,Paramètres!$A$1:$I$89,3,0)*VLOOKUP('Données projet'!$B$12,Paramètres!$A$1:$I$89,5,0)</f>
        <v>-9.9316821433603781E-14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287.22548699835653</v>
      </c>
      <c r="CE151" s="62">
        <f t="shared" si="148"/>
        <v>276.01618888357268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1.1527845344971866E-13</v>
      </c>
      <c r="P152" s="14">
        <f t="shared" si="141"/>
        <v>1.7033846239409443E-12</v>
      </c>
      <c r="Q152" s="22">
        <f t="shared" si="108"/>
        <v>3.1675048597887374E-12</v>
      </c>
      <c r="R152" s="62">
        <f t="shared" si="109"/>
        <v>286.57579407329627</v>
      </c>
      <c r="S152" s="62">
        <f ca="1">AVERAGE(OFFSET($R$3,0,0,'Données projet'!$E$9+1,1))-AVERAGE(OFFSET($H$3,0,0,'Données projet'!$E$9+1,1))</f>
        <v>446.90706503298787</v>
      </c>
      <c r="T152" s="62">
        <f t="shared" si="142"/>
        <v>275.54513370838777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369.59928463850827</v>
      </c>
      <c r="AO152" s="62">
        <f t="shared" si="144"/>
        <v>236.19165554863852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500.25828825677058</v>
      </c>
      <c r="BJ152" s="62">
        <f t="shared" si="146"/>
        <v>313.56299786481338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-1.1368683772161603E-13</v>
      </c>
      <c r="BZ152" s="14">
        <f>BY152*VLOOKUP('Données projet'!$B$12,Paramètres!$A$1:$I$89,3,0)*VLOOKUP('Données projet'!$B$12,Paramètres!$A$1:$I$89,5,0)</f>
        <v>-9.9316821433603781E-14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287.22548699835653</v>
      </c>
      <c r="CE152" s="62">
        <f t="shared" si="148"/>
        <v>276.01618888357268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1.1527845344971866E-13</v>
      </c>
      <c r="P153" s="14">
        <f t="shared" si="141"/>
        <v>1.7033846239409443E-12</v>
      </c>
      <c r="Q153" s="22">
        <f t="shared" si="108"/>
        <v>3.1675048597887374E-12</v>
      </c>
      <c r="R153" s="62">
        <f t="shared" si="109"/>
        <v>286.69302227186353</v>
      </c>
      <c r="S153" s="62">
        <f ca="1">AVERAGE(OFFSET($R$3,0,0,'Données projet'!$E$9+1,1))-AVERAGE(OFFSET($H$3,0,0,'Données projet'!$E$9+1,1))</f>
        <v>446.90706503298787</v>
      </c>
      <c r="T153" s="62">
        <f t="shared" si="142"/>
        <v>275.54513370838777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369.59928463850827</v>
      </c>
      <c r="AO153" s="62">
        <f t="shared" si="144"/>
        <v>236.19165554863852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500.25828825677058</v>
      </c>
      <c r="BJ153" s="62">
        <f t="shared" si="146"/>
        <v>313.56299786481338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-1.1368683772161603E-13</v>
      </c>
      <c r="BZ153" s="14">
        <f>BY153*VLOOKUP('Données projet'!$B$12,Paramètres!$A$1:$I$89,3,0)*VLOOKUP('Données projet'!$B$12,Paramètres!$A$1:$I$89,5,0)</f>
        <v>-9.9316821433603781E-14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287.22548699835653</v>
      </c>
      <c r="CE153" s="62">
        <f t="shared" si="148"/>
        <v>276.01618888357268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1.1527845344971866E-13</v>
      </c>
      <c r="P154" s="14">
        <f t="shared" si="141"/>
        <v>1.7033846239409443E-12</v>
      </c>
      <c r="Q154" s="22">
        <f t="shared" ref="Q154:Q203" si="162">(O154+P154)*0.475*44/12</f>
        <v>3.1675048597887374E-12</v>
      </c>
      <c r="R154" s="62">
        <f t="shared" si="109"/>
        <v>286.80821682326854</v>
      </c>
      <c r="S154" s="62">
        <f ca="1">AVERAGE(OFFSET($R$3,0,0,'Données projet'!$E$9+1,1))-AVERAGE(OFFSET($H$3,0,0,'Données projet'!$E$9+1,1))</f>
        <v>446.90706503298787</v>
      </c>
      <c r="T154" s="62">
        <f t="shared" si="142"/>
        <v>275.54513370838777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369.59928463850827</v>
      </c>
      <c r="AO154" s="62">
        <f t="shared" si="144"/>
        <v>236.19165554863852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500.25828825677058</v>
      </c>
      <c r="BJ154" s="62">
        <f t="shared" si="146"/>
        <v>313.56299786481338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-1.1368683772161603E-13</v>
      </c>
      <c r="BZ154" s="14">
        <f>BY154*VLOOKUP('Données projet'!$B$12,Paramètres!$A$1:$I$89,3,0)*VLOOKUP('Données projet'!$B$12,Paramètres!$A$1:$I$89,5,0)</f>
        <v>-9.9316821433603781E-14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287.22548699835653</v>
      </c>
      <c r="CE154" s="62">
        <f t="shared" si="148"/>
        <v>276.01618888357268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1.1527845344971866E-13</v>
      </c>
      <c r="P155" s="14">
        <f t="shared" si="141"/>
        <v>1.7033846239409443E-12</v>
      </c>
      <c r="Q155" s="22">
        <f t="shared" si="162"/>
        <v>3.1675048597887374E-12</v>
      </c>
      <c r="R155" s="62">
        <f t="shared" si="109"/>
        <v>286.92141300674308</v>
      </c>
      <c r="S155" s="62">
        <f ca="1">AVERAGE(OFFSET($R$3,0,0,'Données projet'!$E$9+1,1))-AVERAGE(OFFSET($H$3,0,0,'Données projet'!$E$9+1,1))</f>
        <v>446.90706503298787</v>
      </c>
      <c r="T155" s="62">
        <f t="shared" si="142"/>
        <v>275.54513370838777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369.59928463850827</v>
      </c>
      <c r="AO155" s="62">
        <f t="shared" si="144"/>
        <v>236.19165554863852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500.25828825677058</v>
      </c>
      <c r="BJ155" s="62">
        <f t="shared" si="146"/>
        <v>313.56299786481338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-1.1368683772161603E-13</v>
      </c>
      <c r="BZ155" s="14">
        <f>BY155*VLOOKUP('Données projet'!$B$12,Paramètres!$A$1:$I$89,3,0)*VLOOKUP('Données projet'!$B$12,Paramètres!$A$1:$I$89,5,0)</f>
        <v>-9.9316821433603781E-14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287.22548699835653</v>
      </c>
      <c r="CE155" s="62">
        <f t="shared" si="148"/>
        <v>276.01618888357268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1.1527845344971866E-13</v>
      </c>
      <c r="P156" s="14">
        <f t="shared" si="141"/>
        <v>1.7033846239409443E-12</v>
      </c>
      <c r="Q156" s="22">
        <f t="shared" si="162"/>
        <v>3.1675048597887374E-12</v>
      </c>
      <c r="R156" s="62">
        <f t="shared" si="109"/>
        <v>287.03264548950318</v>
      </c>
      <c r="S156" s="62">
        <f ca="1">AVERAGE(OFFSET($R$3,0,0,'Données projet'!$E$9+1,1))-AVERAGE(OFFSET($H$3,0,0,'Données projet'!$E$9+1,1))</f>
        <v>446.90706503298787</v>
      </c>
      <c r="T156" s="62">
        <f t="shared" si="142"/>
        <v>275.54513370838777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369.59928463850827</v>
      </c>
      <c r="AO156" s="62">
        <f t="shared" si="144"/>
        <v>236.19165554863852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500.25828825677058</v>
      </c>
      <c r="BJ156" s="62">
        <f t="shared" si="146"/>
        <v>313.56299786481338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-1.1368683772161603E-13</v>
      </c>
      <c r="BZ156" s="14">
        <f>BY156*VLOOKUP('Données projet'!$B$12,Paramètres!$A$1:$I$89,3,0)*VLOOKUP('Données projet'!$B$12,Paramètres!$A$1:$I$89,5,0)</f>
        <v>-9.9316821433603781E-14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287.22548699835653</v>
      </c>
      <c r="CE156" s="62">
        <f t="shared" si="148"/>
        <v>276.01618888357268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1.1527845344971866E-13</v>
      </c>
      <c r="P157" s="14">
        <f t="shared" si="141"/>
        <v>1.7033846239409443E-12</v>
      </c>
      <c r="Q157" s="22">
        <f t="shared" si="162"/>
        <v>3.1675048597887374E-12</v>
      </c>
      <c r="R157" s="62">
        <f t="shared" si="109"/>
        <v>287.14194833736593</v>
      </c>
      <c r="S157" s="62">
        <f ca="1">AVERAGE(OFFSET($R$3,0,0,'Données projet'!$E$9+1,1))-AVERAGE(OFFSET($H$3,0,0,'Données projet'!$E$9+1,1))</f>
        <v>446.90706503298787</v>
      </c>
      <c r="T157" s="62">
        <f t="shared" si="142"/>
        <v>275.54513370838777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369.59928463850827</v>
      </c>
      <c r="AO157" s="62">
        <f t="shared" si="144"/>
        <v>236.19165554863852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500.25828825677058</v>
      </c>
      <c r="BJ157" s="62">
        <f t="shared" si="146"/>
        <v>313.56299786481338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-1.1368683772161603E-13</v>
      </c>
      <c r="BZ157" s="14">
        <f>BY157*VLOOKUP('Données projet'!$B$12,Paramètres!$A$1:$I$89,3,0)*VLOOKUP('Données projet'!$B$12,Paramètres!$A$1:$I$89,5,0)</f>
        <v>-9.9316821433603781E-14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287.22548699835653</v>
      </c>
      <c r="CE157" s="62">
        <f t="shared" si="148"/>
        <v>276.01618888357268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1.1527845344971866E-13</v>
      </c>
      <c r="P158" s="14">
        <f t="shared" si="141"/>
        <v>1.7033846239409443E-12</v>
      </c>
      <c r="Q158" s="22">
        <f t="shared" si="162"/>
        <v>3.1675048597887374E-12</v>
      </c>
      <c r="R158" s="62">
        <f t="shared" si="109"/>
        <v>287.24935502518287</v>
      </c>
      <c r="S158" s="62">
        <f ca="1">AVERAGE(OFFSET($R$3,0,0,'Données projet'!$E$9+1,1))-AVERAGE(OFFSET($H$3,0,0,'Données projet'!$E$9+1,1))</f>
        <v>446.90706503298787</v>
      </c>
      <c r="T158" s="62">
        <f t="shared" si="142"/>
        <v>275.54513370838777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369.59928463850827</v>
      </c>
      <c r="AO158" s="62">
        <f t="shared" si="144"/>
        <v>236.19165554863852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500.25828825677058</v>
      </c>
      <c r="BJ158" s="62">
        <f t="shared" si="146"/>
        <v>313.56299786481338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-1.1368683772161603E-13</v>
      </c>
      <c r="BZ158" s="14">
        <f>BY158*VLOOKUP('Données projet'!$B$12,Paramètres!$A$1:$I$89,3,0)*VLOOKUP('Données projet'!$B$12,Paramètres!$A$1:$I$89,5,0)</f>
        <v>-9.9316821433603781E-14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287.22548699835653</v>
      </c>
      <c r="CE158" s="62">
        <f t="shared" si="148"/>
        <v>276.01618888357268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1.1527845344971866E-13</v>
      </c>
      <c r="P159" s="14">
        <f t="shared" si="141"/>
        <v>1.7033846239409443E-12</v>
      </c>
      <c r="Q159" s="22">
        <f t="shared" si="162"/>
        <v>3.1675048597887374E-12</v>
      </c>
      <c r="R159" s="62">
        <f t="shared" si="109"/>
        <v>287.3548984470915</v>
      </c>
      <c r="S159" s="62">
        <f ca="1">AVERAGE(OFFSET($R$3,0,0,'Données projet'!$E$9+1,1))-AVERAGE(OFFSET($H$3,0,0,'Données projet'!$E$9+1,1))</f>
        <v>446.90706503298787</v>
      </c>
      <c r="T159" s="62">
        <f t="shared" si="142"/>
        <v>275.54513370838777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369.59928463850827</v>
      </c>
      <c r="AO159" s="62">
        <f t="shared" si="144"/>
        <v>236.19165554863852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500.25828825677058</v>
      </c>
      <c r="BJ159" s="62">
        <f t="shared" si="146"/>
        <v>313.56299786481338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-1.1368683772161603E-13</v>
      </c>
      <c r="BZ159" s="14">
        <f>BY159*VLOOKUP('Données projet'!$B$12,Paramètres!$A$1:$I$89,3,0)*VLOOKUP('Données projet'!$B$12,Paramètres!$A$1:$I$89,5,0)</f>
        <v>-9.9316821433603781E-14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287.22548699835653</v>
      </c>
      <c r="CE159" s="62">
        <f t="shared" si="148"/>
        <v>276.01618888357268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1.1527845344971866E-13</v>
      </c>
      <c r="P160" s="14">
        <f t="shared" si="141"/>
        <v>1.7033846239409443E-12</v>
      </c>
      <c r="Q160" s="22">
        <f t="shared" si="162"/>
        <v>3.1675048597887374E-12</v>
      </c>
      <c r="R160" s="62">
        <f t="shared" si="109"/>
        <v>287.45861092658976</v>
      </c>
      <c r="S160" s="62">
        <f ca="1">AVERAGE(OFFSET($R$3,0,0,'Données projet'!$E$9+1,1))-AVERAGE(OFFSET($H$3,0,0,'Données projet'!$E$9+1,1))</f>
        <v>446.90706503298787</v>
      </c>
      <c r="T160" s="62">
        <f t="shared" si="142"/>
        <v>275.54513370838777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369.59928463850827</v>
      </c>
      <c r="AO160" s="62">
        <f t="shared" si="144"/>
        <v>236.19165554863852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500.25828825677058</v>
      </c>
      <c r="BJ160" s="62">
        <f t="shared" si="146"/>
        <v>313.56299786481338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-1.1368683772161603E-13</v>
      </c>
      <c r="BZ160" s="14">
        <f>BY160*VLOOKUP('Données projet'!$B$12,Paramètres!$A$1:$I$89,3,0)*VLOOKUP('Données projet'!$B$12,Paramètres!$A$1:$I$89,5,0)</f>
        <v>-9.9316821433603781E-14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287.22548699835653</v>
      </c>
      <c r="CE160" s="62">
        <f t="shared" si="148"/>
        <v>276.01618888357268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1.1527845344971866E-13</v>
      </c>
      <c r="P161" s="14">
        <f t="shared" si="141"/>
        <v>1.7033846239409443E-12</v>
      </c>
      <c r="Q161" s="22">
        <f t="shared" si="162"/>
        <v>3.1675048597887374E-12</v>
      </c>
      <c r="R161" s="62">
        <f t="shared" si="109"/>
        <v>287.56052422643518</v>
      </c>
      <c r="S161" s="62">
        <f ca="1">AVERAGE(OFFSET($R$3,0,0,'Données projet'!$E$9+1,1))-AVERAGE(OFFSET($H$3,0,0,'Données projet'!$E$9+1,1))</f>
        <v>446.90706503298787</v>
      </c>
      <c r="T161" s="62">
        <f t="shared" si="142"/>
        <v>275.54513370838777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369.59928463850827</v>
      </c>
      <c r="AO161" s="62">
        <f t="shared" si="144"/>
        <v>236.19165554863852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500.25828825677058</v>
      </c>
      <c r="BJ161" s="62">
        <f t="shared" si="146"/>
        <v>313.56299786481338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-1.1368683772161603E-13</v>
      </c>
      <c r="BZ161" s="14">
        <f>BY161*VLOOKUP('Données projet'!$B$12,Paramètres!$A$1:$I$89,3,0)*VLOOKUP('Données projet'!$B$12,Paramètres!$A$1:$I$89,5,0)</f>
        <v>-9.9316821433603781E-14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287.22548699835653</v>
      </c>
      <c r="CE161" s="62">
        <f t="shared" si="148"/>
        <v>276.01618888357268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1.1527845344971866E-13</v>
      </c>
      <c r="P162" s="14">
        <f t="shared" si="141"/>
        <v>1.7033846239409443E-12</v>
      </c>
      <c r="Q162" s="22">
        <f t="shared" si="162"/>
        <v>3.1675048597887374E-12</v>
      </c>
      <c r="R162" s="62">
        <f t="shared" si="109"/>
        <v>287.66066955837215</v>
      </c>
      <c r="S162" s="62">
        <f ca="1">AVERAGE(OFFSET($R$3,0,0,'Données projet'!$E$9+1,1))-AVERAGE(OFFSET($H$3,0,0,'Données projet'!$E$9+1,1))</f>
        <v>446.90706503298787</v>
      </c>
      <c r="T162" s="62">
        <f t="shared" si="142"/>
        <v>275.54513370838777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369.59928463850827</v>
      </c>
      <c r="AO162" s="62">
        <f t="shared" si="144"/>
        <v>236.19165554863852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500.25828825677058</v>
      </c>
      <c r="BJ162" s="62">
        <f t="shared" si="146"/>
        <v>313.56299786481338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-1.1368683772161603E-13</v>
      </c>
      <c r="BZ162" s="14">
        <f>BY162*VLOOKUP('Données projet'!$B$12,Paramètres!$A$1:$I$89,3,0)*VLOOKUP('Données projet'!$B$12,Paramètres!$A$1:$I$89,5,0)</f>
        <v>-9.9316821433603781E-14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287.22548699835653</v>
      </c>
      <c r="CE162" s="62">
        <f t="shared" si="148"/>
        <v>276.01618888357268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1.1527845344971866E-13</v>
      </c>
      <c r="P163" s="14">
        <f t="shared" si="141"/>
        <v>1.7033846239409443E-12</v>
      </c>
      <c r="Q163" s="22">
        <f t="shared" si="162"/>
        <v>3.1675048597887374E-12</v>
      </c>
      <c r="R163" s="62">
        <f t="shared" si="109"/>
        <v>287.75907759269154</v>
      </c>
      <c r="S163" s="62">
        <f ca="1">AVERAGE(OFFSET($R$3,0,0,'Données projet'!$E$9+1,1))-AVERAGE(OFFSET($H$3,0,0,'Données projet'!$E$9+1,1))</f>
        <v>446.90706503298787</v>
      </c>
      <c r="T163" s="62">
        <f t="shared" si="142"/>
        <v>275.54513370838777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369.59928463850827</v>
      </c>
      <c r="AO163" s="62">
        <f t="shared" si="144"/>
        <v>236.19165554863852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500.25828825677058</v>
      </c>
      <c r="BJ163" s="62">
        <f t="shared" si="146"/>
        <v>313.56299786481338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-1.1368683772161603E-13</v>
      </c>
      <c r="BZ163" s="14">
        <f>BY163*VLOOKUP('Données projet'!$B$12,Paramètres!$A$1:$I$89,3,0)*VLOOKUP('Données projet'!$B$12,Paramètres!$A$1:$I$89,5,0)</f>
        <v>-9.9316821433603781E-14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287.22548699835653</v>
      </c>
      <c r="CE163" s="62">
        <f t="shared" si="148"/>
        <v>276.01618888357268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1.1527845344971866E-13</v>
      </c>
      <c r="P164" s="14">
        <f t="shared" si="141"/>
        <v>1.7033846239409443E-12</v>
      </c>
      <c r="Q164" s="22">
        <f t="shared" si="162"/>
        <v>3.1675048597887374E-12</v>
      </c>
      <c r="R164" s="62">
        <f t="shared" si="109"/>
        <v>287.85577846762288</v>
      </c>
      <c r="S164" s="62">
        <f ca="1">AVERAGE(OFFSET($R$3,0,0,'Données projet'!$E$9+1,1))-AVERAGE(OFFSET($H$3,0,0,'Données projet'!$E$9+1,1))</f>
        <v>446.90706503298787</v>
      </c>
      <c r="T164" s="62">
        <f t="shared" si="142"/>
        <v>275.54513370838777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369.59928463850827</v>
      </c>
      <c r="AO164" s="62">
        <f t="shared" si="144"/>
        <v>236.19165554863852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500.25828825677058</v>
      </c>
      <c r="BJ164" s="62">
        <f t="shared" si="146"/>
        <v>313.56299786481338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-1.1368683772161603E-13</v>
      </c>
      <c r="BZ164" s="14">
        <f>BY164*VLOOKUP('Données projet'!$B$12,Paramètres!$A$1:$I$89,3,0)*VLOOKUP('Données projet'!$B$12,Paramètres!$A$1:$I$89,5,0)</f>
        <v>-9.9316821433603781E-14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287.22548699835653</v>
      </c>
      <c r="CE164" s="62">
        <f t="shared" si="148"/>
        <v>276.01618888357268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1.1527845344971866E-13</v>
      </c>
      <c r="P165" s="14">
        <f t="shared" si="141"/>
        <v>1.7033846239409443E-12</v>
      </c>
      <c r="Q165" s="22">
        <f t="shared" si="162"/>
        <v>3.1675048597887374E-12</v>
      </c>
      <c r="R165" s="62">
        <f t="shared" si="109"/>
        <v>287.9508017985649</v>
      </c>
      <c r="S165" s="62">
        <f ca="1">AVERAGE(OFFSET($R$3,0,0,'Données projet'!$E$9+1,1))-AVERAGE(OFFSET($H$3,0,0,'Données projet'!$E$9+1,1))</f>
        <v>446.90706503298787</v>
      </c>
      <c r="T165" s="62">
        <f t="shared" si="142"/>
        <v>275.54513370838777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369.59928463850827</v>
      </c>
      <c r="AO165" s="62">
        <f t="shared" si="144"/>
        <v>236.19165554863852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500.25828825677058</v>
      </c>
      <c r="BJ165" s="62">
        <f t="shared" si="146"/>
        <v>313.56299786481338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-1.1368683772161603E-13</v>
      </c>
      <c r="BZ165" s="14">
        <f>BY165*VLOOKUP('Données projet'!$B$12,Paramètres!$A$1:$I$89,3,0)*VLOOKUP('Données projet'!$B$12,Paramètres!$A$1:$I$89,5,0)</f>
        <v>-9.9316821433603781E-14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287.22548699835653</v>
      </c>
      <c r="CE165" s="62">
        <f t="shared" si="148"/>
        <v>276.01618888357268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1.1527845344971866E-13</v>
      </c>
      <c r="P166" s="14">
        <f t="shared" si="141"/>
        <v>1.7033846239409443E-12</v>
      </c>
      <c r="Q166" s="22">
        <f t="shared" si="162"/>
        <v>3.1675048597887374E-12</v>
      </c>
      <c r="R166" s="62">
        <f t="shared" si="109"/>
        <v>288.04417668715541</v>
      </c>
      <c r="S166" s="62">
        <f ca="1">AVERAGE(OFFSET($R$3,0,0,'Données projet'!$E$9+1,1))-AVERAGE(OFFSET($H$3,0,0,'Données projet'!$E$9+1,1))</f>
        <v>446.90706503298787</v>
      </c>
      <c r="T166" s="62">
        <f t="shared" si="142"/>
        <v>275.54513370838777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369.59928463850827</v>
      </c>
      <c r="AO166" s="62">
        <f t="shared" si="144"/>
        <v>236.19165554863852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500.25828825677058</v>
      </c>
      <c r="BJ166" s="62">
        <f t="shared" si="146"/>
        <v>313.56299786481338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-1.1368683772161603E-13</v>
      </c>
      <c r="BZ166" s="14">
        <f>BY166*VLOOKUP('Données projet'!$B$12,Paramètres!$A$1:$I$89,3,0)*VLOOKUP('Données projet'!$B$12,Paramètres!$A$1:$I$89,5,0)</f>
        <v>-9.9316821433603781E-14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287.22548699835653</v>
      </c>
      <c r="CE166" s="62">
        <f t="shared" si="148"/>
        <v>276.01618888357268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1.1527845344971866E-13</v>
      </c>
      <c r="P167" s="14">
        <f t="shared" si="141"/>
        <v>1.7033846239409443E-12</v>
      </c>
      <c r="Q167" s="22">
        <f t="shared" si="162"/>
        <v>3.1675048597887374E-12</v>
      </c>
      <c r="R167" s="62">
        <f t="shared" si="109"/>
        <v>288.13593173018387</v>
      </c>
      <c r="S167" s="62">
        <f ca="1">AVERAGE(OFFSET($R$3,0,0,'Données projet'!$E$9+1,1))-AVERAGE(OFFSET($H$3,0,0,'Données projet'!$E$9+1,1))</f>
        <v>446.90706503298787</v>
      </c>
      <c r="T167" s="62">
        <f t="shared" si="142"/>
        <v>275.54513370838777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369.59928463850827</v>
      </c>
      <c r="AO167" s="62">
        <f t="shared" si="144"/>
        <v>236.19165554863852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500.25828825677058</v>
      </c>
      <c r="BJ167" s="62">
        <f t="shared" si="146"/>
        <v>313.56299786481338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-1.1368683772161603E-13</v>
      </c>
      <c r="BZ167" s="14">
        <f>BY167*VLOOKUP('Données projet'!$B$12,Paramètres!$A$1:$I$89,3,0)*VLOOKUP('Données projet'!$B$12,Paramètres!$A$1:$I$89,5,0)</f>
        <v>-9.9316821433603781E-14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287.22548699835653</v>
      </c>
      <c r="CE167" s="62">
        <f t="shared" si="148"/>
        <v>276.01618888357268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1.1527845344971866E-13</v>
      </c>
      <c r="P168" s="14">
        <f t="shared" si="141"/>
        <v>1.7033846239409443E-12</v>
      </c>
      <c r="Q168" s="22">
        <f t="shared" si="162"/>
        <v>3.1675048597887374E-12</v>
      </c>
      <c r="R168" s="62">
        <f t="shared" si="109"/>
        <v>288.22609502834933</v>
      </c>
      <c r="S168" s="62">
        <f ca="1">AVERAGE(OFFSET($R$3,0,0,'Données projet'!$E$9+1,1))-AVERAGE(OFFSET($H$3,0,0,'Données projet'!$E$9+1,1))</f>
        <v>446.90706503298787</v>
      </c>
      <c r="T168" s="62">
        <f t="shared" si="142"/>
        <v>275.54513370838777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369.59928463850827</v>
      </c>
      <c r="AO168" s="62">
        <f t="shared" si="144"/>
        <v>236.19165554863852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500.25828825677058</v>
      </c>
      <c r="BJ168" s="62">
        <f t="shared" si="146"/>
        <v>313.56299786481338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-1.1368683772161603E-13</v>
      </c>
      <c r="BZ168" s="14">
        <f>BY168*VLOOKUP('Données projet'!$B$12,Paramètres!$A$1:$I$89,3,0)*VLOOKUP('Données projet'!$B$12,Paramètres!$A$1:$I$89,5,0)</f>
        <v>-9.9316821433603781E-14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287.22548699835653</v>
      </c>
      <c r="CE168" s="62">
        <f t="shared" si="148"/>
        <v>276.01618888357268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1.1527845344971866E-13</v>
      </c>
      <c r="P169" s="14">
        <f t="shared" si="141"/>
        <v>1.7033846239409443E-12</v>
      </c>
      <c r="Q169" s="22">
        <f t="shared" si="162"/>
        <v>3.1675048597887374E-12</v>
      </c>
      <c r="R169" s="62">
        <f t="shared" si="109"/>
        <v>288.3146941948666</v>
      </c>
      <c r="S169" s="62">
        <f ca="1">AVERAGE(OFFSET($R$3,0,0,'Données projet'!$E$9+1,1))-AVERAGE(OFFSET($H$3,0,0,'Données projet'!$E$9+1,1))</f>
        <v>446.90706503298787</v>
      </c>
      <c r="T169" s="62">
        <f t="shared" si="142"/>
        <v>275.54513370838777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369.59928463850827</v>
      </c>
      <c r="AO169" s="62">
        <f t="shared" si="144"/>
        <v>236.19165554863852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500.25828825677058</v>
      </c>
      <c r="BJ169" s="62">
        <f t="shared" si="146"/>
        <v>313.56299786481338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-1.1368683772161603E-13</v>
      </c>
      <c r="BZ169" s="14">
        <f>BY169*VLOOKUP('Données projet'!$B$12,Paramètres!$A$1:$I$89,3,0)*VLOOKUP('Données projet'!$B$12,Paramètres!$A$1:$I$89,5,0)</f>
        <v>-9.9316821433603781E-14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287.22548699835653</v>
      </c>
      <c r="CE169" s="62">
        <f t="shared" si="148"/>
        <v>276.01618888357268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1.1527845344971866E-13</v>
      </c>
      <c r="P170" s="14">
        <f t="shared" si="141"/>
        <v>1.7033846239409443E-12</v>
      </c>
      <c r="Q170" s="22">
        <f t="shared" si="162"/>
        <v>3.1675048597887374E-12</v>
      </c>
      <c r="R170" s="62">
        <f t="shared" si="109"/>
        <v>288.4017563639228</v>
      </c>
      <c r="S170" s="62">
        <f ca="1">AVERAGE(OFFSET($R$3,0,0,'Données projet'!$E$9+1,1))-AVERAGE(OFFSET($H$3,0,0,'Données projet'!$E$9+1,1))</f>
        <v>446.90706503298787</v>
      </c>
      <c r="T170" s="62">
        <f t="shared" si="142"/>
        <v>275.54513370838777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369.59928463850827</v>
      </c>
      <c r="AO170" s="62">
        <f t="shared" si="144"/>
        <v>236.19165554863852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500.25828825677058</v>
      </c>
      <c r="BJ170" s="62">
        <f t="shared" si="146"/>
        <v>313.56299786481338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-1.1368683772161603E-13</v>
      </c>
      <c r="BZ170" s="14">
        <f>BY170*VLOOKUP('Données projet'!$B$12,Paramètres!$A$1:$I$89,3,0)*VLOOKUP('Données projet'!$B$12,Paramètres!$A$1:$I$89,5,0)</f>
        <v>-9.9316821433603781E-14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287.22548699835653</v>
      </c>
      <c r="CE170" s="62">
        <f t="shared" si="148"/>
        <v>276.01618888357268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1.1527845344971866E-13</v>
      </c>
      <c r="P171" s="14">
        <f t="shared" si="141"/>
        <v>1.7033846239409443E-12</v>
      </c>
      <c r="Q171" s="22">
        <f t="shared" si="162"/>
        <v>3.1675048597887374E-12</v>
      </c>
      <c r="R171" s="62">
        <f t="shared" si="109"/>
        <v>288.48730819898771</v>
      </c>
      <c r="S171" s="62">
        <f ca="1">AVERAGE(OFFSET($R$3,0,0,'Données projet'!$E$9+1,1))-AVERAGE(OFFSET($H$3,0,0,'Données projet'!$E$9+1,1))</f>
        <v>446.90706503298787</v>
      </c>
      <c r="T171" s="62">
        <f t="shared" si="142"/>
        <v>275.54513370838777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369.59928463850827</v>
      </c>
      <c r="AO171" s="62">
        <f t="shared" si="144"/>
        <v>236.19165554863852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500.25828825677058</v>
      </c>
      <c r="BJ171" s="62">
        <f t="shared" si="146"/>
        <v>313.56299786481338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-1.1368683772161603E-13</v>
      </c>
      <c r="BZ171" s="14">
        <f>BY171*VLOOKUP('Données projet'!$B$12,Paramètres!$A$1:$I$89,3,0)*VLOOKUP('Données projet'!$B$12,Paramètres!$A$1:$I$89,5,0)</f>
        <v>-9.9316821433603781E-14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287.22548699835653</v>
      </c>
      <c r="CE171" s="62">
        <f t="shared" si="148"/>
        <v>276.01618888357268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1.1527845344971866E-13</v>
      </c>
      <c r="P172" s="14">
        <f t="shared" si="141"/>
        <v>1.7033846239409443E-12</v>
      </c>
      <c r="Q172" s="22">
        <f t="shared" si="162"/>
        <v>3.1675048597887374E-12</v>
      </c>
      <c r="R172" s="62">
        <f t="shared" si="109"/>
        <v>288.5713759009796</v>
      </c>
      <c r="S172" s="62">
        <f ca="1">AVERAGE(OFFSET($R$3,0,0,'Données projet'!$E$9+1,1))-AVERAGE(OFFSET($H$3,0,0,'Données projet'!$E$9+1,1))</f>
        <v>446.90706503298787</v>
      </c>
      <c r="T172" s="62">
        <f t="shared" si="142"/>
        <v>275.54513370838777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369.59928463850827</v>
      </c>
      <c r="AO172" s="62">
        <f t="shared" si="144"/>
        <v>236.19165554863852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500.25828825677058</v>
      </c>
      <c r="BJ172" s="62">
        <f t="shared" si="146"/>
        <v>313.56299786481338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-1.1368683772161603E-13</v>
      </c>
      <c r="BZ172" s="14">
        <f>BY172*VLOOKUP('Données projet'!$B$12,Paramètres!$A$1:$I$89,3,0)*VLOOKUP('Données projet'!$B$12,Paramètres!$A$1:$I$89,5,0)</f>
        <v>-9.9316821433603781E-14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287.22548699835653</v>
      </c>
      <c r="CE172" s="62">
        <f t="shared" si="148"/>
        <v>276.01618888357268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1.1527845344971866E-13</v>
      </c>
      <c r="P173" s="14">
        <f t="shared" si="141"/>
        <v>1.7033846239409443E-12</v>
      </c>
      <c r="Q173" s="22">
        <f t="shared" si="162"/>
        <v>3.1675048597887374E-12</v>
      </c>
      <c r="R173" s="62">
        <f t="shared" si="109"/>
        <v>288.65398521628907</v>
      </c>
      <c r="S173" s="62">
        <f ca="1">AVERAGE(OFFSET($R$3,0,0,'Données projet'!$E$9+1,1))-AVERAGE(OFFSET($H$3,0,0,'Données projet'!$E$9+1,1))</f>
        <v>446.90706503298787</v>
      </c>
      <c r="T173" s="62">
        <f t="shared" si="142"/>
        <v>275.54513370838777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369.59928463850827</v>
      </c>
      <c r="AO173" s="62">
        <f t="shared" si="144"/>
        <v>236.19165554863852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500.25828825677058</v>
      </c>
      <c r="BJ173" s="62">
        <f t="shared" si="146"/>
        <v>313.56299786481338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-1.1368683772161603E-13</v>
      </c>
      <c r="BZ173" s="14">
        <f>BY173*VLOOKUP('Données projet'!$B$12,Paramètres!$A$1:$I$89,3,0)*VLOOKUP('Données projet'!$B$12,Paramètres!$A$1:$I$89,5,0)</f>
        <v>-9.9316821433603781E-14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287.22548699835653</v>
      </c>
      <c r="CE173" s="62">
        <f t="shared" si="148"/>
        <v>276.01618888357268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1.1527845344971866E-13</v>
      </c>
      <c r="P174" s="14">
        <f t="shared" si="141"/>
        <v>1.7033846239409443E-12</v>
      </c>
      <c r="Q174" s="22">
        <f t="shared" si="162"/>
        <v>3.1675048597887374E-12</v>
      </c>
      <c r="R174" s="62">
        <f t="shared" si="109"/>
        <v>288.7351614446647</v>
      </c>
      <c r="S174" s="62">
        <f ca="1">AVERAGE(OFFSET($R$3,0,0,'Données projet'!$E$9+1,1))-AVERAGE(OFFSET($H$3,0,0,'Données projet'!$E$9+1,1))</f>
        <v>446.90706503298787</v>
      </c>
      <c r="T174" s="62">
        <f t="shared" si="142"/>
        <v>275.54513370838777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369.59928463850827</v>
      </c>
      <c r="AO174" s="62">
        <f t="shared" si="144"/>
        <v>236.19165554863852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500.25828825677058</v>
      </c>
      <c r="BJ174" s="62">
        <f t="shared" si="146"/>
        <v>313.56299786481338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-1.1368683772161603E-13</v>
      </c>
      <c r="BZ174" s="14">
        <f>BY174*VLOOKUP('Données projet'!$B$12,Paramètres!$A$1:$I$89,3,0)*VLOOKUP('Données projet'!$B$12,Paramètres!$A$1:$I$89,5,0)</f>
        <v>-9.9316821433603781E-14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287.22548699835653</v>
      </c>
      <c r="CE174" s="62">
        <f t="shared" si="148"/>
        <v>276.01618888357268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1.1527845344971866E-13</v>
      </c>
      <c r="P175" s="14">
        <f t="shared" si="141"/>
        <v>1.7033846239409443E-12</v>
      </c>
      <c r="Q175" s="22">
        <f t="shared" si="162"/>
        <v>3.1675048597887374E-12</v>
      </c>
      <c r="R175" s="62">
        <f t="shared" si="109"/>
        <v>288.81492944696083</v>
      </c>
      <c r="S175" s="62">
        <f ca="1">AVERAGE(OFFSET($R$3,0,0,'Données projet'!$E$9+1,1))-AVERAGE(OFFSET($H$3,0,0,'Données projet'!$E$9+1,1))</f>
        <v>446.90706503298787</v>
      </c>
      <c r="T175" s="62">
        <f t="shared" si="142"/>
        <v>275.54513370838777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369.59928463850827</v>
      </c>
      <c r="AO175" s="62">
        <f t="shared" si="144"/>
        <v>236.19165554863852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500.25828825677058</v>
      </c>
      <c r="BJ175" s="62">
        <f t="shared" si="146"/>
        <v>313.56299786481338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-1.1368683772161603E-13</v>
      </c>
      <c r="BZ175" s="14">
        <f>BY175*VLOOKUP('Données projet'!$B$12,Paramètres!$A$1:$I$89,3,0)*VLOOKUP('Données projet'!$B$12,Paramètres!$A$1:$I$89,5,0)</f>
        <v>-9.9316821433603781E-14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287.22548699835653</v>
      </c>
      <c r="CE175" s="62">
        <f t="shared" si="148"/>
        <v>276.01618888357268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1.1527845344971866E-13</v>
      </c>
      <c r="P176" s="14">
        <f t="shared" si="141"/>
        <v>1.7033846239409443E-12</v>
      </c>
      <c r="Q176" s="22">
        <f t="shared" si="162"/>
        <v>3.1675048597887374E-12</v>
      </c>
      <c r="R176" s="62">
        <f t="shared" si="109"/>
        <v>288.89331365275166</v>
      </c>
      <c r="S176" s="62">
        <f ca="1">AVERAGE(OFFSET($R$3,0,0,'Données projet'!$E$9+1,1))-AVERAGE(OFFSET($H$3,0,0,'Données projet'!$E$9+1,1))</f>
        <v>446.90706503298787</v>
      </c>
      <c r="T176" s="62">
        <f t="shared" si="142"/>
        <v>275.54513370838777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369.59928463850827</v>
      </c>
      <c r="AO176" s="62">
        <f t="shared" si="144"/>
        <v>236.19165554863852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500.25828825677058</v>
      </c>
      <c r="BJ176" s="62">
        <f t="shared" si="146"/>
        <v>313.56299786481338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-1.1368683772161603E-13</v>
      </c>
      <c r="BZ176" s="14">
        <f>BY176*VLOOKUP('Données projet'!$B$12,Paramètres!$A$1:$I$89,3,0)*VLOOKUP('Données projet'!$B$12,Paramètres!$A$1:$I$89,5,0)</f>
        <v>-9.9316821433603781E-14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287.22548699835653</v>
      </c>
      <c r="CE176" s="62">
        <f t="shared" si="148"/>
        <v>276.01618888357268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1.1527845344971866E-13</v>
      </c>
      <c r="P177" s="14">
        <f t="shared" si="141"/>
        <v>1.7033846239409443E-12</v>
      </c>
      <c r="Q177" s="22">
        <f t="shared" si="162"/>
        <v>3.1675048597887374E-12</v>
      </c>
      <c r="R177" s="62">
        <f t="shared" si="109"/>
        <v>288.97033806781292</v>
      </c>
      <c r="S177" s="62">
        <f ca="1">AVERAGE(OFFSET($R$3,0,0,'Données projet'!$E$9+1,1))-AVERAGE(OFFSET($H$3,0,0,'Données projet'!$E$9+1,1))</f>
        <v>446.90706503298787</v>
      </c>
      <c r="T177" s="62">
        <f t="shared" si="142"/>
        <v>275.54513370838777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369.59928463850827</v>
      </c>
      <c r="AO177" s="62">
        <f t="shared" si="144"/>
        <v>236.19165554863852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500.25828825677058</v>
      </c>
      <c r="BJ177" s="62">
        <f t="shared" si="146"/>
        <v>313.56299786481338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-1.1368683772161603E-13</v>
      </c>
      <c r="BZ177" s="14">
        <f>BY177*VLOOKUP('Données projet'!$B$12,Paramètres!$A$1:$I$89,3,0)*VLOOKUP('Données projet'!$B$12,Paramètres!$A$1:$I$89,5,0)</f>
        <v>-9.9316821433603781E-14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287.22548699835653</v>
      </c>
      <c r="CE177" s="62">
        <f t="shared" si="148"/>
        <v>276.01618888357268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1.1527845344971866E-13</v>
      </c>
      <c r="P178" s="14">
        <f t="shared" si="141"/>
        <v>1.7033846239409443E-12</v>
      </c>
      <c r="Q178" s="22">
        <f t="shared" si="162"/>
        <v>3.1675048597887374E-12</v>
      </c>
      <c r="R178" s="62">
        <f t="shared" si="109"/>
        <v>289.04602628147359</v>
      </c>
      <c r="S178" s="62">
        <f ca="1">AVERAGE(OFFSET($R$3,0,0,'Données projet'!$E$9+1,1))-AVERAGE(OFFSET($H$3,0,0,'Données projet'!$E$9+1,1))</f>
        <v>446.90706503298787</v>
      </c>
      <c r="T178" s="62">
        <f t="shared" si="142"/>
        <v>275.54513370838777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369.59928463850827</v>
      </c>
      <c r="AO178" s="62">
        <f t="shared" si="144"/>
        <v>236.19165554863852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500.25828825677058</v>
      </c>
      <c r="BJ178" s="62">
        <f t="shared" si="146"/>
        <v>313.56299786481338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-1.1368683772161603E-13</v>
      </c>
      <c r="BZ178" s="14">
        <f>BY178*VLOOKUP('Données projet'!$B$12,Paramètres!$A$1:$I$89,3,0)*VLOOKUP('Données projet'!$B$12,Paramètres!$A$1:$I$89,5,0)</f>
        <v>-9.9316821433603781E-14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287.22548699835653</v>
      </c>
      <c r="CE178" s="62">
        <f t="shared" si="148"/>
        <v>276.01618888357268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1.1527845344971866E-13</v>
      </c>
      <c r="P179" s="14">
        <f t="shared" si="141"/>
        <v>1.7033846239409443E-12</v>
      </c>
      <c r="Q179" s="22">
        <f t="shared" si="162"/>
        <v>3.1675048597887374E-12</v>
      </c>
      <c r="R179" s="62">
        <f t="shared" si="109"/>
        <v>289.12040147384079</v>
      </c>
      <c r="S179" s="62">
        <f ca="1">AVERAGE(OFFSET($R$3,0,0,'Données projet'!$E$9+1,1))-AVERAGE(OFFSET($H$3,0,0,'Données projet'!$E$9+1,1))</f>
        <v>446.90706503298787</v>
      </c>
      <c r="T179" s="62">
        <f t="shared" si="142"/>
        <v>275.54513370838777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369.59928463850827</v>
      </c>
      <c r="AO179" s="62">
        <f t="shared" si="144"/>
        <v>236.19165554863852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500.25828825677058</v>
      </c>
      <c r="BJ179" s="62">
        <f t="shared" si="146"/>
        <v>313.56299786481338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-1.1368683772161603E-13</v>
      </c>
      <c r="BZ179" s="14">
        <f>BY179*VLOOKUP('Données projet'!$B$12,Paramètres!$A$1:$I$89,3,0)*VLOOKUP('Données projet'!$B$12,Paramètres!$A$1:$I$89,5,0)</f>
        <v>-9.9316821433603781E-14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287.22548699835653</v>
      </c>
      <c r="CE179" s="62">
        <f t="shared" si="148"/>
        <v>276.01618888357268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1.1527845344971866E-13</v>
      </c>
      <c r="P180" s="14">
        <f t="shared" si="141"/>
        <v>1.7033846239409443E-12</v>
      </c>
      <c r="Q180" s="22">
        <f t="shared" si="162"/>
        <v>3.1675048597887374E-12</v>
      </c>
      <c r="R180" s="62">
        <f t="shared" si="109"/>
        <v>289.19348642289845</v>
      </c>
      <c r="S180" s="62">
        <f ca="1">AVERAGE(OFFSET($R$3,0,0,'Données projet'!$E$9+1,1))-AVERAGE(OFFSET($H$3,0,0,'Données projet'!$E$9+1,1))</f>
        <v>446.90706503298787</v>
      </c>
      <c r="T180" s="62">
        <f t="shared" si="142"/>
        <v>275.54513370838777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369.59928463850827</v>
      </c>
      <c r="AO180" s="62">
        <f t="shared" si="144"/>
        <v>236.19165554863852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500.25828825677058</v>
      </c>
      <c r="BJ180" s="62">
        <f t="shared" si="146"/>
        <v>313.56299786481338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-1.1368683772161603E-13</v>
      </c>
      <c r="BZ180" s="14">
        <f>BY180*VLOOKUP('Données projet'!$B$12,Paramètres!$A$1:$I$89,3,0)*VLOOKUP('Données projet'!$B$12,Paramètres!$A$1:$I$89,5,0)</f>
        <v>-9.9316821433603781E-14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287.22548699835653</v>
      </c>
      <c r="CE180" s="62">
        <f t="shared" si="148"/>
        <v>276.01618888357268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1.1527845344971866E-13</v>
      </c>
      <c r="P181" s="14">
        <f t="shared" si="141"/>
        <v>1.7033846239409443E-12</v>
      </c>
      <c r="Q181" s="22">
        <f t="shared" si="162"/>
        <v>3.1675048597887374E-12</v>
      </c>
      <c r="R181" s="62">
        <f t="shared" si="109"/>
        <v>289.26530351148335</v>
      </c>
      <c r="S181" s="62">
        <f ca="1">AVERAGE(OFFSET($R$3,0,0,'Données projet'!$E$9+1,1))-AVERAGE(OFFSET($H$3,0,0,'Données projet'!$E$9+1,1))</f>
        <v>446.90706503298787</v>
      </c>
      <c r="T181" s="62">
        <f t="shared" si="142"/>
        <v>275.54513370838777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369.59928463850827</v>
      </c>
      <c r="AO181" s="62">
        <f t="shared" si="144"/>
        <v>236.19165554863852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500.25828825677058</v>
      </c>
      <c r="BJ181" s="62">
        <f t="shared" si="146"/>
        <v>313.56299786481338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-1.1368683772161603E-13</v>
      </c>
      <c r="BZ181" s="14">
        <f>BY181*VLOOKUP('Données projet'!$B$12,Paramètres!$A$1:$I$89,3,0)*VLOOKUP('Données projet'!$B$12,Paramètres!$A$1:$I$89,5,0)</f>
        <v>-9.9316821433603781E-14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287.22548699835653</v>
      </c>
      <c r="CE181" s="62">
        <f t="shared" si="148"/>
        <v>276.01618888357268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1.1527845344971866E-13</v>
      </c>
      <c r="P182" s="14">
        <f t="shared" si="141"/>
        <v>1.7033846239409443E-12</v>
      </c>
      <c r="Q182" s="22">
        <f t="shared" si="162"/>
        <v>3.1675048597887374E-12</v>
      </c>
      <c r="R182" s="62">
        <f t="shared" si="109"/>
        <v>289.3358747341403</v>
      </c>
      <c r="S182" s="62">
        <f ca="1">AVERAGE(OFFSET($R$3,0,0,'Données projet'!$E$9+1,1))-AVERAGE(OFFSET($H$3,0,0,'Données projet'!$E$9+1,1))</f>
        <v>446.90706503298787</v>
      </c>
      <c r="T182" s="62">
        <f t="shared" si="142"/>
        <v>275.54513370838777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369.59928463850827</v>
      </c>
      <c r="AO182" s="62">
        <f t="shared" si="144"/>
        <v>236.19165554863852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500.25828825677058</v>
      </c>
      <c r="BJ182" s="62">
        <f t="shared" si="146"/>
        <v>313.56299786481338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-1.1368683772161603E-13</v>
      </c>
      <c r="BZ182" s="14">
        <f>BY182*VLOOKUP('Données projet'!$B$12,Paramètres!$A$1:$I$89,3,0)*VLOOKUP('Données projet'!$B$12,Paramètres!$A$1:$I$89,5,0)</f>
        <v>-9.9316821433603781E-14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287.22548699835653</v>
      </c>
      <c r="CE182" s="62">
        <f t="shared" si="148"/>
        <v>276.01618888357268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1.1527845344971866E-13</v>
      </c>
      <c r="P183" s="14">
        <f t="shared" si="141"/>
        <v>1.7033846239409443E-12</v>
      </c>
      <c r="Q183" s="22">
        <f t="shared" si="162"/>
        <v>3.1675048597887374E-12</v>
      </c>
      <c r="R183" s="62">
        <f t="shared" si="109"/>
        <v>289.40522170385782</v>
      </c>
      <c r="S183" s="62">
        <f ca="1">AVERAGE(OFFSET($R$3,0,0,'Données projet'!$E$9+1,1))-AVERAGE(OFFSET($H$3,0,0,'Données projet'!$E$9+1,1))</f>
        <v>446.90706503298787</v>
      </c>
      <c r="T183" s="62">
        <f t="shared" si="142"/>
        <v>275.54513370838777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369.59928463850827</v>
      </c>
      <c r="AO183" s="62">
        <f t="shared" si="144"/>
        <v>236.19165554863852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500.25828825677058</v>
      </c>
      <c r="BJ183" s="62">
        <f t="shared" si="146"/>
        <v>313.56299786481338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-1.1368683772161603E-13</v>
      </c>
      <c r="BZ183" s="14">
        <f>BY183*VLOOKUP('Données projet'!$B$12,Paramètres!$A$1:$I$89,3,0)*VLOOKUP('Données projet'!$B$12,Paramètres!$A$1:$I$89,5,0)</f>
        <v>-9.9316821433603781E-14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287.22548699835653</v>
      </c>
      <c r="CE183" s="62">
        <f t="shared" si="148"/>
        <v>276.01618888357268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1.1527845344971866E-13</v>
      </c>
      <c r="P184" s="14">
        <f t="shared" si="141"/>
        <v>1.7033846239409443E-12</v>
      </c>
      <c r="Q184" s="22">
        <f t="shared" si="162"/>
        <v>3.1675048597887374E-12</v>
      </c>
      <c r="R184" s="62">
        <f t="shared" si="109"/>
        <v>289.47336565868727</v>
      </c>
      <c r="S184" s="62">
        <f ca="1">AVERAGE(OFFSET($R$3,0,0,'Données projet'!$E$9+1,1))-AVERAGE(OFFSET($H$3,0,0,'Données projet'!$E$9+1,1))</f>
        <v>446.90706503298787</v>
      </c>
      <c r="T184" s="62">
        <f t="shared" si="142"/>
        <v>275.54513370838777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369.59928463850827</v>
      </c>
      <c r="AO184" s="62">
        <f t="shared" si="144"/>
        <v>236.19165554863852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500.25828825677058</v>
      </c>
      <c r="BJ184" s="62">
        <f t="shared" si="146"/>
        <v>313.56299786481338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-1.1368683772161603E-13</v>
      </c>
      <c r="BZ184" s="14">
        <f>BY184*VLOOKUP('Données projet'!$B$12,Paramètres!$A$1:$I$89,3,0)*VLOOKUP('Données projet'!$B$12,Paramètres!$A$1:$I$89,5,0)</f>
        <v>-9.9316821433603781E-14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287.22548699835653</v>
      </c>
      <c r="CE184" s="62">
        <f t="shared" si="148"/>
        <v>276.01618888357268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1.1527845344971866E-13</v>
      </c>
      <c r="P185" s="14">
        <f t="shared" si="141"/>
        <v>1.7033846239409443E-12</v>
      </c>
      <c r="Q185" s="22">
        <f t="shared" si="162"/>
        <v>3.1675048597887374E-12</v>
      </c>
      <c r="R185" s="62">
        <f t="shared" si="109"/>
        <v>289.5403274682476</v>
      </c>
      <c r="S185" s="62">
        <f ca="1">AVERAGE(OFFSET($R$3,0,0,'Données projet'!$E$9+1,1))-AVERAGE(OFFSET($H$3,0,0,'Données projet'!$E$9+1,1))</f>
        <v>446.90706503298787</v>
      </c>
      <c r="T185" s="62">
        <f t="shared" si="142"/>
        <v>275.54513370838777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369.59928463850827</v>
      </c>
      <c r="AO185" s="62">
        <f t="shared" si="144"/>
        <v>236.19165554863852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500.25828825677058</v>
      </c>
      <c r="BJ185" s="62">
        <f t="shared" si="146"/>
        <v>313.56299786481338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-1.1368683772161603E-13</v>
      </c>
      <c r="BZ185" s="14">
        <f>BY185*VLOOKUP('Données projet'!$B$12,Paramètres!$A$1:$I$89,3,0)*VLOOKUP('Données projet'!$B$12,Paramètres!$A$1:$I$89,5,0)</f>
        <v>-9.9316821433603781E-14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287.22548699835653</v>
      </c>
      <c r="CE185" s="62">
        <f t="shared" si="148"/>
        <v>276.01618888357268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1.1527845344971866E-13</v>
      </c>
      <c r="P186" s="14">
        <f t="shared" si="141"/>
        <v>1.7033846239409443E-12</v>
      </c>
      <c r="Q186" s="22">
        <f t="shared" si="162"/>
        <v>3.1675048597887374E-12</v>
      </c>
      <c r="R186" s="62">
        <f t="shared" si="109"/>
        <v>289.60612764011614</v>
      </c>
      <c r="S186" s="62">
        <f ca="1">AVERAGE(OFFSET($R$3,0,0,'Données projet'!$E$9+1,1))-AVERAGE(OFFSET($H$3,0,0,'Données projet'!$E$9+1,1))</f>
        <v>446.90706503298787</v>
      </c>
      <c r="T186" s="62">
        <f t="shared" si="142"/>
        <v>275.54513370838777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369.59928463850827</v>
      </c>
      <c r="AO186" s="62">
        <f t="shared" si="144"/>
        <v>236.19165554863852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500.25828825677058</v>
      </c>
      <c r="BJ186" s="62">
        <f t="shared" si="146"/>
        <v>313.56299786481338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-1.1368683772161603E-13</v>
      </c>
      <c r="BZ186" s="14">
        <f>BY186*VLOOKUP('Données projet'!$B$12,Paramètres!$A$1:$I$89,3,0)*VLOOKUP('Données projet'!$B$12,Paramètres!$A$1:$I$89,5,0)</f>
        <v>-9.9316821433603781E-14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287.22548699835653</v>
      </c>
      <c r="CE186" s="62">
        <f t="shared" si="148"/>
        <v>276.01618888357268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1.1527845344971866E-13</v>
      </c>
      <c r="P187" s="14">
        <f t="shared" si="141"/>
        <v>1.7033846239409443E-12</v>
      </c>
      <c r="Q187" s="22">
        <f t="shared" si="162"/>
        <v>3.1675048597887374E-12</v>
      </c>
      <c r="R187" s="62">
        <f t="shared" si="109"/>
        <v>289.67078632610992</v>
      </c>
      <c r="S187" s="62">
        <f ca="1">AVERAGE(OFFSET($R$3,0,0,'Données projet'!$E$9+1,1))-AVERAGE(OFFSET($H$3,0,0,'Données projet'!$E$9+1,1))</f>
        <v>446.90706503298787</v>
      </c>
      <c r="T187" s="62">
        <f t="shared" si="142"/>
        <v>275.54513370838777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369.59928463850827</v>
      </c>
      <c r="AO187" s="62">
        <f t="shared" si="144"/>
        <v>236.19165554863852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500.25828825677058</v>
      </c>
      <c r="BJ187" s="62">
        <f t="shared" si="146"/>
        <v>313.56299786481338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-1.1368683772161603E-13</v>
      </c>
      <c r="BZ187" s="14">
        <f>BY187*VLOOKUP('Données projet'!$B$12,Paramètres!$A$1:$I$89,3,0)*VLOOKUP('Données projet'!$B$12,Paramètres!$A$1:$I$89,5,0)</f>
        <v>-9.9316821433603781E-14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287.22548699835653</v>
      </c>
      <c r="CE187" s="62">
        <f t="shared" si="148"/>
        <v>276.01618888357268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1.1527845344971866E-13</v>
      </c>
      <c r="P188" s="14">
        <f t="shared" si="141"/>
        <v>1.7033846239409443E-12</v>
      </c>
      <c r="Q188" s="22">
        <f t="shared" si="162"/>
        <v>3.1675048597887374E-12</v>
      </c>
      <c r="R188" s="62">
        <f t="shared" si="109"/>
        <v>289.73432332845692</v>
      </c>
      <c r="S188" s="62">
        <f ca="1">AVERAGE(OFFSET($R$3,0,0,'Données projet'!$E$9+1,1))-AVERAGE(OFFSET($H$3,0,0,'Données projet'!$E$9+1,1))</f>
        <v>446.90706503298787</v>
      </c>
      <c r="T188" s="62">
        <f t="shared" si="142"/>
        <v>275.54513370838777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369.59928463850827</v>
      </c>
      <c r="AO188" s="62">
        <f t="shared" si="144"/>
        <v>236.19165554863852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500.25828825677058</v>
      </c>
      <c r="BJ188" s="62">
        <f t="shared" si="146"/>
        <v>313.56299786481338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-1.1368683772161603E-13</v>
      </c>
      <c r="BZ188" s="14">
        <f>BY188*VLOOKUP('Données projet'!$B$12,Paramètres!$A$1:$I$89,3,0)*VLOOKUP('Données projet'!$B$12,Paramètres!$A$1:$I$89,5,0)</f>
        <v>-9.9316821433603781E-14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287.22548699835653</v>
      </c>
      <c r="CE188" s="62">
        <f t="shared" si="148"/>
        <v>276.01618888357268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1.1527845344971866E-13</v>
      </c>
      <c r="P189" s="14">
        <f t="shared" si="141"/>
        <v>1.7033846239409443E-12</v>
      </c>
      <c r="Q189" s="22">
        <f t="shared" si="162"/>
        <v>3.1675048597887374E-12</v>
      </c>
      <c r="R189" s="62">
        <f t="shared" si="109"/>
        <v>289.79675810586059</v>
      </c>
      <c r="S189" s="62">
        <f ca="1">AVERAGE(OFFSET($R$3,0,0,'Données projet'!$E$9+1,1))-AVERAGE(OFFSET($H$3,0,0,'Données projet'!$E$9+1,1))</f>
        <v>446.90706503298787</v>
      </c>
      <c r="T189" s="62">
        <f t="shared" si="142"/>
        <v>275.54513370838777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369.59928463850827</v>
      </c>
      <c r="AO189" s="62">
        <f t="shared" si="144"/>
        <v>236.19165554863852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500.25828825677058</v>
      </c>
      <c r="BJ189" s="62">
        <f t="shared" si="146"/>
        <v>313.56299786481338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-1.1368683772161603E-13</v>
      </c>
      <c r="BZ189" s="14">
        <f>BY189*VLOOKUP('Données projet'!$B$12,Paramètres!$A$1:$I$89,3,0)*VLOOKUP('Données projet'!$B$12,Paramètres!$A$1:$I$89,5,0)</f>
        <v>-9.9316821433603781E-14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287.22548699835653</v>
      </c>
      <c r="CE189" s="62">
        <f t="shared" si="148"/>
        <v>276.01618888357268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1.1527845344971866E-13</v>
      </c>
      <c r="P190" s="14">
        <f t="shared" si="141"/>
        <v>1.7033846239409443E-12</v>
      </c>
      <c r="Q190" s="22">
        <f t="shared" si="162"/>
        <v>3.1675048597887374E-12</v>
      </c>
      <c r="R190" s="62">
        <f t="shared" si="109"/>
        <v>289.8581097794596</v>
      </c>
      <c r="S190" s="62">
        <f ca="1">AVERAGE(OFFSET($R$3,0,0,'Données projet'!$E$9+1,1))-AVERAGE(OFFSET($H$3,0,0,'Données projet'!$E$9+1,1))</f>
        <v>446.90706503298787</v>
      </c>
      <c r="T190" s="62">
        <f t="shared" si="142"/>
        <v>275.54513370838777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369.59928463850827</v>
      </c>
      <c r="AO190" s="62">
        <f t="shared" si="144"/>
        <v>236.19165554863852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500.25828825677058</v>
      </c>
      <c r="BJ190" s="62">
        <f t="shared" si="146"/>
        <v>313.56299786481338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-1.1368683772161603E-13</v>
      </c>
      <c r="BZ190" s="14">
        <f>BY190*VLOOKUP('Données projet'!$B$12,Paramètres!$A$1:$I$89,3,0)*VLOOKUP('Données projet'!$B$12,Paramètres!$A$1:$I$89,5,0)</f>
        <v>-9.9316821433603781E-14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287.22548699835653</v>
      </c>
      <c r="CE190" s="62">
        <f t="shared" si="148"/>
        <v>276.01618888357268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1.1527845344971866E-13</v>
      </c>
      <c r="P191" s="14">
        <f t="shared" si="141"/>
        <v>1.7033846239409443E-12</v>
      </c>
      <c r="Q191" s="22">
        <f t="shared" si="162"/>
        <v>3.1675048597887374E-12</v>
      </c>
      <c r="R191" s="62">
        <f t="shared" si="109"/>
        <v>289.91839713868342</v>
      </c>
      <c r="S191" s="62">
        <f ca="1">AVERAGE(OFFSET($R$3,0,0,'Données projet'!$E$9+1,1))-AVERAGE(OFFSET($H$3,0,0,'Données projet'!$E$9+1,1))</f>
        <v>446.90706503298787</v>
      </c>
      <c r="T191" s="62">
        <f t="shared" si="142"/>
        <v>275.54513370838777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369.59928463850827</v>
      </c>
      <c r="AO191" s="62">
        <f t="shared" si="144"/>
        <v>236.19165554863852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500.25828825677058</v>
      </c>
      <c r="BJ191" s="62">
        <f t="shared" si="146"/>
        <v>313.56299786481338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-1.1368683772161603E-13</v>
      </c>
      <c r="BZ191" s="14">
        <f>BY191*VLOOKUP('Données projet'!$B$12,Paramètres!$A$1:$I$89,3,0)*VLOOKUP('Données projet'!$B$12,Paramètres!$A$1:$I$89,5,0)</f>
        <v>-9.9316821433603781E-14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287.22548699835653</v>
      </c>
      <c r="CE191" s="62">
        <f t="shared" si="148"/>
        <v>276.01618888357268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1.1527845344971866E-13</v>
      </c>
      <c r="P192" s="14">
        <f t="shared" si="141"/>
        <v>1.7033846239409443E-12</v>
      </c>
      <c r="Q192" s="22">
        <f t="shared" si="162"/>
        <v>3.1675048597887374E-12</v>
      </c>
      <c r="R192" s="62">
        <f t="shared" si="109"/>
        <v>289.97763864700704</v>
      </c>
      <c r="S192" s="62">
        <f ca="1">AVERAGE(OFFSET($R$3,0,0,'Données projet'!$E$9+1,1))-AVERAGE(OFFSET($H$3,0,0,'Données projet'!$E$9+1,1))</f>
        <v>446.90706503298787</v>
      </c>
      <c r="T192" s="62">
        <f t="shared" si="142"/>
        <v>275.54513370838777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369.59928463850827</v>
      </c>
      <c r="AO192" s="62">
        <f t="shared" si="144"/>
        <v>236.19165554863852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500.25828825677058</v>
      </c>
      <c r="BJ192" s="62">
        <f t="shared" si="146"/>
        <v>313.56299786481338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-1.1368683772161603E-13</v>
      </c>
      <c r="BZ192" s="14">
        <f>BY192*VLOOKUP('Données projet'!$B$12,Paramètres!$A$1:$I$89,3,0)*VLOOKUP('Données projet'!$B$12,Paramètres!$A$1:$I$89,5,0)</f>
        <v>-9.9316821433603781E-14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287.22548699835653</v>
      </c>
      <c r="CE192" s="62">
        <f t="shared" si="148"/>
        <v>276.01618888357268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1.1527845344971866E-13</v>
      </c>
      <c r="P193" s="14">
        <f t="shared" si="141"/>
        <v>1.7033846239409443E-12</v>
      </c>
      <c r="Q193" s="22">
        <f t="shared" si="162"/>
        <v>3.1675048597887374E-12</v>
      </c>
      <c r="R193" s="62">
        <f t="shared" si="109"/>
        <v>290.03585244760546</v>
      </c>
      <c r="S193" s="62">
        <f ca="1">AVERAGE(OFFSET($R$3,0,0,'Données projet'!$E$9+1,1))-AVERAGE(OFFSET($H$3,0,0,'Données projet'!$E$9+1,1))</f>
        <v>446.90706503298787</v>
      </c>
      <c r="T193" s="62">
        <f t="shared" si="142"/>
        <v>275.54513370838777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369.59928463850827</v>
      </c>
      <c r="AO193" s="62">
        <f t="shared" si="144"/>
        <v>236.19165554863852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500.25828825677058</v>
      </c>
      <c r="BJ193" s="62">
        <f t="shared" si="146"/>
        <v>313.56299786481338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-1.1368683772161603E-13</v>
      </c>
      <c r="BZ193" s="14">
        <f>BY193*VLOOKUP('Données projet'!$B$12,Paramètres!$A$1:$I$89,3,0)*VLOOKUP('Données projet'!$B$12,Paramètres!$A$1:$I$89,5,0)</f>
        <v>-9.9316821433603781E-14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287.22548699835653</v>
      </c>
      <c r="CE193" s="62">
        <f t="shared" si="148"/>
        <v>276.01618888357268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1.1527845344971866E-13</v>
      </c>
      <c r="P194" s="14">
        <f t="shared" si="141"/>
        <v>1.7033846239409443E-12</v>
      </c>
      <c r="Q194" s="22">
        <f t="shared" si="162"/>
        <v>3.1675048597887374E-12</v>
      </c>
      <c r="R194" s="62">
        <f t="shared" si="109"/>
        <v>290.09305636891003</v>
      </c>
      <c r="S194" s="62">
        <f ca="1">AVERAGE(OFFSET($R$3,0,0,'Données projet'!$E$9+1,1))-AVERAGE(OFFSET($H$3,0,0,'Données projet'!$E$9+1,1))</f>
        <v>446.90706503298787</v>
      </c>
      <c r="T194" s="62">
        <f t="shared" si="142"/>
        <v>275.54513370838777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369.59928463850827</v>
      </c>
      <c r="AO194" s="62">
        <f t="shared" si="144"/>
        <v>236.19165554863852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500.25828825677058</v>
      </c>
      <c r="BJ194" s="62">
        <f t="shared" si="146"/>
        <v>313.56299786481338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-1.1368683772161603E-13</v>
      </c>
      <c r="BZ194" s="14">
        <f>BY194*VLOOKUP('Données projet'!$B$12,Paramètres!$A$1:$I$89,3,0)*VLOOKUP('Données projet'!$B$12,Paramètres!$A$1:$I$89,5,0)</f>
        <v>-9.9316821433603781E-14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287.22548699835653</v>
      </c>
      <c r="CE194" s="62">
        <f t="shared" si="148"/>
        <v>276.01618888357268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1.1527845344971866E-13</v>
      </c>
      <c r="P195" s="14">
        <f t="shared" si="141"/>
        <v>1.7033846239409443E-12</v>
      </c>
      <c r="Q195" s="22">
        <f t="shared" si="162"/>
        <v>3.1675048597887374E-12</v>
      </c>
      <c r="R195" s="62">
        <f t="shared" ref="R195:R203" si="191">Q195+(I195+J195)*44/12</f>
        <v>290.14926793006885</v>
      </c>
      <c r="S195" s="62">
        <f ca="1">AVERAGE(OFFSET($R$3,0,0,'Données projet'!$E$9+1,1))-AVERAGE(OFFSET($H$3,0,0,'Données projet'!$E$9+1,1))</f>
        <v>446.90706503298787</v>
      </c>
      <c r="T195" s="62">
        <f t="shared" si="142"/>
        <v>275.54513370838777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369.59928463850827</v>
      </c>
      <c r="AO195" s="62">
        <f t="shared" si="144"/>
        <v>236.19165554863852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500.25828825677058</v>
      </c>
      <c r="BJ195" s="62">
        <f t="shared" si="146"/>
        <v>313.56299786481338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-1.1368683772161603E-13</v>
      </c>
      <c r="BZ195" s="14">
        <f>BY195*VLOOKUP('Données projet'!$B$12,Paramètres!$A$1:$I$89,3,0)*VLOOKUP('Données projet'!$B$12,Paramètres!$A$1:$I$89,5,0)</f>
        <v>-9.9316821433603781E-14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287.22548699835653</v>
      </c>
      <c r="CE195" s="62">
        <f t="shared" si="148"/>
        <v>276.01618888357268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1.1527845344971866E-13</v>
      </c>
      <c r="P196" s="14">
        <f t="shared" si="141"/>
        <v>1.7033846239409443E-12</v>
      </c>
      <c r="Q196" s="22">
        <f t="shared" si="162"/>
        <v>3.1675048597887374E-12</v>
      </c>
      <c r="R196" s="62">
        <f t="shared" si="191"/>
        <v>290.20450434631169</v>
      </c>
      <c r="S196" s="62">
        <f ca="1">AVERAGE(OFFSET($R$3,0,0,'Données projet'!$E$9+1,1))-AVERAGE(OFFSET($H$3,0,0,'Données projet'!$E$9+1,1))</f>
        <v>446.90706503298787</v>
      </c>
      <c r="T196" s="62">
        <f t="shared" si="142"/>
        <v>275.54513370838777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369.59928463850827</v>
      </c>
      <c r="AO196" s="62">
        <f t="shared" si="144"/>
        <v>236.19165554863852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500.25828825677058</v>
      </c>
      <c r="BJ196" s="62">
        <f t="shared" si="146"/>
        <v>313.56299786481338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-1.1368683772161603E-13</v>
      </c>
      <c r="BZ196" s="14">
        <f>BY196*VLOOKUP('Données projet'!$B$12,Paramètres!$A$1:$I$89,3,0)*VLOOKUP('Données projet'!$B$12,Paramètres!$A$1:$I$89,5,0)</f>
        <v>-9.9316821433603781E-14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287.22548699835653</v>
      </c>
      <c r="CE196" s="62">
        <f t="shared" si="148"/>
        <v>276.01618888357268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1.1527845344971866E-13</v>
      </c>
      <c r="P197" s="14">
        <f t="shared" ref="P197:P203" si="203">EXP(-1.0587+0.8836*LN(O197)+0.284)</f>
        <v>1.7033846239409443E-12</v>
      </c>
      <c r="Q197" s="22">
        <f t="shared" si="162"/>
        <v>3.1675048597887374E-12</v>
      </c>
      <c r="R197" s="62">
        <f t="shared" si="191"/>
        <v>290.25878253422292</v>
      </c>
      <c r="S197" s="62">
        <f ca="1">AVERAGE(OFFSET($R$3,0,0,'Données projet'!$E$9+1,1))-AVERAGE(OFFSET($H$3,0,0,'Données projet'!$E$9+1,1))</f>
        <v>446.90706503298787</v>
      </c>
      <c r="T197" s="62">
        <f t="shared" ref="T197:T203" si="204">$T$3</f>
        <v>275.54513370838777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369.59928463850827</v>
      </c>
      <c r="AO197" s="62">
        <f t="shared" ref="AO197:AO203" si="205">$AO$3</f>
        <v>236.19165554863852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500.25828825677058</v>
      </c>
      <c r="BJ197" s="62">
        <f t="shared" ref="BJ197:BJ203" si="206">$BJ$3</f>
        <v>313.56299786481338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-1.1368683772161603E-13</v>
      </c>
      <c r="BZ197" s="14">
        <f>BY197*VLOOKUP('Données projet'!$B$12,Paramètres!$A$1:$I$89,3,0)*VLOOKUP('Données projet'!$B$12,Paramètres!$A$1:$I$89,5,0)</f>
        <v>-9.9316821433603781E-14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287.22548699835653</v>
      </c>
      <c r="CE197" s="62">
        <f t="shared" ref="CE197:CE203" si="207">$CE$3</f>
        <v>276.01618888357268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1.1527845344971866E-13</v>
      </c>
      <c r="P198" s="14">
        <f t="shared" si="203"/>
        <v>1.7033846239409443E-12</v>
      </c>
      <c r="Q198" s="22">
        <f t="shared" si="162"/>
        <v>3.1675048597887374E-12</v>
      </c>
      <c r="R198" s="62">
        <f t="shared" si="191"/>
        <v>290.31211911692168</v>
      </c>
      <c r="S198" s="62">
        <f ca="1">AVERAGE(OFFSET($R$3,0,0,'Données projet'!$E$9+1,1))-AVERAGE(OFFSET($H$3,0,0,'Données projet'!$E$9+1,1))</f>
        <v>446.90706503298787</v>
      </c>
      <c r="T198" s="62">
        <f t="shared" si="204"/>
        <v>275.54513370838777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369.59928463850827</v>
      </c>
      <c r="AO198" s="62">
        <f t="shared" si="205"/>
        <v>236.19165554863852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500.25828825677058</v>
      </c>
      <c r="BJ198" s="62">
        <f t="shared" si="206"/>
        <v>313.56299786481338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-1.1368683772161603E-13</v>
      </c>
      <c r="BZ198" s="14">
        <f>BY198*VLOOKUP('Données projet'!$B$12,Paramètres!$A$1:$I$89,3,0)*VLOOKUP('Données projet'!$B$12,Paramètres!$A$1:$I$89,5,0)</f>
        <v>-9.9316821433603781E-14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287.22548699835653</v>
      </c>
      <c r="CE198" s="62">
        <f t="shared" si="207"/>
        <v>276.01618888357268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1.1527845344971866E-13</v>
      </c>
      <c r="P199" s="14">
        <f t="shared" si="203"/>
        <v>1.7033846239409443E-12</v>
      </c>
      <c r="Q199" s="22">
        <f t="shared" si="162"/>
        <v>3.1675048597887374E-12</v>
      </c>
      <c r="R199" s="62">
        <f t="shared" si="191"/>
        <v>290.36453042915338</v>
      </c>
      <c r="S199" s="62">
        <f ca="1">AVERAGE(OFFSET($R$3,0,0,'Données projet'!$E$9+1,1))-AVERAGE(OFFSET($H$3,0,0,'Données projet'!$E$9+1,1))</f>
        <v>446.90706503298787</v>
      </c>
      <c r="T199" s="62">
        <f t="shared" si="204"/>
        <v>275.54513370838777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369.59928463850827</v>
      </c>
      <c r="AO199" s="62">
        <f t="shared" si="205"/>
        <v>236.19165554863852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500.25828825677058</v>
      </c>
      <c r="BJ199" s="62">
        <f t="shared" si="206"/>
        <v>313.56299786481338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-1.1368683772161603E-13</v>
      </c>
      <c r="BZ199" s="14">
        <f>BY199*VLOOKUP('Données projet'!$B$12,Paramètres!$A$1:$I$89,3,0)*VLOOKUP('Données projet'!$B$12,Paramètres!$A$1:$I$89,5,0)</f>
        <v>-9.9316821433603781E-14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287.22548699835653</v>
      </c>
      <c r="CE199" s="62">
        <f t="shared" si="207"/>
        <v>276.01618888357268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1.1527845344971866E-13</v>
      </c>
      <c r="P200" s="14">
        <f t="shared" si="203"/>
        <v>1.7033846239409443E-12</v>
      </c>
      <c r="Q200" s="22">
        <f t="shared" si="162"/>
        <v>3.1675048597887374E-12</v>
      </c>
      <c r="R200" s="62">
        <f t="shared" si="191"/>
        <v>290.41603252229197</v>
      </c>
      <c r="S200" s="62">
        <f ca="1">AVERAGE(OFFSET($R$3,0,0,'Données projet'!$E$9+1,1))-AVERAGE(OFFSET($H$3,0,0,'Données projet'!$E$9+1,1))</f>
        <v>446.90706503298787</v>
      </c>
      <c r="T200" s="62">
        <f t="shared" si="204"/>
        <v>275.54513370838777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369.59928463850827</v>
      </c>
      <c r="AO200" s="62">
        <f t="shared" si="205"/>
        <v>236.19165554863852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500.25828825677058</v>
      </c>
      <c r="BJ200" s="62">
        <f t="shared" si="206"/>
        <v>313.56299786481338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-1.1368683772161603E-13</v>
      </c>
      <c r="BZ200" s="14">
        <f>BY200*VLOOKUP('Données projet'!$B$12,Paramètres!$A$1:$I$89,3,0)*VLOOKUP('Données projet'!$B$12,Paramètres!$A$1:$I$89,5,0)</f>
        <v>-9.9316821433603781E-14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287.22548699835653</v>
      </c>
      <c r="CE200" s="62">
        <f t="shared" si="207"/>
        <v>276.01618888357268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1.1527845344971866E-13</v>
      </c>
      <c r="P201" s="14">
        <f t="shared" si="203"/>
        <v>1.7033846239409443E-12</v>
      </c>
      <c r="Q201" s="22">
        <f t="shared" si="162"/>
        <v>3.1675048597887374E-12</v>
      </c>
      <c r="R201" s="62">
        <f t="shared" si="191"/>
        <v>290.46664116925609</v>
      </c>
      <c r="S201" s="62">
        <f ca="1">AVERAGE(OFFSET($R$3,0,0,'Données projet'!$E$9+1,1))-AVERAGE(OFFSET($H$3,0,0,'Données projet'!$E$9+1,1))</f>
        <v>446.90706503298787</v>
      </c>
      <c r="T201" s="62">
        <f t="shared" si="204"/>
        <v>275.54513370838777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369.59928463850827</v>
      </c>
      <c r="AO201" s="62">
        <f t="shared" si="205"/>
        <v>236.19165554863852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500.25828825677058</v>
      </c>
      <c r="BJ201" s="62">
        <f t="shared" si="206"/>
        <v>313.56299786481338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-1.1368683772161603E-13</v>
      </c>
      <c r="BZ201" s="14">
        <f>BY201*VLOOKUP('Données projet'!$B$12,Paramètres!$A$1:$I$89,3,0)*VLOOKUP('Données projet'!$B$12,Paramètres!$A$1:$I$89,5,0)</f>
        <v>-9.9316821433603781E-14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287.22548699835653</v>
      </c>
      <c r="CE201" s="62">
        <f t="shared" si="207"/>
        <v>276.01618888357268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1.1527845344971866E-13</v>
      </c>
      <c r="P202" s="14">
        <f t="shared" si="203"/>
        <v>1.7033846239409443E-12</v>
      </c>
      <c r="Q202" s="22">
        <f t="shared" si="162"/>
        <v>3.1675048597887374E-12</v>
      </c>
      <c r="R202" s="62">
        <f t="shared" si="191"/>
        <v>290.51637186933931</v>
      </c>
      <c r="S202" s="62">
        <f ca="1">AVERAGE(OFFSET($R$3,0,0,'Données projet'!$E$9+1,1))-AVERAGE(OFFSET($H$3,0,0,'Données projet'!$E$9+1,1))</f>
        <v>446.90706503298787</v>
      </c>
      <c r="T202" s="62">
        <f t="shared" si="204"/>
        <v>275.54513370838777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369.59928463850827</v>
      </c>
      <c r="AO202" s="62">
        <f t="shared" si="205"/>
        <v>236.19165554863852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500.25828825677058</v>
      </c>
      <c r="BJ202" s="62">
        <f t="shared" si="206"/>
        <v>313.56299786481338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-1.1368683772161603E-13</v>
      </c>
      <c r="BZ202" s="14">
        <f>BY202*VLOOKUP('Données projet'!$B$12,Paramètres!$A$1:$I$89,3,0)*VLOOKUP('Données projet'!$B$12,Paramètres!$A$1:$I$89,5,0)</f>
        <v>-9.9316821433603781E-14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287.22548699835653</v>
      </c>
      <c r="CE202" s="62">
        <f t="shared" si="207"/>
        <v>276.01618888357268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1.1527845344971866E-13</v>
      </c>
      <c r="P203" s="14">
        <f t="shared" si="203"/>
        <v>1.7033846239409443E-12</v>
      </c>
      <c r="Q203" s="22">
        <f t="shared" si="162"/>
        <v>3.1675048597887374E-12</v>
      </c>
      <c r="R203" s="62">
        <f t="shared" si="191"/>
        <v>290.56523985295729</v>
      </c>
      <c r="S203" s="62">
        <f ca="1">AVERAGE(OFFSET($R$3,0,0,'Données projet'!$E$9+1,1))-AVERAGE(OFFSET($H$3,0,0,'Données projet'!$E$9+1,1))</f>
        <v>446.90706503298787</v>
      </c>
      <c r="T203" s="62">
        <f t="shared" si="204"/>
        <v>275.54513370838777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369.59928463850827</v>
      </c>
      <c r="AO203" s="62">
        <f t="shared" si="205"/>
        <v>236.19165554863852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500.25828825677058</v>
      </c>
      <c r="BJ203" s="62">
        <f t="shared" si="206"/>
        <v>313.56299786481338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-1.1368683772161603E-13</v>
      </c>
      <c r="BZ203" s="14">
        <f>BY203*VLOOKUP('Données projet'!$B$12,Paramètres!$A$1:$I$89,3,0)*VLOOKUP('Données projet'!$B$12,Paramètres!$A$1:$I$89,5,0)</f>
        <v>-9.9316821433603781E-14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287.22548699835653</v>
      </c>
      <c r="CE203" s="62">
        <f t="shared" si="207"/>
        <v>276.01618888357268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1.185906184594963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1.2392705892426346</v>
      </c>
      <c r="BA205" s="88">
        <f>EXP(LN('Données projet'!B88)/'Données projet'!A88)</f>
        <v>1.2392705892426346</v>
      </c>
      <c r="BV205" s="88">
        <f>EXP(LN('Données projet'!B114)/'Données projet'!A114)</f>
        <v>1.1577536725165907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3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3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3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3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3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3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3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3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4" sqref="C2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37" t="s">
        <v>191</v>
      </c>
      <c r="C2" s="338"/>
      <c r="D2" s="338"/>
      <c r="E2" s="338"/>
      <c r="F2" s="338"/>
      <c r="G2" s="33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36"/>
      <c r="C4" s="336"/>
      <c r="D4" s="336"/>
      <c r="E4" s="336"/>
      <c r="F4" s="336"/>
      <c r="G4" s="33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C4" workbookViewId="0">
      <selection activeCell="L19" sqref="L1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37" t="s">
        <v>271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pubescent</v>
      </c>
      <c r="B6" s="155">
        <f>'Données projet'!D9</f>
        <v>10.484999999999999</v>
      </c>
      <c r="C6" s="156">
        <f ca="1">IF(OR('Données projet'!B9="",'Données projet'!C9="",'Données projet'!C9=0%),0,Calculateur!S3)</f>
        <v>446.90706503298787</v>
      </c>
      <c r="D6" s="156">
        <f>IF(OR('Données projet'!B9="",'Données projet'!C9="",'Données projet'!C9=0%),0,Calculateur!T3)</f>
        <v>275.54513370838777</v>
      </c>
      <c r="E6" s="156">
        <f ca="1">MIN(C6,D6)</f>
        <v>275.54513370838777</v>
      </c>
      <c r="F6" s="156">
        <f ca="1">E6*B6</f>
        <v>2889.0907269324457</v>
      </c>
      <c r="G6" s="156">
        <f ca="1">F6*(100%-'Données projet'!$C$24)*(100%-'Données projet'!$C$25)*(100%-'Données projet'!$C$26)*(100%-'Données projet'!$C$27)</f>
        <v>2470.172571527241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76.016249999999999</v>
      </c>
      <c r="K6" s="160">
        <f>J6*(100%-'Données projet'!$C$24)*(100%-'Données projet'!$C$25)*(100%-'Données projet'!$C$26)*(100%-'Données projet'!$C$27)</f>
        <v>64.993893749999998</v>
      </c>
      <c r="L6" s="161">
        <f ca="1">G6+I6+K6</f>
        <v>2535.1664652772411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Tilleul</v>
      </c>
      <c r="B7" s="163">
        <f>'Données projet'!D10</f>
        <v>1.1673300000000002</v>
      </c>
      <c r="C7" s="156">
        <f ca="1">IF(OR('Données projet'!B10="",'Données projet'!C10="",'Données projet'!C10=0%),0,Calculateur!AN3)</f>
        <v>369.59928463850827</v>
      </c>
      <c r="D7" s="156">
        <f>IF(OR('Données projet'!B10="",'Données projet'!C10="",'Données projet'!C10=0%),0,Calculateur!AO3)</f>
        <v>236.19165554863852</v>
      </c>
      <c r="E7" s="156">
        <f t="shared" ref="E7:E15" ca="1" si="0">MIN(C7,D7)</f>
        <v>236.19165554863852</v>
      </c>
      <c r="F7" s="156">
        <f t="shared" ref="F7:F15" ca="1" si="1">E7*B7</f>
        <v>275.71360527159226</v>
      </c>
      <c r="G7" s="156">
        <f ca="1">F7*(100%-'Données projet'!$C$24)*(100%-'Données projet'!$C$25)*(100%-'Données projet'!$C$26)*(100%-'Données projet'!$C$27)</f>
        <v>235.73513250721138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18.093615000000003</v>
      </c>
      <c r="K7" s="160">
        <f>J7*(100%-'Données projet'!$C$24)*(100%-'Données projet'!$C$25)*(100%-'Données projet'!$C$26)*(100%-'Données projet'!$C$27)</f>
        <v>15.470040825000002</v>
      </c>
      <c r="L7" s="161">
        <f t="shared" ref="L7:L15" ca="1" si="2">G7+I7+K7</f>
        <v>251.20517333221139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Alisier torminal</v>
      </c>
      <c r="B8" s="163">
        <f>'Données projet'!D11</f>
        <v>1.1603400000000001</v>
      </c>
      <c r="C8" s="156">
        <f ca="1">IF(OR('Données projet'!B11="",'Données projet'!C11="",'Données projet'!C11=0%),0,Calculateur!BI3)</f>
        <v>500.25828825677058</v>
      </c>
      <c r="D8" s="156">
        <f>IF(OR('Données projet'!B11="",'Données projet'!C11="",'Données projet'!C11=0%),0,Calculateur!BJ3)</f>
        <v>313.56299786481338</v>
      </c>
      <c r="E8" s="156">
        <f t="shared" ca="1" si="0"/>
        <v>313.56299786481338</v>
      </c>
      <c r="F8" s="156">
        <f t="shared" ca="1" si="1"/>
        <v>363.8396889424576</v>
      </c>
      <c r="G8" s="156">
        <f ca="1">F8*(100%-'Données projet'!$C$24)*(100%-'Données projet'!$C$25)*(100%-'Données projet'!$C$26)*(100%-'Données projet'!$C$27)</f>
        <v>311.08293404580121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17.985270000000003</v>
      </c>
      <c r="K8" s="160">
        <f>J8*(100%-'Données projet'!$C$24)*(100%-'Données projet'!$C$25)*(100%-'Données projet'!$C$26)*(100%-'Données projet'!$C$27)</f>
        <v>15.377405850000002</v>
      </c>
      <c r="L8" s="161">
        <f t="shared" ca="1" si="2"/>
        <v>326.46033989580121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Erable champêtre</v>
      </c>
      <c r="B9" s="163">
        <f>'Données projet'!D12</f>
        <v>1.1673300000000002</v>
      </c>
      <c r="C9" s="156">
        <f ca="1">IF(OR('Données projet'!B12="",'Données projet'!C12="",'Données projet'!C12=0%),0,Calculateur!CD3)</f>
        <v>287.22548699835653</v>
      </c>
      <c r="D9" s="156">
        <f>IF(OR('Données projet'!B12="",'Données projet'!C12="",'Données projet'!C12=0%),0,Calculateur!CE3)</f>
        <v>276.01618888357268</v>
      </c>
      <c r="E9" s="156">
        <f t="shared" ca="1" si="0"/>
        <v>276.01618888357268</v>
      </c>
      <c r="F9" s="156">
        <f t="shared" ca="1" si="1"/>
        <v>322.20197776946094</v>
      </c>
      <c r="G9" s="156">
        <f ca="1">F9*(100%-'Données projet'!$C$24)*(100%-'Données projet'!$C$25)*(100%-'Données projet'!$C$26)*(100%-'Données projet'!$C$27)</f>
        <v>275.4826909928891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18.385447500000001</v>
      </c>
      <c r="K9" s="160">
        <f>J9*(100%-'Données projet'!$C$24)*(100%-'Données projet'!$C$25)*(100%-'Données projet'!$C$26)*(100%-'Données projet'!$C$27)</f>
        <v>15.719557612500001</v>
      </c>
      <c r="L9" s="161">
        <f t="shared" ca="1" si="2"/>
        <v>291.20224860538912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3850.8459989159564</v>
      </c>
      <c r="G16" s="175">
        <f t="shared" ca="1" si="3"/>
        <v>3292.4733290731428</v>
      </c>
      <c r="H16" s="176">
        <f t="shared" si="3"/>
        <v>0</v>
      </c>
      <c r="I16" s="176">
        <f t="shared" si="3"/>
        <v>0</v>
      </c>
      <c r="J16" s="177">
        <f t="shared" si="3"/>
        <v>130.4805825</v>
      </c>
      <c r="K16" s="177">
        <f t="shared" si="3"/>
        <v>111.5608980375</v>
      </c>
      <c r="L16" s="178">
        <f t="shared" ca="1" si="3"/>
        <v>3404.0342271106429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40" t="s">
        <v>246</v>
      </c>
      <c r="G17" s="341"/>
      <c r="H17" s="341"/>
      <c r="I17" s="341"/>
      <c r="J17" s="341"/>
      <c r="K17" s="341"/>
      <c r="L17" s="34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42"/>
      <c r="G18" s="342"/>
      <c r="H18" s="342"/>
      <c r="I18" s="342"/>
      <c r="J18" s="342"/>
      <c r="K18" s="342"/>
      <c r="L18" s="34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pubescent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Tilleul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Alisier torminal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Erable champêtre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cellWatches>
    <cellWatch r="L16"/>
  </cellWatch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N1" zoomScale="90" zoomScaleNormal="90" workbookViewId="0">
      <selection activeCell="V31" sqref="V3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37" t="s">
        <v>272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6" t="s">
        <v>315</v>
      </c>
      <c r="I4" s="346"/>
      <c r="K4" s="343" t="s">
        <v>253</v>
      </c>
      <c r="L4" s="34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54" t="s">
        <v>310</v>
      </c>
      <c r="S7" s="355"/>
      <c r="T7" s="355"/>
      <c r="U7" s="355"/>
      <c r="V7" s="35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pubescent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574.7753805200548</v>
      </c>
      <c r="U10" s="190">
        <f>'Données projet'!D9</f>
        <v>10.484999999999999</v>
      </c>
      <c r="V10" s="189">
        <f>U10*T10</f>
        <v>6026.5198647527741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Tilleul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827.57228784415747</v>
      </c>
      <c r="U11" s="190">
        <f>'Données projet'!D10</f>
        <v>1.1673300000000002</v>
      </c>
      <c r="V11" s="189">
        <f t="shared" ref="V11" si="0">U11*T11</f>
        <v>966.04995876912051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Alisier torminal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902.103941500014</v>
      </c>
      <c r="U12" s="190">
        <f>'Données projet'!D11</f>
        <v>1.1603400000000001</v>
      </c>
      <c r="V12" s="189">
        <f t="shared" ref="V12:V19" si="1">U12*T12</f>
        <v>1046.7472874801265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Erable champêtre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1404.357251856509</v>
      </c>
      <c r="U13" s="190">
        <f>'Données projet'!D12</f>
        <v>1.1673300000000002</v>
      </c>
      <c r="V13" s="189">
        <f t="shared" si="1"/>
        <v>1639.348350809659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pubescent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7"/>
      <c r="H16" s="203"/>
      <c r="I16" s="204"/>
      <c r="J16" s="216"/>
      <c r="K16" s="225"/>
      <c r="L16" s="343" t="s">
        <v>254</v>
      </c>
      <c r="M16" s="34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7"/>
      <c r="J17" s="216"/>
      <c r="K17" s="225"/>
      <c r="L17" s="314" t="s">
        <v>289</v>
      </c>
      <c r="M17" s="31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7"/>
      <c r="J18" s="216"/>
      <c r="K18" s="225"/>
      <c r="L18" s="314" t="s">
        <v>255</v>
      </c>
      <c r="M18" s="31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7"/>
      <c r="H19" s="232" t="s">
        <v>178</v>
      </c>
      <c r="I19" s="232" t="s">
        <v>287</v>
      </c>
      <c r="J19" s="260"/>
      <c r="K19" s="183"/>
      <c r="L19" s="343" t="s">
        <v>288</v>
      </c>
      <c r="M19" s="34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7"/>
      <c r="H20" s="203">
        <v>0</v>
      </c>
      <c r="I20" s="204">
        <v>6041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1100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200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8</v>
      </c>
      <c r="C23" s="206">
        <v>4</v>
      </c>
      <c r="D23" s="194">
        <f>B23*C23</f>
        <v>32</v>
      </c>
      <c r="E23" s="206"/>
      <c r="F23" s="261"/>
      <c r="H23" s="203">
        <v>3</v>
      </c>
      <c r="I23" s="204">
        <v>200</v>
      </c>
      <c r="K23" s="225"/>
      <c r="L23" s="345" t="s">
        <v>260</v>
      </c>
      <c r="M23" s="345"/>
      <c r="N23" s="345"/>
      <c r="O23" s="25"/>
      <c r="P23" s="25"/>
      <c r="Q23" s="265"/>
      <c r="R23" s="25"/>
      <c r="S23" s="185" t="s">
        <v>264</v>
      </c>
      <c r="T23" s="35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-96845.427777156408</v>
      </c>
      <c r="U23" s="359"/>
      <c r="V23" s="35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21</v>
      </c>
      <c r="C24" s="206">
        <v>8</v>
      </c>
      <c r="D24" s="194">
        <f t="shared" ref="D24:D42" si="2">B24*C24</f>
        <v>168</v>
      </c>
      <c r="E24" s="206"/>
      <c r="F24" s="264"/>
      <c r="H24" s="203">
        <v>4</v>
      </c>
      <c r="I24" s="204">
        <v>200</v>
      </c>
      <c r="K24" s="225"/>
      <c r="O24" s="25"/>
      <c r="P24" s="25"/>
      <c r="Q24" s="265"/>
      <c r="R24" s="25"/>
      <c r="S24" s="185" t="s">
        <v>261</v>
      </c>
      <c r="T24" s="36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60"/>
      <c r="V24" s="36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21</v>
      </c>
      <c r="C25" s="206">
        <v>10</v>
      </c>
      <c r="D25" s="194">
        <f t="shared" si="2"/>
        <v>210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61">
        <f ca="1">T23-T24</f>
        <v>-96845.427777156408</v>
      </c>
      <c r="U25" s="361"/>
      <c r="V25" s="36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21</v>
      </c>
      <c r="C26" s="206">
        <v>10</v>
      </c>
      <c r="D26" s="194">
        <f t="shared" si="2"/>
        <v>210</v>
      </c>
      <c r="E26" s="206"/>
      <c r="F26" s="264"/>
      <c r="G26" s="259"/>
      <c r="H26" s="203"/>
      <c r="I26" s="204"/>
      <c r="K26" s="225"/>
      <c r="L26" s="348" t="s">
        <v>258</v>
      </c>
      <c r="M26" s="349"/>
      <c r="N26" s="349"/>
      <c r="O26" s="349"/>
      <c r="P26" s="350"/>
      <c r="Q26" s="265"/>
      <c r="R26" s="25"/>
      <c r="S26" s="198" t="s">
        <v>265</v>
      </c>
      <c r="T26" s="358" t="str">
        <f ca="1">IF(T25&lt;0,"Votre projet est additionnel","Votre projet n'est pas additionnel")</f>
        <v>Votre projet est additionnel</v>
      </c>
      <c r="U26" s="358"/>
      <c r="V26" s="35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21</v>
      </c>
      <c r="C27" s="206">
        <v>10</v>
      </c>
      <c r="D27" s="194">
        <f t="shared" si="2"/>
        <v>210</v>
      </c>
      <c r="E27" s="206"/>
      <c r="F27" s="264"/>
      <c r="G27" s="259"/>
      <c r="H27" s="203"/>
      <c r="I27" s="204"/>
      <c r="K27" s="225"/>
      <c r="L27" s="351"/>
      <c r="M27" s="352"/>
      <c r="N27" s="352"/>
      <c r="O27" s="352"/>
      <c r="P27" s="353"/>
      <c r="Q27" s="265"/>
      <c r="R27" s="25"/>
      <c r="S27" s="357" t="s">
        <v>267</v>
      </c>
      <c r="T27" s="357"/>
      <c r="U27" s="357"/>
      <c r="V27" s="35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21</v>
      </c>
      <c r="C28" s="206">
        <v>10</v>
      </c>
      <c r="D28" s="194">
        <f t="shared" si="2"/>
        <v>210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21</v>
      </c>
      <c r="C29" s="206">
        <v>15</v>
      </c>
      <c r="D29" s="194">
        <f t="shared" si="2"/>
        <v>315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21</v>
      </c>
      <c r="C30" s="206">
        <v>15</v>
      </c>
      <c r="D30" s="194">
        <f t="shared" si="2"/>
        <v>315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21</v>
      </c>
      <c r="C31" s="206">
        <v>15</v>
      </c>
      <c r="D31" s="194">
        <f t="shared" si="2"/>
        <v>315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21</v>
      </c>
      <c r="C32" s="206">
        <v>15</v>
      </c>
      <c r="D32" s="194">
        <f t="shared" si="2"/>
        <v>315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21</v>
      </c>
      <c r="C33" s="206">
        <v>20</v>
      </c>
      <c r="D33" s="194">
        <f t="shared" si="2"/>
        <v>420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21</v>
      </c>
      <c r="C34" s="206">
        <v>20</v>
      </c>
      <c r="D34" s="194">
        <f t="shared" si="2"/>
        <v>420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21</v>
      </c>
      <c r="C35" s="206">
        <v>20</v>
      </c>
      <c r="D35" s="194">
        <f t="shared" si="2"/>
        <v>420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21</v>
      </c>
      <c r="C36" s="206">
        <v>20</v>
      </c>
      <c r="D36" s="194">
        <f t="shared" si="2"/>
        <v>420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21</v>
      </c>
      <c r="C37" s="206">
        <v>30</v>
      </c>
      <c r="D37" s="194">
        <f t="shared" si="2"/>
        <v>630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21</v>
      </c>
      <c r="C38" s="206">
        <v>30</v>
      </c>
      <c r="D38" s="194">
        <f t="shared" si="2"/>
        <v>630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20</v>
      </c>
      <c r="C39" s="206">
        <v>40</v>
      </c>
      <c r="D39" s="194">
        <f t="shared" si="2"/>
        <v>800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19</v>
      </c>
      <c r="C40" s="206">
        <v>50</v>
      </c>
      <c r="D40" s="194">
        <f t="shared" si="2"/>
        <v>950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18</v>
      </c>
      <c r="C41" s="206">
        <v>70</v>
      </c>
      <c r="D41" s="194">
        <f t="shared" si="2"/>
        <v>1260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284</v>
      </c>
      <c r="C42" s="206">
        <v>150</v>
      </c>
      <c r="D42" s="194">
        <f t="shared" si="2"/>
        <v>42600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Tilleul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6</v>
      </c>
      <c r="C54" s="204">
        <v>4</v>
      </c>
      <c r="D54" s="191">
        <f>B54*C54</f>
        <v>24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28</v>
      </c>
      <c r="C55" s="204">
        <v>8</v>
      </c>
      <c r="D55" s="191">
        <f t="shared" ref="D55:D73" si="4">B55*C55</f>
        <v>224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28</v>
      </c>
      <c r="C56" s="204">
        <v>10</v>
      </c>
      <c r="D56" s="191">
        <f t="shared" si="4"/>
        <v>280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28</v>
      </c>
      <c r="C57" s="204">
        <v>10</v>
      </c>
      <c r="D57" s="191">
        <f t="shared" si="4"/>
        <v>280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28</v>
      </c>
      <c r="C58" s="204">
        <v>10</v>
      </c>
      <c r="D58" s="191">
        <f t="shared" si="4"/>
        <v>280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28</v>
      </c>
      <c r="C59" s="204">
        <v>10</v>
      </c>
      <c r="D59" s="191">
        <f t="shared" si="4"/>
        <v>280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28</v>
      </c>
      <c r="C60" s="204">
        <v>15</v>
      </c>
      <c r="D60" s="191">
        <f t="shared" si="4"/>
        <v>420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28</v>
      </c>
      <c r="C61" s="204">
        <v>15</v>
      </c>
      <c r="D61" s="191">
        <f t="shared" si="4"/>
        <v>420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28</v>
      </c>
      <c r="C62" s="204">
        <v>15</v>
      </c>
      <c r="D62" s="191">
        <f t="shared" si="4"/>
        <v>420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28</v>
      </c>
      <c r="C63" s="204">
        <v>15</v>
      </c>
      <c r="D63" s="191">
        <f t="shared" si="4"/>
        <v>420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28</v>
      </c>
      <c r="C64" s="204">
        <v>20</v>
      </c>
      <c r="D64" s="191">
        <f t="shared" si="4"/>
        <v>560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28</v>
      </c>
      <c r="C65" s="204">
        <v>20</v>
      </c>
      <c r="D65" s="191">
        <f t="shared" si="4"/>
        <v>560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28</v>
      </c>
      <c r="C66" s="204">
        <v>20</v>
      </c>
      <c r="D66" s="191">
        <f t="shared" si="4"/>
        <v>560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28</v>
      </c>
      <c r="C67" s="204">
        <v>20</v>
      </c>
      <c r="D67" s="191">
        <f t="shared" si="4"/>
        <v>560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28</v>
      </c>
      <c r="C68" s="204">
        <v>30</v>
      </c>
      <c r="D68" s="191">
        <f t="shared" si="4"/>
        <v>840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95</v>
      </c>
      <c r="B69" s="193">
        <f>'Données projet'!D77</f>
        <v>28</v>
      </c>
      <c r="C69" s="204">
        <v>30</v>
      </c>
      <c r="D69" s="191">
        <f t="shared" si="4"/>
        <v>840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100</v>
      </c>
      <c r="B70" s="193">
        <f>'Données projet'!D78</f>
        <v>27</v>
      </c>
      <c r="C70" s="204">
        <v>40</v>
      </c>
      <c r="D70" s="191">
        <f t="shared" si="4"/>
        <v>1080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105</v>
      </c>
      <c r="B71" s="193">
        <f>'Données projet'!D79</f>
        <v>26</v>
      </c>
      <c r="C71" s="204">
        <v>50</v>
      </c>
      <c r="D71" s="191">
        <f t="shared" si="4"/>
        <v>1300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110</v>
      </c>
      <c r="B72" s="193">
        <f>'Données projet'!D80</f>
        <v>25</v>
      </c>
      <c r="C72" s="204">
        <v>70</v>
      </c>
      <c r="D72" s="191">
        <f t="shared" si="4"/>
        <v>1750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115</v>
      </c>
      <c r="B73" s="193">
        <f>'Données projet'!D81</f>
        <v>330</v>
      </c>
      <c r="C73" s="204">
        <v>150</v>
      </c>
      <c r="D73" s="191">
        <f t="shared" si="4"/>
        <v>49500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Alisier torminal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6</v>
      </c>
      <c r="C85" s="204">
        <v>4</v>
      </c>
      <c r="D85" s="191">
        <f>B85*C85</f>
        <v>24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28</v>
      </c>
      <c r="C86" s="204">
        <v>8</v>
      </c>
      <c r="D86" s="191">
        <f t="shared" ref="D86:D104" si="6">B86*C86</f>
        <v>224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28</v>
      </c>
      <c r="C87" s="204">
        <v>10</v>
      </c>
      <c r="D87" s="191">
        <f t="shared" si="6"/>
        <v>280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28</v>
      </c>
      <c r="C88" s="204">
        <v>10</v>
      </c>
      <c r="D88" s="191">
        <f t="shared" si="6"/>
        <v>280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28</v>
      </c>
      <c r="C89" s="204">
        <v>10</v>
      </c>
      <c r="D89" s="191">
        <f t="shared" si="6"/>
        <v>280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28</v>
      </c>
      <c r="C90" s="204">
        <v>10</v>
      </c>
      <c r="D90" s="191">
        <f t="shared" si="6"/>
        <v>280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28</v>
      </c>
      <c r="C91" s="204">
        <v>15</v>
      </c>
      <c r="D91" s="191">
        <f t="shared" si="6"/>
        <v>420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28</v>
      </c>
      <c r="C92" s="204">
        <v>15</v>
      </c>
      <c r="D92" s="191">
        <f t="shared" si="6"/>
        <v>420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28</v>
      </c>
      <c r="C93" s="204">
        <v>15</v>
      </c>
      <c r="D93" s="191">
        <f t="shared" si="6"/>
        <v>420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28</v>
      </c>
      <c r="C94" s="204">
        <v>15</v>
      </c>
      <c r="D94" s="191">
        <f t="shared" si="6"/>
        <v>420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28</v>
      </c>
      <c r="C95" s="204">
        <v>20</v>
      </c>
      <c r="D95" s="191">
        <f t="shared" si="6"/>
        <v>560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28</v>
      </c>
      <c r="C96" s="204">
        <v>20</v>
      </c>
      <c r="D96" s="191">
        <f t="shared" si="6"/>
        <v>560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28</v>
      </c>
      <c r="C97" s="204">
        <v>20</v>
      </c>
      <c r="D97" s="191">
        <f t="shared" si="6"/>
        <v>560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28</v>
      </c>
      <c r="C98" s="204">
        <v>20</v>
      </c>
      <c r="D98" s="191">
        <f t="shared" si="6"/>
        <v>560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28</v>
      </c>
      <c r="C99" s="204">
        <v>30</v>
      </c>
      <c r="D99" s="191">
        <f t="shared" si="6"/>
        <v>840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95</v>
      </c>
      <c r="B100" s="193">
        <f>'Données projet'!D103</f>
        <v>28</v>
      </c>
      <c r="C100" s="204">
        <v>30</v>
      </c>
      <c r="D100" s="191">
        <f t="shared" si="6"/>
        <v>840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100</v>
      </c>
      <c r="B101" s="193">
        <f>'Données projet'!D104</f>
        <v>27</v>
      </c>
      <c r="C101" s="204">
        <v>40</v>
      </c>
      <c r="D101" s="191">
        <f t="shared" si="6"/>
        <v>1080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105</v>
      </c>
      <c r="B102" s="193">
        <f>'Données projet'!D105</f>
        <v>26</v>
      </c>
      <c r="C102" s="204">
        <v>50</v>
      </c>
      <c r="D102" s="191">
        <f t="shared" si="6"/>
        <v>1300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110</v>
      </c>
      <c r="B103" s="193">
        <f>'Données projet'!D106</f>
        <v>25</v>
      </c>
      <c r="C103" s="204">
        <v>70</v>
      </c>
      <c r="D103" s="191">
        <f t="shared" si="6"/>
        <v>1750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115</v>
      </c>
      <c r="B104" s="193">
        <f>'Données projet'!D107</f>
        <v>330</v>
      </c>
      <c r="C104" s="204">
        <v>150</v>
      </c>
      <c r="D104" s="191">
        <f t="shared" si="6"/>
        <v>49500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Erable champêtre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15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20</v>
      </c>
      <c r="B117" s="193">
        <f>'Données projet'!D115</f>
        <v>21</v>
      </c>
      <c r="C117" s="204">
        <v>8</v>
      </c>
      <c r="D117" s="191">
        <f t="shared" ref="D117:D135" si="8">B117*C117</f>
        <v>168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25</v>
      </c>
      <c r="B118" s="193">
        <f>'Données projet'!D116</f>
        <v>21</v>
      </c>
      <c r="C118" s="204">
        <v>10</v>
      </c>
      <c r="D118" s="191">
        <f t="shared" si="8"/>
        <v>210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30</v>
      </c>
      <c r="B119" s="193">
        <f>'Données projet'!D117</f>
        <v>21</v>
      </c>
      <c r="C119" s="204">
        <v>10</v>
      </c>
      <c r="D119" s="191">
        <f t="shared" si="8"/>
        <v>210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35</v>
      </c>
      <c r="B120" s="193">
        <f>'Données projet'!D118</f>
        <v>21</v>
      </c>
      <c r="C120" s="204">
        <v>10</v>
      </c>
      <c r="D120" s="191">
        <f t="shared" si="8"/>
        <v>210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40</v>
      </c>
      <c r="B121" s="193">
        <f>'Données projet'!D119</f>
        <v>21</v>
      </c>
      <c r="C121" s="204">
        <v>10</v>
      </c>
      <c r="D121" s="191">
        <f t="shared" si="8"/>
        <v>210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45</v>
      </c>
      <c r="B122" s="193">
        <f>'Données projet'!D120</f>
        <v>18</v>
      </c>
      <c r="C122" s="204">
        <v>15</v>
      </c>
      <c r="D122" s="191">
        <f t="shared" si="8"/>
        <v>270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50</v>
      </c>
      <c r="B123" s="193">
        <f>'Données projet'!D121</f>
        <v>13</v>
      </c>
      <c r="C123" s="204">
        <v>15</v>
      </c>
      <c r="D123" s="191">
        <f t="shared" si="8"/>
        <v>195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55</v>
      </c>
      <c r="B124" s="193">
        <f>'Données projet'!D122</f>
        <v>11</v>
      </c>
      <c r="C124" s="204">
        <v>20</v>
      </c>
      <c r="D124" s="191">
        <f t="shared" si="8"/>
        <v>220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60</v>
      </c>
      <c r="B125" s="193">
        <f>'Données projet'!D123</f>
        <v>9</v>
      </c>
      <c r="C125" s="204">
        <v>30</v>
      </c>
      <c r="D125" s="191">
        <f t="shared" si="8"/>
        <v>270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65</v>
      </c>
      <c r="B126" s="193">
        <f>'Données projet'!D124</f>
        <v>8</v>
      </c>
      <c r="C126" s="204">
        <v>40</v>
      </c>
      <c r="D126" s="191">
        <f t="shared" si="8"/>
        <v>320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70</v>
      </c>
      <c r="B127" s="193">
        <f>'Données projet'!D125</f>
        <v>6</v>
      </c>
      <c r="C127" s="204">
        <v>50</v>
      </c>
      <c r="D127" s="191">
        <f t="shared" si="8"/>
        <v>300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75</v>
      </c>
      <c r="B128" s="193">
        <f>'Données projet'!D126</f>
        <v>7</v>
      </c>
      <c r="C128" s="204">
        <v>70</v>
      </c>
      <c r="D128" s="191">
        <f t="shared" si="8"/>
        <v>490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80</v>
      </c>
      <c r="B129" s="193">
        <f>'Données projet'!D127</f>
        <v>221</v>
      </c>
      <c r="C129" s="204">
        <v>150</v>
      </c>
      <c r="D129" s="191">
        <f t="shared" si="8"/>
        <v>33150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9BA4-452E-4D8D-AC7D-78402E44DFD8}">
  <dimension ref="B1:M28"/>
  <sheetViews>
    <sheetView workbookViewId="0">
      <selection activeCell="E25" sqref="E25"/>
    </sheetView>
  </sheetViews>
  <sheetFormatPr baseColWidth="10" defaultRowHeight="15" x14ac:dyDescent="0.25"/>
  <cols>
    <col min="1" max="1" width="1.85546875" style="302" customWidth="1"/>
    <col min="2" max="2" width="23" style="302" bestFit="1" customWidth="1"/>
    <col min="3" max="12" width="16.7109375" style="302" customWidth="1"/>
    <col min="13" max="16384" width="11.42578125" style="302"/>
  </cols>
  <sheetData>
    <row r="1" spans="2:13" ht="30.75" customHeight="1" thickBot="1" x14ac:dyDescent="0.3">
      <c r="B1" s="362" t="s">
        <v>324</v>
      </c>
      <c r="C1" s="363"/>
      <c r="D1" s="364"/>
    </row>
    <row r="2" spans="2:13" ht="27.75" customHeight="1" thickBot="1" x14ac:dyDescent="0.3"/>
    <row r="3" spans="2:13" ht="24.95" customHeight="1" x14ac:dyDescent="0.25">
      <c r="B3" s="307" t="s">
        <v>325</v>
      </c>
      <c r="C3" s="292" t="str">
        <f>'Données projet'!B9</f>
        <v>Chêne pubescent</v>
      </c>
      <c r="D3" s="292" t="str">
        <f>'Données projet'!B10</f>
        <v>Tilleul</v>
      </c>
      <c r="E3" s="292" t="str">
        <f>'Données projet'!B11</f>
        <v>Alisier torminal</v>
      </c>
      <c r="F3" s="292" t="str">
        <f>'Données projet'!B12</f>
        <v>Erable champêtre</v>
      </c>
      <c r="G3" s="292">
        <f>'Données projet'!B13</f>
        <v>0</v>
      </c>
      <c r="H3" s="292">
        <f>'Données projet'!B14</f>
        <v>0</v>
      </c>
      <c r="I3" s="292">
        <f>'Données projet'!B15</f>
        <v>0</v>
      </c>
      <c r="J3" s="292">
        <f>'Données projet'!B16</f>
        <v>0</v>
      </c>
      <c r="K3" s="292">
        <f>'Données projet'!B17</f>
        <v>0</v>
      </c>
      <c r="L3" s="295">
        <f>'Données projet'!B18</f>
        <v>0</v>
      </c>
      <c r="M3" s="298" t="s">
        <v>328</v>
      </c>
    </row>
    <row r="4" spans="2:13" ht="24.95" customHeight="1" x14ac:dyDescent="0.25">
      <c r="B4" s="308" t="s">
        <v>326</v>
      </c>
      <c r="C4" s="300">
        <f>'Données projet'!$D$9</f>
        <v>10.484999999999999</v>
      </c>
      <c r="D4" s="300">
        <f>'Données projet'!$D$10</f>
        <v>1.1673300000000002</v>
      </c>
      <c r="E4" s="300">
        <f>'Données projet'!$D$11</f>
        <v>1.1603400000000001</v>
      </c>
      <c r="F4" s="300">
        <f>'Données projet'!$D$12</f>
        <v>1.1673300000000002</v>
      </c>
      <c r="G4" s="300">
        <f>'Données projet'!$D$13</f>
        <v>0</v>
      </c>
      <c r="H4" s="300">
        <f>'Données projet'!$D$14</f>
        <v>0</v>
      </c>
      <c r="I4" s="300">
        <f>'Données projet'!$D$15</f>
        <v>0</v>
      </c>
      <c r="J4" s="300">
        <f>'Données projet'!$D$16</f>
        <v>0</v>
      </c>
      <c r="K4" s="300">
        <f>'Données projet'!$D$17</f>
        <v>0</v>
      </c>
      <c r="L4" s="301">
        <f>'Données projet'!$D$18</f>
        <v>0</v>
      </c>
      <c r="M4" s="304">
        <f>IF(SUM(C4:L4)=0,"",SUM(C4:L4))</f>
        <v>13.979999999999999</v>
      </c>
    </row>
    <row r="5" spans="2:13" ht="24.95" customHeight="1" x14ac:dyDescent="0.25">
      <c r="B5" s="308" t="s">
        <v>327</v>
      </c>
      <c r="C5" s="292"/>
      <c r="D5" s="293"/>
      <c r="E5" s="293"/>
      <c r="F5" s="293"/>
      <c r="G5" s="293"/>
      <c r="H5" s="293"/>
      <c r="I5" s="293"/>
      <c r="J5" s="293"/>
      <c r="K5" s="293"/>
      <c r="L5" s="296"/>
      <c r="M5" s="299"/>
    </row>
    <row r="6" spans="2:13" ht="24.95" customHeight="1" x14ac:dyDescent="0.25">
      <c r="B6" s="308" t="s">
        <v>329</v>
      </c>
      <c r="C6" s="288"/>
      <c r="D6" s="288"/>
      <c r="E6" s="288"/>
      <c r="F6" s="288"/>
      <c r="G6" s="288"/>
      <c r="H6" s="288"/>
      <c r="I6" s="288"/>
      <c r="J6" s="288"/>
      <c r="K6" s="288"/>
      <c r="L6" s="297"/>
      <c r="M6" s="305" t="str">
        <f>IF(SUM(C6:L6)=0,"",SUM(C6:L6))</f>
        <v/>
      </c>
    </row>
    <row r="7" spans="2:13" ht="24.95" customHeight="1" x14ac:dyDescent="0.25">
      <c r="B7" s="308" t="s">
        <v>249</v>
      </c>
      <c r="C7" s="288"/>
      <c r="D7" s="288"/>
      <c r="E7" s="288"/>
      <c r="F7" s="288"/>
      <c r="G7" s="288"/>
      <c r="H7" s="288"/>
      <c r="I7" s="288"/>
      <c r="J7" s="288"/>
      <c r="K7" s="288"/>
      <c r="L7" s="297"/>
      <c r="M7" s="306" t="str">
        <f>IF(SUM(C7:L7)=0,"",SUM(C7:L7))</f>
        <v/>
      </c>
    </row>
    <row r="8" spans="2:13" ht="24.95" customHeight="1" x14ac:dyDescent="0.25">
      <c r="B8" s="308" t="s">
        <v>330</v>
      </c>
      <c r="C8" s="294"/>
      <c r="D8" s="294"/>
      <c r="E8" s="294"/>
      <c r="F8" s="294"/>
      <c r="G8" s="294"/>
      <c r="H8" s="294"/>
      <c r="I8" s="288"/>
      <c r="J8" s="288"/>
      <c r="K8" s="288"/>
      <c r="L8" s="297"/>
      <c r="M8" s="306"/>
    </row>
    <row r="9" spans="2:13" ht="24.95" customHeight="1" thickBot="1" x14ac:dyDescent="0.3">
      <c r="B9" s="309" t="s">
        <v>331</v>
      </c>
      <c r="C9" s="310" t="str">
        <f>IF(C7=0,"",IFERROR((C7-C4)*REE!L6/REE!$B$6,""))</f>
        <v/>
      </c>
      <c r="D9" s="310" t="str">
        <f>IF(D7=0,"",IFERROR((D7-D4)*REE!L7/REE!$B$6,""))</f>
        <v/>
      </c>
      <c r="E9" s="310" t="str">
        <f>IF(E7=0,"",IFERROR((E7-E4)*REE!L8/REE!$B$6,""))</f>
        <v/>
      </c>
      <c r="F9" s="310" t="str">
        <f>IF(F7=0,"",IFERROR((F7-F4)*REE!L9/REE!$B$6,""))</f>
        <v/>
      </c>
      <c r="G9" s="310" t="str">
        <f>IF(G7=0,"",IFERROR((G7-G4)*REE!L10/REE!$B$6,""))</f>
        <v/>
      </c>
      <c r="H9" s="310" t="str">
        <f>IF(H7=0,"",IFERROR((H7-H4)*REE!L11/REE!$B$6,""))</f>
        <v/>
      </c>
      <c r="I9" s="310" t="str">
        <f>IF(I7=0,"",IFERROR((I7-I4)*REE!L12/REE!$B$6,""))</f>
        <v/>
      </c>
      <c r="J9" s="310" t="str">
        <f>IF(J7=0,"",IFERROR((J7-J4)*REE!L13/REE!$B$6,""))</f>
        <v/>
      </c>
      <c r="K9" s="310" t="str">
        <f>IF(K7=0,"",IFERROR((K7-K4)*REE!L14/REE!$B$6,""))</f>
        <v/>
      </c>
      <c r="L9" s="310" t="str">
        <f>IF(L7=0,"",IFERROR((L7-L4)*REE!L15/REE!$B$6,""))</f>
        <v/>
      </c>
      <c r="M9" s="311" t="str">
        <f>IF(SUM(C9:L9)=0,"",SUM(C9:L9))</f>
        <v/>
      </c>
    </row>
    <row r="12" spans="2:13" x14ac:dyDescent="0.25">
      <c r="D12" s="303"/>
    </row>
    <row r="13" spans="2:13" x14ac:dyDescent="0.25">
      <c r="D13" s="303"/>
    </row>
    <row r="14" spans="2:13" x14ac:dyDescent="0.25">
      <c r="D14" s="303"/>
    </row>
    <row r="15" spans="2:13" x14ac:dyDescent="0.25">
      <c r="D15" s="303"/>
    </row>
    <row r="16" spans="2:13" x14ac:dyDescent="0.25">
      <c r="D16" s="303"/>
    </row>
    <row r="17" spans="4:4" x14ac:dyDescent="0.25">
      <c r="D17" s="303"/>
    </row>
    <row r="18" spans="4:4" x14ac:dyDescent="0.25">
      <c r="D18" s="303"/>
    </row>
    <row r="19" spans="4:4" x14ac:dyDescent="0.25">
      <c r="D19" s="303"/>
    </row>
    <row r="20" spans="4:4" x14ac:dyDescent="0.25">
      <c r="D20" s="303"/>
    </row>
    <row r="21" spans="4:4" x14ac:dyDescent="0.25">
      <c r="D21" s="303"/>
    </row>
    <row r="22" spans="4:4" x14ac:dyDescent="0.25">
      <c r="D22" s="303"/>
    </row>
    <row r="23" spans="4:4" x14ac:dyDescent="0.25">
      <c r="D23" s="303"/>
    </row>
    <row r="24" spans="4:4" x14ac:dyDescent="0.25">
      <c r="D24" s="303"/>
    </row>
    <row r="25" spans="4:4" x14ac:dyDescent="0.25">
      <c r="D25" s="303"/>
    </row>
    <row r="26" spans="4:4" x14ac:dyDescent="0.25">
      <c r="D26" s="303"/>
    </row>
    <row r="27" spans="4:4" x14ac:dyDescent="0.25">
      <c r="D27" s="303"/>
    </row>
    <row r="28" spans="4:4" x14ac:dyDescent="0.25">
      <c r="D28" s="303"/>
    </row>
  </sheetData>
  <mergeCells count="1">
    <mergeCell ref="B1:D1"/>
  </mergeCells>
  <conditionalFormatting sqref="C9:M9">
    <cfRule type="cellIs" dxfId="0" priority="1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vérification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2024-11-06T14:01:13Z</dcterms:modified>
</cp:coreProperties>
</file>