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NIF/Label Bas Carbone/2- Dossiers en cours/GRAND OUEST (PB)/2TREU-124/Dossier octobre 2024/"/>
    </mc:Choice>
  </mc:AlternateContent>
  <xr:revisionPtr revIDLastSave="31" documentId="8_{18B0B8DF-3D12-4A93-8852-A3D85DB73C99}" xr6:coauthVersionLast="47" xr6:coauthVersionMax="47" xr10:uidLastSave="{3C8E5E91-905C-4FFE-A7C1-48222D1B4892}"/>
  <bookViews>
    <workbookView xWindow="-120" yWindow="-16320" windowWidth="29040" windowHeight="1572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7" i="6" l="1"/>
  <c r="E48" i="6" l="1"/>
  <c r="E19" i="6"/>
  <c r="E51" i="6"/>
  <c r="E50" i="6"/>
  <c r="E49" i="6"/>
  <c r="E18" i="6" l="1"/>
  <c r="E20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I24" i="6" l="1"/>
  <c r="I20" i="6"/>
  <c r="I22" i="6"/>
  <c r="U30" i="6"/>
  <c r="V10" i="6"/>
  <c r="P67" i="6"/>
  <c r="H19" i="2"/>
  <c r="D20" i="2"/>
  <c r="G20" i="2" s="1"/>
  <c r="P40" i="6"/>
  <c r="U31" i="6" l="1"/>
  <c r="U33" i="6" s="1"/>
  <c r="T23" i="6"/>
  <c r="P68" i="6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G162" i="2" l="1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HG201" i="2" l="1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AH90" i="2" a="1"/>
  <c r="AH90" i="2" s="1"/>
  <c r="AH62" i="2" a="1"/>
  <c r="AH62" i="2" s="1"/>
  <c r="CS38" i="2" a="1"/>
  <c r="CS38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FD19" i="2" l="1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tc={E3E51501-5542-451B-A280-7119D553B862}</author>
    <author>tc={B35BE5CD-F471-4164-A396-0E8AD3EACE1D}</author>
    <author>tc={4C91F93A-4850-4663-A3C2-6971670EE070}</author>
    <author>tc={A5FF619C-2127-44FB-957D-29D1CE20524D}</author>
    <author>tc={21E90E90-8F37-4036-8CF3-2FC2FE4B471C}</author>
    <author>tc={CB823BE7-DD1F-4081-B48B-60B6F5E5ECBE}</author>
    <author>tc={6B940231-2296-481D-B696-1C215BAA35A1}</author>
    <author>tc={23261E39-836D-4736-99D6-FA1981BDC84B}</author>
    <author>tc={D9DFDF4B-8C39-49E9-92CE-BF0415F026CA}</author>
    <author>tc={0EDB47FA-B58C-4B14-9869-1D2B6C2F5DCA}</author>
  </authors>
  <commentList>
    <comment ref="E18" authorId="0" shapeId="0" xr:uid="{E3E51501-5542-451B-A280-7119D553B86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9" authorId="1" shapeId="0" xr:uid="{B35BE5CD-F471-4164-A396-0E8AD3EACE1D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I19" authorId="2" shapeId="0" xr:uid="{4C91F93A-4850-4663-A3C2-6971670EE07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Toutes les ans pendant la durée du contrat : frais de gardiennage 20€/ha/an</t>
      </text>
    </comment>
    <comment ref="E20" authorId="3" shapeId="0" xr:uid="{A5FF619C-2127-44FB-957D-29D1CE20524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I20" authorId="4" shapeId="0" xr:uid="{21E90E90-8F37-4036-8CF3-2FC2FE4B471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1 : demande cas par cas + diagnostic gestionnaire</t>
      </text>
    </comment>
    <comment ref="I22" authorId="5" shapeId="0" xr:uid="{CB823BE7-DD1F-4081-B48B-60B6F5E5ECB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3 : rédaction DGD</t>
      </text>
    </comment>
    <comment ref="I24" authorId="6" shapeId="0" xr:uid="{6B940231-2296-481D-B696-1C215BAA35A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5 : facturation maitrise d'œuvre</t>
      </text>
    </comment>
    <comment ref="E49" authorId="7" shapeId="0" xr:uid="{23261E39-836D-4736-99D6-FA1981BDC84B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50" authorId="8" shapeId="0" xr:uid="{D9DFDF4B-8C39-49E9-92CE-BF0415F026CA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51" authorId="9" shapeId="0" xr:uid="{0EDB47FA-B58C-4B14-9869-1D2B6C2F5DCA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</commentList>
</comments>
</file>

<file path=xl/sharedStrings.xml><?xml version="1.0" encoding="utf-8"?>
<sst xmlns="http://schemas.openxmlformats.org/spreadsheetml/2006/main" count="1177" uniqueCount="329">
  <si>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</si>
  <si>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</si>
  <si>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</si>
  <si>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</si>
  <si>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</si>
  <si>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</si>
  <si>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</si>
  <si>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</si>
  <si>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</si>
  <si>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</si>
  <si>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</si>
  <si>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</si>
  <si>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</si>
  <si>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</si>
  <si>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</si>
  <si>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</si>
  <si>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</si>
  <si>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</si>
  <si>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</si>
  <si>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</si>
  <si>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</si>
  <si>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</si>
  <si>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</si>
  <si>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</si>
  <si>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</si>
  <si>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</si>
  <si>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</si>
  <si>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</si>
  <si>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</si>
  <si>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</si>
  <si>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</si>
  <si>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</si>
  <si>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</si>
  <si>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</si>
  <si>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</si>
  <si>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</si>
  <si>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</si>
  <si>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</si>
  <si>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</si>
  <si>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</si>
  <si>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</si>
  <si>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</si>
  <si>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</si>
  <si>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</si>
  <si>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</si>
  <si>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</si>
  <si>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</si>
  <si>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</si>
  <si>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</si>
  <si>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</si>
  <si>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</si>
  <si>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</si>
  <si>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</si>
  <si>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</si>
  <si>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</si>
  <si>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</si>
  <si>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</si>
  <si>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</si>
  <si>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</si>
  <si>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</si>
  <si>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</si>
  <si>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</si>
  <si>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</si>
  <si>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</si>
  <si>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</si>
  <si>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</si>
  <si>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</si>
  <si>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</si>
  <si>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</si>
  <si>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</si>
  <si>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</si>
  <si>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</si>
  <si>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</si>
  <si>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</si>
  <si>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</si>
  <si>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</si>
  <si>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</si>
  <si>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</si>
  <si>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</si>
  <si>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</si>
  <si>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</si>
  <si>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</si>
  <si>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</si>
  <si>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</si>
  <si>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</si>
  <si>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</si>
  <si>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</si>
  <si>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</si>
  <si>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</si>
  <si>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</si>
  <si>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</si>
  <si>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</si>
  <si>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</si>
  <si>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</si>
  <si>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</si>
  <si>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</si>
  <si>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</si>
  <si>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</si>
  <si>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</si>
  <si>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</si>
  <si>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</si>
  <si>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</si>
  <si>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</si>
  <si>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</si>
  <si>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</si>
  <si>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</si>
  <si>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</si>
  <si>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</si>
  <si>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</si>
  <si>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</si>
  <si>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</si>
  <si>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</si>
  <si>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</si>
  <si>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</si>
  <si>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</si>
  <si>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</si>
  <si>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</si>
  <si>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</si>
  <si>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</si>
  <si>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</si>
  <si>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</si>
  <si>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</si>
  <si>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</si>
  <si>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</si>
  <si>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</si>
  <si>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</si>
  <si>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</si>
  <si>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</si>
  <si>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</si>
  <si>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</si>
  <si>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</si>
  <si>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</si>
  <si>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</si>
  <si>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</si>
  <si>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</si>
  <si>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</si>
  <si>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</si>
  <si>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</si>
  <si>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</si>
  <si>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</si>
  <si>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</si>
  <si>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</si>
  <si>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</si>
  <si>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</si>
  <si>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</si>
  <si>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</si>
  <si>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</si>
  <si>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</si>
  <si>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</si>
  <si>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</si>
  <si>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</si>
  <si>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</si>
  <si>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</si>
  <si>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</si>
  <si>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</si>
  <si>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</si>
  <si>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</si>
  <si>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</si>
  <si>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</si>
  <si>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</si>
  <si>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</si>
  <si>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</si>
  <si>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</si>
  <si>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</si>
  <si>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</si>
  <si>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</si>
  <si>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</si>
  <si>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</si>
  <si>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</si>
  <si>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</si>
  <si>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</si>
  <si>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</si>
  <si>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</si>
  <si>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</si>
  <si>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</si>
  <si>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</si>
  <si>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</si>
  <si>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</si>
  <si>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</si>
  <si>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</si>
  <si>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</si>
  <si>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</si>
  <si>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</si>
  <si>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</si>
  <si>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</si>
  <si>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</si>
  <si>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</si>
  <si>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</si>
  <si>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</si>
  <si>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</si>
  <si>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</si>
  <si>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</si>
  <si>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</si>
  <si>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</si>
  <si>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</si>
  <si>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</si>
  <si>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</si>
  <si>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</si>
  <si>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</si>
  <si>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</si>
  <si>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</si>
  <si>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</si>
  <si>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</si>
  <si>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</si>
  <si>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</si>
  <si>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</si>
  <si>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</si>
  <si>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</si>
  <si>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</si>
  <si>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</si>
  <si>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</si>
  <si>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</si>
  <si>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</si>
  <si>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</si>
  <si>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</si>
  <si>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</si>
  <si>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</si>
  <si>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</si>
  <si>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</si>
  <si>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</si>
  <si>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</si>
  <si>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</si>
  <si>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</si>
  <si>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</si>
  <si>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</si>
  <si>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</si>
  <si>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</si>
  <si>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</si>
  <si>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</si>
  <si>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</si>
  <si>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</si>
  <si>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</si>
  <si>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</si>
  <si>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</si>
  <si>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</si>
  <si>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</si>
  <si>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</si>
  <si>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</si>
  <si>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</si>
  <si>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</si>
  <si>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</si>
  <si>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</si>
  <si>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</si>
  <si>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</si>
  <si>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</si>
  <si>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</si>
  <si>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</si>
  <si>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</si>
  <si>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</si>
  <si>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</si>
  <si>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</si>
  <si>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</si>
  <si>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</si>
  <si>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</si>
  <si>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</si>
  <si>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</si>
  <si>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</si>
  <si>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</si>
  <si>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</si>
  <si>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</si>
  <si>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</si>
  <si>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</si>
  <si>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</si>
  <si>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</si>
  <si>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</si>
  <si>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</si>
  <si>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</si>
  <si>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</si>
  <si>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</si>
  <si>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</si>
  <si>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</si>
  <si>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</si>
  <si>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</si>
  <si>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</si>
  <si>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</si>
  <si>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</si>
  <si>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</si>
  <si>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</si>
  <si>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</si>
  <si>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</si>
  <si>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</si>
  <si>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</si>
  <si>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</si>
  <si>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</si>
  <si>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</si>
  <si>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</si>
  <si>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</si>
  <si>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</si>
  <si>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</si>
  <si>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</si>
  <si>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</si>
  <si>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</si>
  <si>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</si>
  <si>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</si>
  <si>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</si>
  <si>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</si>
  <si>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</si>
  <si>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</si>
  <si>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</si>
  <si>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</si>
  <si>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</si>
  <si>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</si>
  <si>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</si>
  <si>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</si>
  <si>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</si>
  <si>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</si>
  <si>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</si>
  <si>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</si>
  <si>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</si>
  <si>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</si>
  <si>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</si>
  <si>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</si>
  <si>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</si>
  <si>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</si>
  <si>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</si>
  <si>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</si>
  <si>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</si>
  <si>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</si>
  <si>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</si>
  <si>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</si>
  <si>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</si>
  <si>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</si>
  <si>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</si>
  <si>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</si>
  <si>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NOM DU PROJET NEOSYLVA</t>
  </si>
  <si>
    <t>Frais notariés</t>
  </si>
  <si>
    <t>Cout gestionnaire</t>
  </si>
  <si>
    <t>Coût total du projet Néosylva sur les 5 premières années</t>
  </si>
  <si>
    <t>Cout plantation + entretien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</si>
</sst>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1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/>
    </xf>
    <xf numFmtId="9" fontId="9" fillId="21" borderId="6" xfId="1" applyFont="1" applyFill="1" applyBorder="1" applyAlignment="1" applyProtection="1">
      <alignment horizontal="center"/>
      <protection locked="0" hidden="1"/>
    </xf>
    <xf numFmtId="0" fontId="9" fillId="21" borderId="10" xfId="0" applyFont="1" applyFill="1" applyBorder="1" applyAlignment="1" applyProtection="1">
      <alignment horizontal="center"/>
      <protection locked="0" hidden="1"/>
    </xf>
    <xf numFmtId="0" fontId="9" fillId="21" borderId="31" xfId="0" applyFont="1" applyFill="1" applyBorder="1" applyAlignment="1" applyProtection="1">
      <alignment horizontal="center"/>
      <protection locked="0"/>
    </xf>
    <xf numFmtId="9" fontId="9" fillId="21" borderId="31" xfId="1" applyFont="1" applyFill="1" applyBorder="1" applyAlignment="1" applyProtection="1">
      <alignment horizontal="center"/>
      <protection locked="0" hidden="1"/>
    </xf>
    <xf numFmtId="166" fontId="0" fillId="0" borderId="0" xfId="0" applyNumberFormat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8.5641026373908407</c:v>
                </c:pt>
                <c:pt idx="2">
                  <c:v>16.750171356925268</c:v>
                </c:pt>
                <c:pt idx="3">
                  <c:v>24.814154097107675</c:v>
                </c:pt>
                <c:pt idx="4">
                  <c:v>32.802880198990124</c:v>
                </c:pt>
                <c:pt idx="5">
                  <c:v>40.737574255104683</c:v>
                </c:pt>
                <c:pt idx="6">
                  <c:v>48.630343659183183</c:v>
                </c:pt>
                <c:pt idx="7">
                  <c:v>56.488993579825284</c:v>
                </c:pt>
                <c:pt idx="8">
                  <c:v>64.318960625108559</c:v>
                </c:pt>
                <c:pt idx="9">
                  <c:v>72.124240771129223</c:v>
                </c:pt>
                <c:pt idx="10">
                  <c:v>79.90788990497127</c:v>
                </c:pt>
                <c:pt idx="11">
                  <c:v>87.672317369098337</c:v>
                </c:pt>
                <c:pt idx="12">
                  <c:v>95.419469317897367</c:v>
                </c:pt>
                <c:pt idx="13">
                  <c:v>103.1509490503684</c:v>
                </c:pt>
                <c:pt idx="14">
                  <c:v>110.86809919217301</c:v>
                </c:pt>
                <c:pt idx="15">
                  <c:v>118.57205969680662</c:v>
                </c:pt>
                <c:pt idx="16">
                  <c:v>126.26380992497417</c:v>
                </c:pt>
                <c:pt idx="17">
                  <c:v>133.94419989808699</c:v>
                </c:pt>
                <c:pt idx="18">
                  <c:v>141.61397398582207</c:v>
                </c:pt>
                <c:pt idx="19">
                  <c:v>149.27378917886855</c:v>
                </c:pt>
                <c:pt idx="20">
                  <c:v>156.92422940503644</c:v>
                </c:pt>
                <c:pt idx="21">
                  <c:v>164.56581690077618</c:v>
                </c:pt>
                <c:pt idx="22">
                  <c:v>172.19902135532388</c:v>
                </c:pt>
                <c:pt idx="23">
                  <c:v>179.82426734527743</c:v>
                </c:pt>
                <c:pt idx="24">
                  <c:v>187.44194043971996</c:v>
                </c:pt>
                <c:pt idx="25">
                  <c:v>195.05239225914997</c:v>
                </c:pt>
                <c:pt idx="26">
                  <c:v>202.65594470219867</c:v>
                </c:pt>
                <c:pt idx="27">
                  <c:v>210.25289350379276</c:v>
                </c:pt>
                <c:pt idx="28">
                  <c:v>217.84351125136371</c:v>
                </c:pt>
                <c:pt idx="29">
                  <c:v>225.4280499580608</c:v>
                </c:pt>
                <c:pt idx="30">
                  <c:v>233.00674327106756</c:v>
                </c:pt>
                <c:pt idx="31">
                  <c:v>240.57980837720436</c:v>
                </c:pt>
                <c:pt idx="32">
                  <c:v>248.14744765573963</c:v>
                </c:pt>
                <c:pt idx="33">
                  <c:v>255.70985011879577</c:v>
                </c:pt>
                <c:pt idx="34">
                  <c:v>263.26719267225525</c:v>
                </c:pt>
                <c:pt idx="35">
                  <c:v>270.81964122415599</c:v>
                </c:pt>
                <c:pt idx="36">
                  <c:v>278.36735166285297</c:v>
                </c:pt>
                <c:pt idx="37">
                  <c:v>285.91047072343866</c:v>
                </c:pt>
                <c:pt idx="38">
                  <c:v>293.44913675786432</c:v>
                </c:pt>
                <c:pt idx="39">
                  <c:v>300.98348042171295</c:v>
                </c:pt>
                <c:pt idx="40">
                  <c:v>308.51362528855435</c:v>
                </c:pt>
                <c:pt idx="41">
                  <c:v>316.03968840113345</c:v>
                </c:pt>
                <c:pt idx="42">
                  <c:v>323.56178076727167</c:v>
                </c:pt>
                <c:pt idx="43">
                  <c:v>257.93750690505584</c:v>
                </c:pt>
                <c:pt idx="44">
                  <c:v>276.14526868684135</c:v>
                </c:pt>
                <c:pt idx="45">
                  <c:v>294.3260789194498</c:v>
                </c:pt>
                <c:pt idx="46">
                  <c:v>312.48183631468436</c:v>
                </c:pt>
                <c:pt idx="47">
                  <c:v>330.61420092587235</c:v>
                </c:pt>
                <c:pt idx="48">
                  <c:v>348.72463586437283</c:v>
                </c:pt>
                <c:pt idx="49">
                  <c:v>366.81443989188602</c:v>
                </c:pt>
                <c:pt idx="50">
                  <c:v>384.88477324479385</c:v>
                </c:pt>
                <c:pt idx="51">
                  <c:v>334.65025498820768</c:v>
                </c:pt>
                <c:pt idx="52">
                  <c:v>353.10838038745561</c:v>
                </c:pt>
                <c:pt idx="53">
                  <c:v>371.54536746252899</c:v>
                </c:pt>
                <c:pt idx="54">
                  <c:v>389.96241232638954</c:v>
                </c:pt>
                <c:pt idx="55">
                  <c:v>408.3605889295356</c:v>
                </c:pt>
                <c:pt idx="56">
                  <c:v>426.74086659214868</c:v>
                </c:pt>
                <c:pt idx="57">
                  <c:v>445.10412435808092</c:v>
                </c:pt>
                <c:pt idx="58">
                  <c:v>463.45116285675294</c:v>
                </c:pt>
                <c:pt idx="59">
                  <c:v>394.85081282897653</c:v>
                </c:pt>
                <c:pt idx="60">
                  <c:v>412.6644383964213</c:v>
                </c:pt>
                <c:pt idx="61">
                  <c:v>430.46147656489694</c:v>
                </c:pt>
                <c:pt idx="62">
                  <c:v>448.24270933823431</c:v>
                </c:pt>
                <c:pt idx="63">
                  <c:v>466.0088516444161</c:v>
                </c:pt>
                <c:pt idx="64">
                  <c:v>483.76055947940108</c:v>
                </c:pt>
                <c:pt idx="65">
                  <c:v>501.49843679360833</c:v>
                </c:pt>
                <c:pt idx="66">
                  <c:v>519.22304135366949</c:v>
                </c:pt>
                <c:pt idx="67">
                  <c:v>440.49264125358167</c:v>
                </c:pt>
                <c:pt idx="68">
                  <c:v>457.5236501544295</c:v>
                </c:pt>
                <c:pt idx="69">
                  <c:v>474.54112349078923</c:v>
                </c:pt>
                <c:pt idx="70">
                  <c:v>491.54561476931968</c:v>
                </c:pt>
                <c:pt idx="71">
                  <c:v>508.53763609585832</c:v>
                </c:pt>
                <c:pt idx="72">
                  <c:v>525.51766258042323</c:v>
                </c:pt>
                <c:pt idx="73">
                  <c:v>542.48613614347107</c:v>
                </c:pt>
                <c:pt idx="74">
                  <c:v>559.4434688213463</c:v>
                </c:pt>
                <c:pt idx="75">
                  <c:v>485.29860499528695</c:v>
                </c:pt>
                <c:pt idx="76">
                  <c:v>501.93248910958238</c:v>
                </c:pt>
                <c:pt idx="77">
                  <c:v>518.55471213509702</c:v>
                </c:pt>
                <c:pt idx="78">
                  <c:v>535.16570030783839</c:v>
                </c:pt>
                <c:pt idx="79">
                  <c:v>551.76585126050918</c:v>
                </c:pt>
                <c:pt idx="80">
                  <c:v>568.35553676247412</c:v>
                </c:pt>
                <c:pt idx="81">
                  <c:v>584.93510512333023</c:v>
                </c:pt>
                <c:pt idx="82">
                  <c:v>601.50488330993562</c:v>
                </c:pt>
                <c:pt idx="83">
                  <c:v>618.06517881816455</c:v>
                </c:pt>
                <c:pt idx="84">
                  <c:v>634.61628133374438</c:v>
                </c:pt>
                <c:pt idx="85">
                  <c:v>533.02796493069138</c:v>
                </c:pt>
                <c:pt idx="86">
                  <c:v>548.89118988157031</c:v>
                </c:pt>
                <c:pt idx="87">
                  <c:v>564.74480274574603</c:v>
                </c:pt>
                <c:pt idx="88">
                  <c:v>580.58911121317794</c:v>
                </c:pt>
                <c:pt idx="89">
                  <c:v>596.42440482023801</c:v>
                </c:pt>
                <c:pt idx="90">
                  <c:v>612.2509564842436</c:v>
                </c:pt>
                <c:pt idx="91">
                  <c:v>628.0690238711569</c:v>
                </c:pt>
                <c:pt idx="92">
                  <c:v>643.87885061841985</c:v>
                </c:pt>
                <c:pt idx="93">
                  <c:v>659.68066743151769</c:v>
                </c:pt>
                <c:pt idx="94">
                  <c:v>675.47469307008441</c:v>
                </c:pt>
                <c:pt idx="95">
                  <c:v>572.83722659071452</c:v>
                </c:pt>
                <c:pt idx="96">
                  <c:v>588.21087078119456</c:v>
                </c:pt>
                <c:pt idx="97">
                  <c:v>603.57614857633223</c:v>
                </c:pt>
                <c:pt idx="98">
                  <c:v>618.93330283910791</c:v>
                </c:pt>
                <c:pt idx="99">
                  <c:v>634.28256340509904</c:v>
                </c:pt>
                <c:pt idx="100">
                  <c:v>649.62414808612709</c:v>
                </c:pt>
                <c:pt idx="101">
                  <c:v>664.95826357422709</c:v>
                </c:pt>
                <c:pt idx="102">
                  <c:v>680.28510625795423</c:v>
                </c:pt>
                <c:pt idx="103">
                  <c:v>695.60486296134877</c:v>
                </c:pt>
                <c:pt idx="104">
                  <c:v>710.91771161446911</c:v>
                </c:pt>
                <c:pt idx="105">
                  <c:v>611.3521021020731</c:v>
                </c:pt>
                <c:pt idx="106">
                  <c:v>626.49159753762979</c:v>
                </c:pt>
                <c:pt idx="107">
                  <c:v>641.62352318685794</c:v>
                </c:pt>
                <c:pt idx="108">
                  <c:v>656.74808261198393</c:v>
                </c:pt>
                <c:pt idx="109">
                  <c:v>671.86546924103743</c:v>
                </c:pt>
                <c:pt idx="110">
                  <c:v>686.97586709375025</c:v>
                </c:pt>
                <c:pt idx="111">
                  <c:v>702.07945144031191</c:v>
                </c:pt>
                <c:pt idx="112">
                  <c:v>717.17638940053257</c:v>
                </c:pt>
                <c:pt idx="113">
                  <c:v>732.26684048997402</c:v>
                </c:pt>
                <c:pt idx="114">
                  <c:v>747.35095711875499</c:v>
                </c:pt>
                <c:pt idx="115">
                  <c:v>655.85624900138566</c:v>
                </c:pt>
                <c:pt idx="116">
                  <c:v>671.08262465023415</c:v>
                </c:pt>
                <c:pt idx="117">
                  <c:v>686.30190130011806</c:v>
                </c:pt>
                <c:pt idx="118">
                  <c:v>701.51425844303503</c:v>
                </c:pt>
                <c:pt idx="119">
                  <c:v>716.71986715745197</c:v>
                </c:pt>
                <c:pt idx="120">
                  <c:v>731.9188906764839</c:v>
                </c:pt>
                <c:pt idx="121">
                  <c:v>747.11148490646144</c:v>
                </c:pt>
                <c:pt idx="122">
                  <c:v>762.29779890116197</c:v>
                </c:pt>
                <c:pt idx="123">
                  <c:v>777.4779752963168</c:v>
                </c:pt>
                <c:pt idx="124">
                  <c:v>792.65215070845068</c:v>
                </c:pt>
                <c:pt idx="125">
                  <c:v>708.15897088118447</c:v>
                </c:pt>
                <c:pt idx="126">
                  <c:v>723.51002509571629</c:v>
                </c:pt>
                <c:pt idx="127">
                  <c:v>738.85443683817709</c:v>
                </c:pt>
                <c:pt idx="128">
                  <c:v>754.19236338172016</c:v>
                </c:pt>
                <c:pt idx="129">
                  <c:v>769.52395508640473</c:v>
                </c:pt>
                <c:pt idx="130">
                  <c:v>784.84935583757169</c:v>
                </c:pt>
                <c:pt idx="131">
                  <c:v>800.16870344823099</c:v>
                </c:pt>
                <c:pt idx="132">
                  <c:v>815.48213002906016</c:v>
                </c:pt>
                <c:pt idx="133">
                  <c:v>830.78976232919547</c:v>
                </c:pt>
                <c:pt idx="134">
                  <c:v>846.09172205062214</c:v>
                </c:pt>
                <c:pt idx="135">
                  <c:v>757.28768467884549</c:v>
                </c:pt>
                <c:pt idx="136">
                  <c:v>772.78705124330099</c:v>
                </c:pt>
                <c:pt idx="137">
                  <c:v>788.28012003213962</c:v>
                </c:pt>
                <c:pt idx="138">
                  <c:v>803.76703215089447</c:v>
                </c:pt>
                <c:pt idx="139">
                  <c:v>819.24792282918395</c:v>
                </c:pt>
                <c:pt idx="140">
                  <c:v>834.72292177407928</c:v>
                </c:pt>
                <c:pt idx="141">
                  <c:v>850.19215349593026</c:v>
                </c:pt>
                <c:pt idx="142">
                  <c:v>865.655737609271</c:v>
                </c:pt>
                <c:pt idx="143">
                  <c:v>881.11378911112968</c:v>
                </c:pt>
                <c:pt idx="144">
                  <c:v>896.56641863881293</c:v>
                </c:pt>
                <c:pt idx="145">
                  <c:v>806.17522547859323</c:v>
                </c:pt>
                <c:pt idx="146">
                  <c:v>821.97007970060247</c:v>
                </c:pt>
                <c:pt idx="147">
                  <c:v>837.75882317181595</c:v>
                </c:pt>
                <c:pt idx="148">
                  <c:v>853.54158716852999</c:v>
                </c:pt>
                <c:pt idx="149">
                  <c:v>869.31849772135058</c:v>
                </c:pt>
                <c:pt idx="150">
                  <c:v>885.0896759181478</c:v>
                </c:pt>
                <c:pt idx="151">
                  <c:v>900.85523818431557</c:v>
                </c:pt>
                <c:pt idx="152">
                  <c:v>916.61529654241701</c:v>
                </c:pt>
                <c:pt idx="153">
                  <c:v>932.36995885306271</c:v>
                </c:pt>
                <c:pt idx="154">
                  <c:v>948.11932903868717</c:v>
                </c:pt>
                <c:pt idx="155">
                  <c:v>859.72606876661303</c:v>
                </c:pt>
                <c:pt idx="156">
                  <c:v>875.72426983086791</c:v>
                </c:pt>
                <c:pt idx="157">
                  <c:v>891.71662406952885</c:v>
                </c:pt>
                <c:pt idx="158">
                  <c:v>907.70325100068385</c:v>
                </c:pt>
                <c:pt idx="159">
                  <c:v>923.68426559393322</c:v>
                </c:pt>
                <c:pt idx="160">
                  <c:v>939.65977852079175</c:v>
                </c:pt>
                <c:pt idx="161">
                  <c:v>955.62989638719603</c:v>
                </c:pt>
                <c:pt idx="162">
                  <c:v>971.59472194968396</c:v>
                </c:pt>
                <c:pt idx="163">
                  <c:v>987.5543543166408</c:v>
                </c:pt>
                <c:pt idx="164">
                  <c:v>1003.5088891358791</c:v>
                </c:pt>
                <c:pt idx="165">
                  <c:v>906.99142386114011</c:v>
                </c:pt>
                <c:pt idx="166">
                  <c:v>923.16761448039449</c:v>
                </c:pt>
                <c:pt idx="167">
                  <c:v>939.33816477131688</c:v>
                </c:pt>
                <c:pt idx="168">
                  <c:v>955.50318539760417</c:v>
                </c:pt>
                <c:pt idx="169">
                  <c:v>971.66278297777069</c:v>
                </c:pt>
                <c:pt idx="170">
                  <c:v>987.81706029919678</c:v>
                </c:pt>
                <c:pt idx="171">
                  <c:v>1003.9661165174626</c:v>
                </c:pt>
                <c:pt idx="172">
                  <c:v>1020.110047342211</c:v>
                </c:pt>
                <c:pt idx="173">
                  <c:v>1036.2489452106438</c:v>
                </c:pt>
                <c:pt idx="174">
                  <c:v>1052.3828994496685</c:v>
                </c:pt>
                <c:pt idx="175">
                  <c:v>655.42683872404962</c:v>
                </c:pt>
                <c:pt idx="176">
                  <c:v>665.6904538499931</c:v>
                </c:pt>
                <c:pt idx="177">
                  <c:v>675.95081434243241</c:v>
                </c:pt>
                <c:pt idx="178">
                  <c:v>461.98583471884461</c:v>
                </c:pt>
                <c:pt idx="179">
                  <c:v>468.23678805666754</c:v>
                </c:pt>
                <c:pt idx="180">
                  <c:v>474.48596332749122</c:v>
                </c:pt>
                <c:pt idx="181">
                  <c:v>328.57803905562486</c:v>
                </c:pt>
                <c:pt idx="182">
                  <c:v>332.35523417935661</c:v>
                </c:pt>
                <c:pt idx="183">
                  <c:v>336.13148279796388</c:v>
                </c:pt>
                <c:pt idx="184">
                  <c:v>1.039519189921296E-11</c:v>
                </c:pt>
                <c:pt idx="185">
                  <c:v>1.039519189921296E-11</c:v>
                </c:pt>
                <c:pt idx="186">
                  <c:v>1.039519189921296E-11</c:v>
                </c:pt>
                <c:pt idx="187">
                  <c:v>1.039519189921296E-11</c:v>
                </c:pt>
                <c:pt idx="188">
                  <c:v>1.039519189921296E-11</c:v>
                </c:pt>
                <c:pt idx="189">
                  <c:v>1.039519189921296E-11</c:v>
                </c:pt>
                <c:pt idx="190">
                  <c:v>1.039519189921296E-11</c:v>
                </c:pt>
                <c:pt idx="191">
                  <c:v>1.039519189921296E-11</c:v>
                </c:pt>
                <c:pt idx="192">
                  <c:v>1.039519189921296E-11</c:v>
                </c:pt>
                <c:pt idx="193">
                  <c:v>1.039519189921296E-11</c:v>
                </c:pt>
                <c:pt idx="194">
                  <c:v>1.039519189921296E-11</c:v>
                </c:pt>
                <c:pt idx="195">
                  <c:v>1.039519189921296E-11</c:v>
                </c:pt>
                <c:pt idx="196">
                  <c:v>1.039519189921296E-11</c:v>
                </c:pt>
                <c:pt idx="197">
                  <c:v>1.039519189921296E-11</c:v>
                </c:pt>
                <c:pt idx="198">
                  <c:v>1.039519189921296E-11</c:v>
                </c:pt>
                <c:pt idx="199">
                  <c:v>1.039519189921296E-11</c:v>
                </c:pt>
                <c:pt idx="200">
                  <c:v>1.039519189921296E-11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9.5616949382660383</c:v>
                </c:pt>
                <c:pt idx="2">
                  <c:v>18.705313109464633</c:v>
                </c:pt>
                <c:pt idx="3">
                  <c:v>27.713913471041348</c:v>
                </c:pt>
                <c:pt idx="4">
                  <c:v>36.63928571324923</c:v>
                </c:pt>
                <c:pt idx="5">
                  <c:v>45.504902621489315</c:v>
                </c:pt>
                <c:pt idx="6">
                  <c:v>54.324154052570456</c:v>
                </c:pt>
                <c:pt idx="7">
                  <c:v>63.105671929451027</c:v>
                </c:pt>
                <c:pt idx="8">
                  <c:v>71.855468727259591</c:v>
                </c:pt>
                <c:pt idx="9">
                  <c:v>80.577963691700518</c:v>
                </c:pt>
                <c:pt idx="10">
                  <c:v>89.276536401515969</c:v>
                </c:pt>
                <c:pt idx="11">
                  <c:v>97.953851406261848</c:v>
                </c:pt>
                <c:pt idx="12">
                  <c:v>106.6120610047026</c:v>
                </c:pt>
                <c:pt idx="13">
                  <c:v>115.25293832361577</c:v>
                </c:pt>
                <c:pt idx="14">
                  <c:v>123.87796820488852</c:v>
                </c:pt>
                <c:pt idx="15">
                  <c:v>132.4884113504034</c:v>
                </c:pt>
                <c:pt idx="16">
                  <c:v>141.08535085862869</c:v>
                </c:pt>
                <c:pt idx="17">
                  <c:v>149.66972678860873</c:v>
                </c:pt>
                <c:pt idx="18">
                  <c:v>158.24236235660359</c:v>
                </c:pt>
                <c:pt idx="19">
                  <c:v>166.80398414435732</c:v>
                </c:pt>
                <c:pt idx="20">
                  <c:v>175.35523793162534</c:v>
                </c:pt>
                <c:pt idx="21">
                  <c:v>183.89670127221041</c:v>
                </c:pt>
                <c:pt idx="22">
                  <c:v>192.42889360669196</c:v>
                </c:pt>
                <c:pt idx="23">
                  <c:v>200.95228448450212</c:v>
                </c:pt>
                <c:pt idx="24">
                  <c:v>209.4673003157277</c:v>
                </c:pt>
                <c:pt idx="25">
                  <c:v>217.97432996590248</c:v>
                </c:pt>
                <c:pt idx="26">
                  <c:v>226.47372943043516</c:v>
                </c:pt>
                <c:pt idx="27">
                  <c:v>234.96582576966659</c:v>
                </c:pt>
                <c:pt idx="28">
                  <c:v>243.45092044456825</c:v>
                </c:pt>
                <c:pt idx="29">
                  <c:v>251.92929216251972</c:v>
                </c:pt>
                <c:pt idx="30">
                  <c:v>260.40119931953944</c:v>
                </c:pt>
                <c:pt idx="31">
                  <c:v>268.86688210773553</c:v>
                </c:pt>
                <c:pt idx="32">
                  <c:v>277.32656434318966</c:v>
                </c:pt>
                <c:pt idx="33">
                  <c:v>285.78045505893664</c:v>
                </c:pt>
                <c:pt idx="34">
                  <c:v>294.2287498994304</c:v>
                </c:pt>
                <c:pt idx="35">
                  <c:v>302.67163234634512</c:v>
                </c:pt>
                <c:pt idx="36">
                  <c:v>311.10927480034724</c:v>
                </c:pt>
                <c:pt idx="37">
                  <c:v>319.5418395392914</c:v>
                </c:pt>
                <c:pt idx="38">
                  <c:v>327.96947956991511</c:v>
                </c:pt>
                <c:pt idx="39">
                  <c:v>336.39233938735816</c:v>
                </c:pt>
                <c:pt idx="40">
                  <c:v>344.81055565459184</c:v>
                </c:pt>
                <c:pt idx="41">
                  <c:v>353.2242578119924</c:v>
                </c:pt>
                <c:pt idx="42">
                  <c:v>361.6335686257687</c:v>
                </c:pt>
                <c:pt idx="43">
                  <c:v>288.27072916376034</c:v>
                </c:pt>
                <c:pt idx="44">
                  <c:v>308.62518568141826</c:v>
                </c:pt>
                <c:pt idx="45">
                  <c:v>328.94983583510964</c:v>
                </c:pt>
                <c:pt idx="46">
                  <c:v>349.24677945570858</c:v>
                </c:pt>
                <c:pt idx="47">
                  <c:v>369.51785243596299</c:v>
                </c:pt>
                <c:pt idx="48">
                  <c:v>389.76467286577935</c:v>
                </c:pt>
                <c:pt idx="49">
                  <c:v>409.98867707683922</c:v>
                </c:pt>
                <c:pt idx="50">
                  <c:v>430.19114820235546</c:v>
                </c:pt>
                <c:pt idx="51">
                  <c:v>374.0299946718726</c:v>
                </c:pt>
                <c:pt idx="52">
                  <c:v>394.66558084481431</c:v>
                </c:pt>
                <c:pt idx="53">
                  <c:v>415.27778963859856</c:v>
                </c:pt>
                <c:pt idx="54">
                  <c:v>435.8679438632073</c:v>
                </c:pt>
                <c:pt idx="55">
                  <c:v>456.43723122622731</c:v>
                </c:pt>
                <c:pt idx="56">
                  <c:v>476.98672372207147</c:v>
                </c:pt>
                <c:pt idx="57">
                  <c:v>497.51739350639696</c:v>
                </c:pt>
                <c:pt idx="58">
                  <c:v>518.0301260144621</c:v>
                </c:pt>
                <c:pt idx="59">
                  <c:v>441.33318735024449</c:v>
                </c:pt>
                <c:pt idx="60">
                  <c:v>461.24899603079712</c:v>
                </c:pt>
                <c:pt idx="61">
                  <c:v>481.14646030941248</c:v>
                </c:pt>
                <c:pt idx="62">
                  <c:v>501.02644502286307</c:v>
                </c:pt>
                <c:pt idx="63">
                  <c:v>520.88974082713423</c:v>
                </c:pt>
                <c:pt idx="64">
                  <c:v>540.73707320387359</c:v>
                </c:pt>
                <c:pt idx="65">
                  <c:v>560.56911007631913</c:v>
                </c:pt>
                <c:pt idx="66">
                  <c:v>580.38646829195295</c:v>
                </c:pt>
                <c:pt idx="67">
                  <c:v>492.36159904668904</c:v>
                </c:pt>
                <c:pt idx="68">
                  <c:v>511.40290568116535</c:v>
                </c:pt>
                <c:pt idx="69">
                  <c:v>530.42924301057599</c:v>
                </c:pt>
                <c:pt idx="70">
                  <c:v>549.44122317119627</c:v>
                </c:pt>
                <c:pt idx="71">
                  <c:v>568.43941251314141</c:v>
                </c:pt>
                <c:pt idx="72">
                  <c:v>587.42433647196356</c:v>
                </c:pt>
                <c:pt idx="73">
                  <c:v>606.39648377808339</c:v>
                </c:pt>
                <c:pt idx="74">
                  <c:v>625.35631011236683</c:v>
                </c:pt>
                <c:pt idx="75">
                  <c:v>542.45669606323679</c:v>
                </c:pt>
                <c:pt idx="76">
                  <c:v>561.05440928576149</c:v>
                </c:pt>
                <c:pt idx="77">
                  <c:v>579.63922623081567</c:v>
                </c:pt>
                <c:pt idx="78">
                  <c:v>598.21161828301217</c:v>
                </c:pt>
                <c:pt idx="79">
                  <c:v>616.77202519388391</c:v>
                </c:pt>
                <c:pt idx="80">
                  <c:v>635.3208581120781</c:v>
                </c:pt>
                <c:pt idx="81">
                  <c:v>653.85850224152387</c:v>
                </c:pt>
                <c:pt idx="82">
                  <c:v>672.38531918270314</c:v>
                </c:pt>
                <c:pt idx="83">
                  <c:v>690.90164900267018</c:v>
                </c:pt>
                <c:pt idx="84">
                  <c:v>709.40781207181215</c:v>
                </c:pt>
                <c:pt idx="85">
                  <c:v>595.82145440707143</c:v>
                </c:pt>
                <c:pt idx="86">
                  <c:v>613.55789548994426</c:v>
                </c:pt>
                <c:pt idx="87">
                  <c:v>631.2837063358362</c:v>
                </c:pt>
                <c:pt idx="88">
                  <c:v>648.99922722644521</c:v>
                </c:pt>
                <c:pt idx="89">
                  <c:v>666.70477836698205</c:v>
                </c:pt>
                <c:pt idx="90">
                  <c:v>684.40066158324714</c:v>
                </c:pt>
                <c:pt idx="91">
                  <c:v>702.08716183420108</c:v>
                </c:pt>
                <c:pt idx="92">
                  <c:v>719.76454856432804</c:v>
                </c:pt>
                <c:pt idx="93">
                  <c:v>737.43307691635209</c:v>
                </c:pt>
                <c:pt idx="94">
                  <c:v>755.09298882179371</c:v>
                </c:pt>
                <c:pt idx="95">
                  <c:v>640.33183130100645</c:v>
                </c:pt>
                <c:pt idx="96">
                  <c:v>657.52115573561741</c:v>
                </c:pt>
                <c:pt idx="97">
                  <c:v>674.70122757316892</c:v>
                </c:pt>
                <c:pt idx="98">
                  <c:v>691.87231540164976</c:v>
                </c:pt>
                <c:pt idx="99">
                  <c:v>709.0346734017312</c:v>
                </c:pt>
                <c:pt idx="100">
                  <c:v>726.18854245672571</c:v>
                </c:pt>
                <c:pt idx="101">
                  <c:v>743.33415115230719</c:v>
                </c:pt>
                <c:pt idx="102">
                  <c:v>760.4717166792833</c:v>
                </c:pt>
                <c:pt idx="103">
                  <c:v>777.60144565083658</c:v>
                </c:pt>
                <c:pt idx="104">
                  <c:v>794.72353484408177</c:v>
                </c:pt>
                <c:pt idx="105">
                  <c:v>683.39563744279849</c:v>
                </c:pt>
                <c:pt idx="106">
                  <c:v>700.32340506833361</c:v>
                </c:pt>
                <c:pt idx="107">
                  <c:v>717.24280108580388</c:v>
                </c:pt>
                <c:pt idx="108">
                  <c:v>734.15405061955198</c:v>
                </c:pt>
                <c:pt idx="109">
                  <c:v>751.05736758627074</c:v>
                </c:pt>
                <c:pt idx="110">
                  <c:v>767.95295549779041</c:v>
                </c:pt>
                <c:pt idx="111">
                  <c:v>784.84100818961235</c:v>
                </c:pt>
                <c:pt idx="112">
                  <c:v>801.7217104835396</c:v>
                </c:pt>
                <c:pt idx="113">
                  <c:v>818.59523879165329</c:v>
                </c:pt>
                <c:pt idx="114">
                  <c:v>835.46176166795476</c:v>
                </c:pt>
                <c:pt idx="115">
                  <c:v>733.15686072460585</c:v>
                </c:pt>
                <c:pt idx="116">
                  <c:v>750.18203757377194</c:v>
                </c:pt>
                <c:pt idx="117">
                  <c:v>767.199363469898</c:v>
                </c:pt>
                <c:pt idx="118">
                  <c:v>784.20903691748515</c:v>
                </c:pt>
                <c:pt idx="119">
                  <c:v>801.21124711630875</c:v>
                </c:pt>
                <c:pt idx="120">
                  <c:v>818.20617458978086</c:v>
                </c:pt>
                <c:pt idx="121">
                  <c:v>835.19399175844899</c:v>
                </c:pt>
                <c:pt idx="122">
                  <c:v>852.17486346445639</c:v>
                </c:pt>
                <c:pt idx="123">
                  <c:v>869.14894745207482</c:v>
                </c:pt>
                <c:pt idx="124">
                  <c:v>886.1163948087933</c:v>
                </c:pt>
                <c:pt idx="125">
                  <c:v>791.63883779902199</c:v>
                </c:pt>
                <c:pt idx="126">
                  <c:v>808.80371461740867</c:v>
                </c:pt>
                <c:pt idx="127">
                  <c:v>825.96124536678508</c:v>
                </c:pt>
                <c:pt idx="128">
                  <c:v>843.1116039792995</c:v>
                </c:pt>
                <c:pt idx="129">
                  <c:v>860.25495674174408</c:v>
                </c:pt>
                <c:pt idx="130">
                  <c:v>877.39146278036435</c:v>
                </c:pt>
                <c:pt idx="131">
                  <c:v>894.52127450587011</c:v>
                </c:pt>
                <c:pt idx="132">
                  <c:v>911.64453802262517</c:v>
                </c:pt>
                <c:pt idx="133">
                  <c:v>928.76139350553524</c:v>
                </c:pt>
                <c:pt idx="134">
                  <c:v>945.87197554774275</c:v>
                </c:pt>
                <c:pt idx="135">
                  <c:v>846.57269862596866</c:v>
                </c:pt>
                <c:pt idx="136">
                  <c:v>863.90366853717831</c:v>
                </c:pt>
                <c:pt idx="137">
                  <c:v>881.22767358744534</c:v>
                </c:pt>
                <c:pt idx="138">
                  <c:v>898.54486982875926</c:v>
                </c:pt>
                <c:pt idx="139">
                  <c:v>915.85540681479506</c:v>
                </c:pt>
                <c:pt idx="140">
                  <c:v>933.15942799170989</c:v>
                </c:pt>
                <c:pt idx="141">
                  <c:v>950.45707105848317</c:v>
                </c:pt>
                <c:pt idx="142">
                  <c:v>967.74846829969408</c:v>
                </c:pt>
                <c:pt idx="143">
                  <c:v>985.03374689331122</c:v>
                </c:pt>
                <c:pt idx="144">
                  <c:v>1002.3130291957826</c:v>
                </c:pt>
                <c:pt idx="145">
                  <c:v>901.23767646995248</c:v>
                </c:pt>
                <c:pt idx="146">
                  <c:v>918.89929586045457</c:v>
                </c:pt>
                <c:pt idx="147">
                  <c:v>936.55415722524458</c:v>
                </c:pt>
                <c:pt idx="148">
                  <c:v>954.20240574592299</c:v>
                </c:pt>
                <c:pt idx="149">
                  <c:v>971.84418080275736</c:v>
                </c:pt>
                <c:pt idx="150">
                  <c:v>989.47961630972395</c:v>
                </c:pt>
                <c:pt idx="151">
                  <c:v>1007.108841024456</c:v>
                </c:pt>
                <c:pt idx="152">
                  <c:v>1024.7319788353882</c:v>
                </c:pt>
                <c:pt idx="153">
                  <c:v>1042.349149028156</c:v>
                </c:pt>
                <c:pt idx="154">
                  <c:v>1059.9604665330687</c:v>
                </c:pt>
                <c:pt idx="155">
                  <c:v>961.1178977893378</c:v>
                </c:pt>
                <c:pt idx="156">
                  <c:v>979.00714902772279</c:v>
                </c:pt>
                <c:pt idx="157">
                  <c:v>996.88993412159937</c:v>
                </c:pt>
                <c:pt idx="158">
                  <c:v>1014.7663852488846</c:v>
                </c:pt>
                <c:pt idx="159">
                  <c:v>1032.6366295572141</c:v>
                </c:pt>
                <c:pt idx="160">
                  <c:v>1050.5007894408673</c:v>
                </c:pt>
                <c:pt idx="161">
                  <c:v>1068.3589827979044</c:v>
                </c:pt>
                <c:pt idx="162">
                  <c:v>1086.211323269242</c:v>
                </c:pt>
                <c:pt idx="163">
                  <c:v>1104.0579204612179</c:v>
                </c:pt>
                <c:pt idx="164">
                  <c:v>1121.8988801530404</c:v>
                </c:pt>
                <c:pt idx="165">
                  <c:v>1013.9704095406892</c:v>
                </c:pt>
                <c:pt idx="166">
                  <c:v>1032.0589003654065</c:v>
                </c:pt>
                <c:pt idx="167">
                  <c:v>1050.1411534158851</c:v>
                </c:pt>
                <c:pt idx="168">
                  <c:v>1068.2172910777583</c:v>
                </c:pt>
                <c:pt idx="169">
                  <c:v>1086.2874312629961</c:v>
                </c:pt>
                <c:pt idx="170">
                  <c:v>1104.3516876466244</c:v>
                </c:pt>
                <c:pt idx="171">
                  <c:v>1122.4101698871759</c:v>
                </c:pt>
                <c:pt idx="172">
                  <c:v>1140.4629838322371</c:v>
                </c:pt>
                <c:pt idx="173">
                  <c:v>1158.510231710324</c:v>
                </c:pt>
                <c:pt idx="174">
                  <c:v>1176.5520123102044</c:v>
                </c:pt>
                <c:pt idx="175">
                  <c:v>732.67672240369313</c:v>
                </c:pt>
                <c:pt idx="176">
                  <c:v>744.15284084631367</c:v>
                </c:pt>
                <c:pt idx="177">
                  <c:v>755.62535991176446</c:v>
                </c:pt>
                <c:pt idx="178">
                  <c:v>516.39182276754491</c:v>
                </c:pt>
                <c:pt idx="179">
                  <c:v>523.38068013229065</c:v>
                </c:pt>
                <c:pt idx="180">
                  <c:v>530.36757109014115</c:v>
                </c:pt>
                <c:pt idx="181">
                  <c:v>367.24151226883578</c:v>
                </c:pt>
                <c:pt idx="182">
                  <c:v>371.46425432265534</c:v>
                </c:pt>
                <c:pt idx="183">
                  <c:v>375.68594961378062</c:v>
                </c:pt>
                <c:pt idx="184">
                  <c:v>1.1507534481029384E-11</c:v>
                </c:pt>
                <c:pt idx="185">
                  <c:v>1.1507534481029384E-11</c:v>
                </c:pt>
                <c:pt idx="186">
                  <c:v>1.1507534481029384E-11</c:v>
                </c:pt>
                <c:pt idx="187">
                  <c:v>1.1507534481029384E-11</c:v>
                </c:pt>
                <c:pt idx="188">
                  <c:v>1.1507534481029384E-11</c:v>
                </c:pt>
                <c:pt idx="189">
                  <c:v>1.1507534481029384E-11</c:v>
                </c:pt>
                <c:pt idx="190">
                  <c:v>1.1507534481029384E-11</c:v>
                </c:pt>
                <c:pt idx="191">
                  <c:v>1.1507534481029384E-11</c:v>
                </c:pt>
                <c:pt idx="192">
                  <c:v>1.1507534481029384E-11</c:v>
                </c:pt>
                <c:pt idx="193">
                  <c:v>1.1507534481029384E-11</c:v>
                </c:pt>
                <c:pt idx="194">
                  <c:v>1.1507534481029384E-11</c:v>
                </c:pt>
                <c:pt idx="195">
                  <c:v>1.1507534481029384E-11</c:v>
                </c:pt>
                <c:pt idx="196">
                  <c:v>1.1507534481029384E-11</c:v>
                </c:pt>
                <c:pt idx="197">
                  <c:v>1.1507534481029384E-11</c:v>
                </c:pt>
                <c:pt idx="198">
                  <c:v>1.1507534481029384E-11</c:v>
                </c:pt>
                <c:pt idx="199">
                  <c:v>1.1507534481029384E-11</c:v>
                </c:pt>
                <c:pt idx="200">
                  <c:v>1.1507534481029384E-11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urélien Blond" id="{44BC7BF0-8157-4572-8E12-7E0C99523682}" userId="S::ablond@neosylva.fr::c795548a-de0d-4e00-b0df-a7f250496ac4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8" dT="2024-11-27T17:07:34.75" personId="{44BC7BF0-8157-4572-8E12-7E0C99523682}" id="{E3E51501-5542-451B-A280-7119D553B862}">
    <text>A recopier sur toutes les essences.
Correspond aux frais fixes d’entretien mécanique + répulsif gibier</text>
  </threadedComment>
  <threadedComment ref="E19" dT="2024-11-27T17:08:05.48" personId="{44BC7BF0-8157-4572-8E12-7E0C99523682}" id="{B35BE5CD-F471-4164-A396-0E8AD3EACE1D}">
    <text xml:space="preserve">A recopier sur toutes les essences
Correspond aux frais fixes entretien manuel + répulsif gibier + regarnis
</text>
  </threadedComment>
  <threadedComment ref="I19" dT="2024-11-27T17:08:48.74" personId="{44BC7BF0-8157-4572-8E12-7E0C99523682}" id="{4C91F93A-4850-4663-A3C2-6971670EE070}">
    <text>Toutes les ans pendant la durée du contrat : frais de gardiennage 20€/ha/an</text>
  </threadedComment>
  <threadedComment ref="E20" dT="2024-11-27T17:07:34.75" personId="{44BC7BF0-8157-4572-8E12-7E0C99523682}" id="{A5FF619C-2127-44FB-957D-29D1CE20524D}">
    <text>A recopier sur toutes les essences.
Correspond aux frais fixes d’entretien mécanique + répulsif gibier</text>
  </threadedComment>
  <threadedComment ref="I20" dT="2024-11-27T17:08:22.16" personId="{44BC7BF0-8157-4572-8E12-7E0C99523682}" id="{21E90E90-8F37-4036-8CF3-2FC2FE4B471C}">
    <text>Année 1 : demande cas par cas + diagnostic gestionnaire</text>
  </threadedComment>
  <threadedComment ref="I22" dT="2024-11-27T17:08:31.44" personId="{44BC7BF0-8157-4572-8E12-7E0C99523682}" id="{CB823BE7-DD1F-4081-B48B-60B6F5E5ECBE}">
    <text>Année 3 : rédaction DGD</text>
  </threadedComment>
  <threadedComment ref="I24" dT="2024-11-27T17:08:41.71" personId="{44BC7BF0-8157-4572-8E12-7E0C99523682}" id="{6B940231-2296-481D-B696-1C215BAA35A1}">
    <text>Année 5 : facturation maitrise d'œuvre</text>
  </threadedComment>
  <threadedComment ref="E49" dT="2024-11-27T17:07:34.75" personId="{44BC7BF0-8157-4572-8E12-7E0C99523682}" id="{23261E39-836D-4736-99D6-FA1981BDC84B}">
    <text>A recopier sur toutes les essences.
Correspond aux frais fixes d’entretien mécanique + répulsif gibier</text>
  </threadedComment>
  <threadedComment ref="E50" dT="2024-11-27T17:08:05.48" personId="{44BC7BF0-8157-4572-8E12-7E0C99523682}" id="{D9DFDF4B-8C39-49E9-92CE-BF0415F026CA}">
    <text xml:space="preserve">A recopier sur toutes les essences
Correspond aux frais fixes entretien manuel + répulsif gibier + regarnis
</text>
  </threadedComment>
  <threadedComment ref="E51" dT="2024-11-27T17:07:34.75" personId="{44BC7BF0-8157-4572-8E12-7E0C99523682}" id="{0EDB47FA-B58C-4B14-9869-1D2B6C2F5DCA}">
    <text>A recopier sur toutes les essences.
Correspond aux frais fixes d’entretien mécanique + répulsif gibier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G33" sqref="G33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65" t="s">
        <v>291</v>
      </c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</row>
    <row r="13" spans="2:13" ht="15" customHeight="1" x14ac:dyDescent="0.3">
      <c r="B13" s="265"/>
      <c r="C13" s="265"/>
      <c r="D13" s="265"/>
      <c r="E13" s="265"/>
      <c r="F13" s="265"/>
      <c r="G13" s="265"/>
      <c r="H13" s="265"/>
      <c r="I13" s="265"/>
      <c r="J13" s="265"/>
      <c r="K13" s="265"/>
      <c r="L13" s="265"/>
      <c r="M13" s="265"/>
    </row>
    <row r="14" spans="2:13" ht="15" customHeight="1" x14ac:dyDescent="0.3"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</row>
    <row r="15" spans="2:13" ht="18.75" customHeight="1" x14ac:dyDescent="0.3">
      <c r="B15" s="265"/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</row>
    <row r="16" spans="2:13" ht="18.75" customHeight="1" x14ac:dyDescent="0.3">
      <c r="B16" s="265"/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</row>
    <row r="18" spans="2:13" ht="12" customHeight="1" x14ac:dyDescent="0.3">
      <c r="B18" s="265" t="s">
        <v>292</v>
      </c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</row>
    <row r="19" spans="2:13" ht="12" customHeight="1" x14ac:dyDescent="0.3">
      <c r="B19" s="265"/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5"/>
    </row>
    <row r="20" spans="2:13" ht="12" customHeight="1" x14ac:dyDescent="0.3">
      <c r="B20" s="265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</row>
    <row r="21" spans="2:13" ht="12" customHeight="1" x14ac:dyDescent="0.3"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</row>
    <row r="22" spans="2:13" ht="12" customHeight="1" x14ac:dyDescent="0.3">
      <c r="B22" s="265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</row>
    <row r="23" spans="2:13" ht="12" customHeight="1" x14ac:dyDescent="0.3"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</row>
    <row r="24" spans="2:13" ht="12" customHeight="1" x14ac:dyDescent="0.3"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</row>
    <row r="25" spans="2:13" ht="12" customHeight="1" x14ac:dyDescent="0.3"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</row>
    <row r="26" spans="2:13" ht="12" customHeight="1" x14ac:dyDescent="0.3"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</row>
    <row r="27" spans="2:13" ht="12" customHeight="1" x14ac:dyDescent="0.3"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</row>
    <row r="28" spans="2:13" ht="12" customHeight="1" x14ac:dyDescent="0.3"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</row>
    <row r="29" spans="2:13" ht="12" customHeight="1" x14ac:dyDescent="0.3">
      <c r="B29" s="265"/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</row>
    <row r="30" spans="2:13" ht="12" customHeight="1" x14ac:dyDescent="0.3">
      <c r="B30" s="265"/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</row>
    <row r="31" spans="2:13" ht="12" customHeight="1" x14ac:dyDescent="0.3">
      <c r="B31" s="265"/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70" t="s">
        <v>190</v>
      </c>
      <c r="D1" s="270"/>
      <c r="E1" s="270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1" t="s">
        <v>192</v>
      </c>
      <c r="C3" s="272"/>
      <c r="D3" s="272"/>
      <c r="E3" s="272"/>
      <c r="F3" s="273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6" t="s">
        <v>231</v>
      </c>
      <c r="B5" s="276"/>
      <c r="C5" s="24">
        <v>1</v>
      </c>
      <c r="D5" s="277" t="s">
        <v>229</v>
      </c>
      <c r="E5" s="278"/>
      <c r="F5" s="90"/>
      <c r="G5" s="218"/>
      <c r="H5" s="218"/>
      <c r="I5" s="218" t="s">
        <v>324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5" t="s">
        <v>226</v>
      </c>
      <c r="B7" s="275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14</v>
      </c>
      <c r="C9" s="32">
        <v>0.66600000000000004</v>
      </c>
      <c r="D9" s="33">
        <f t="shared" ref="D9:D18" si="0">C9*$C$5</f>
        <v>0.66600000000000004</v>
      </c>
      <c r="E9" s="34">
        <v>183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12</v>
      </c>
      <c r="C10" s="32">
        <v>0.33300000000000002</v>
      </c>
      <c r="D10" s="33">
        <f t="shared" si="0"/>
        <v>0.33300000000000002</v>
      </c>
      <c r="E10" s="34">
        <v>183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0.99900000000000011</v>
      </c>
      <c r="D19" s="38">
        <f>SUM(D9:D18)</f>
        <v>0.99900000000000011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4" t="s">
        <v>232</v>
      </c>
      <c r="B22" s="274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5" t="s">
        <v>227</v>
      </c>
      <c r="B30" s="275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66" t="s">
        <v>186</v>
      </c>
      <c r="D34" s="266"/>
      <c r="E34" s="267" t="s">
        <v>187</v>
      </c>
      <c r="F34" s="268"/>
      <c r="G34" s="268"/>
      <c r="H34" s="269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7">
        <v>42</v>
      </c>
      <c r="B36" s="258">
        <v>163.26</v>
      </c>
      <c r="C36" s="258">
        <v>1</v>
      </c>
      <c r="D36" s="259">
        <v>43.21</v>
      </c>
      <c r="E36" s="260">
        <v>0.3</v>
      </c>
      <c r="F36" s="260">
        <v>0</v>
      </c>
      <c r="G36" s="260">
        <v>0</v>
      </c>
      <c r="H36" s="260">
        <v>0.7</v>
      </c>
      <c r="I36" s="49">
        <f>IFERROR(B36/A36,"")</f>
        <v>3.887142857142857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61">
        <v>50</v>
      </c>
      <c r="B37" s="262">
        <v>195.02</v>
      </c>
      <c r="C37" s="262">
        <v>2</v>
      </c>
      <c r="D37" s="262">
        <v>35.58</v>
      </c>
      <c r="E37" s="263">
        <v>0.3</v>
      </c>
      <c r="F37" s="263">
        <v>0</v>
      </c>
      <c r="G37" s="263">
        <v>0</v>
      </c>
      <c r="H37" s="263">
        <v>0.7</v>
      </c>
      <c r="I37" s="53">
        <f t="shared" ref="I37:I55" si="1">IF(A37&lt;&gt;0,(B37-(B36-D36))/(A37-A36),"")</f>
        <v>9.3712500000000034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61">
        <v>58</v>
      </c>
      <c r="B38" s="262">
        <v>235.87</v>
      </c>
      <c r="C38" s="262">
        <v>3</v>
      </c>
      <c r="D38" s="262">
        <v>44.93</v>
      </c>
      <c r="E38" s="263">
        <v>0.3</v>
      </c>
      <c r="F38" s="263">
        <v>0</v>
      </c>
      <c r="G38" s="263">
        <v>0</v>
      </c>
      <c r="H38" s="263">
        <v>0.7</v>
      </c>
      <c r="I38" s="53">
        <f t="shared" si="1"/>
        <v>9.5537500000000009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61">
        <v>66</v>
      </c>
      <c r="B39" s="262">
        <v>264.95999999999998</v>
      </c>
      <c r="C39" s="262">
        <v>4</v>
      </c>
      <c r="D39" s="262">
        <v>49.91</v>
      </c>
      <c r="E39" s="263">
        <v>0.6</v>
      </c>
      <c r="F39" s="263">
        <v>0</v>
      </c>
      <c r="G39" s="263">
        <v>0</v>
      </c>
      <c r="H39" s="263">
        <v>0.4</v>
      </c>
      <c r="I39" s="49">
        <f t="shared" si="1"/>
        <v>9.2524999999999977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61">
        <v>74</v>
      </c>
      <c r="B40" s="262">
        <v>285.98</v>
      </c>
      <c r="C40" s="262">
        <v>5</v>
      </c>
      <c r="D40" s="262">
        <v>47.4</v>
      </c>
      <c r="E40" s="263">
        <v>0.6</v>
      </c>
      <c r="F40" s="263">
        <v>0</v>
      </c>
      <c r="G40" s="263">
        <v>0</v>
      </c>
      <c r="H40" s="263">
        <v>0.4</v>
      </c>
      <c r="I40" s="49">
        <f t="shared" si="1"/>
        <v>8.8662500000000044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61">
        <v>84</v>
      </c>
      <c r="B41" s="262">
        <v>325.35000000000002</v>
      </c>
      <c r="C41" s="262">
        <v>6</v>
      </c>
      <c r="D41" s="262">
        <v>61.47</v>
      </c>
      <c r="E41" s="263">
        <v>0.6</v>
      </c>
      <c r="F41" s="263">
        <v>0</v>
      </c>
      <c r="G41" s="263">
        <v>0</v>
      </c>
      <c r="H41" s="263">
        <v>0.4</v>
      </c>
      <c r="I41" s="53">
        <f t="shared" si="1"/>
        <v>8.6770000000000014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61">
        <v>94</v>
      </c>
      <c r="B42" s="262">
        <v>346.79</v>
      </c>
      <c r="C42" s="262">
        <v>7</v>
      </c>
      <c r="D42" s="262">
        <v>61.85</v>
      </c>
      <c r="E42" s="263">
        <v>0.6</v>
      </c>
      <c r="F42" s="263">
        <v>0</v>
      </c>
      <c r="G42" s="263">
        <v>0</v>
      </c>
      <c r="H42" s="263">
        <v>0.4</v>
      </c>
      <c r="I42" s="53">
        <f t="shared" si="1"/>
        <v>8.2910000000000021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61">
        <v>104</v>
      </c>
      <c r="B43" s="262">
        <v>365.41</v>
      </c>
      <c r="C43" s="262">
        <v>8</v>
      </c>
      <c r="D43" s="262">
        <v>60.19</v>
      </c>
      <c r="E43" s="263">
        <v>0.6</v>
      </c>
      <c r="F43" s="263">
        <v>0</v>
      </c>
      <c r="G43" s="263">
        <v>0</v>
      </c>
      <c r="H43" s="263">
        <v>0.4</v>
      </c>
      <c r="I43" s="49">
        <f t="shared" si="1"/>
        <v>8.0470000000000024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61">
        <v>114</v>
      </c>
      <c r="B44" s="262">
        <v>384.57</v>
      </c>
      <c r="C44" s="262">
        <v>9</v>
      </c>
      <c r="D44" s="262">
        <v>56.07</v>
      </c>
      <c r="E44" s="263">
        <v>0.6</v>
      </c>
      <c r="F44" s="263">
        <v>0</v>
      </c>
      <c r="G44" s="263">
        <v>0</v>
      </c>
      <c r="H44" s="263">
        <v>0.4</v>
      </c>
      <c r="I44" s="49">
        <f t="shared" si="1"/>
        <v>7.9349999999999969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61">
        <v>124</v>
      </c>
      <c r="B45" s="262">
        <v>408.42</v>
      </c>
      <c r="C45" s="262">
        <v>10</v>
      </c>
      <c r="D45" s="262">
        <v>52.53</v>
      </c>
      <c r="E45" s="263">
        <v>0.6</v>
      </c>
      <c r="F45" s="263">
        <v>0</v>
      </c>
      <c r="G45" s="263">
        <v>0</v>
      </c>
      <c r="H45" s="263">
        <v>0.4</v>
      </c>
      <c r="I45" s="49">
        <f t="shared" si="1"/>
        <v>7.9920000000000018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61">
        <v>134</v>
      </c>
      <c r="B46" s="262">
        <v>436.59</v>
      </c>
      <c r="C46" s="262">
        <v>11</v>
      </c>
      <c r="D46" s="262">
        <v>54.95</v>
      </c>
      <c r="E46" s="263">
        <v>0.6</v>
      </c>
      <c r="F46" s="263">
        <v>0</v>
      </c>
      <c r="G46" s="263">
        <v>0</v>
      </c>
      <c r="H46" s="263">
        <v>0.4</v>
      </c>
      <c r="I46" s="49">
        <f t="shared" si="1"/>
        <v>8.0699999999999985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61">
        <v>144</v>
      </c>
      <c r="B47" s="262">
        <v>463.23</v>
      </c>
      <c r="C47" s="262">
        <v>12</v>
      </c>
      <c r="D47" s="262">
        <v>56.01</v>
      </c>
      <c r="E47" s="263">
        <v>0.6</v>
      </c>
      <c r="F47" s="263">
        <v>0</v>
      </c>
      <c r="G47" s="263">
        <v>0</v>
      </c>
      <c r="H47" s="263">
        <v>0.4</v>
      </c>
      <c r="I47" s="49">
        <f t="shared" si="1"/>
        <v>8.1590000000000025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61">
        <v>154</v>
      </c>
      <c r="B48" s="262">
        <v>490.47</v>
      </c>
      <c r="C48" s="262">
        <v>13</v>
      </c>
      <c r="D48" s="262">
        <v>55.13</v>
      </c>
      <c r="E48" s="263">
        <v>0.6</v>
      </c>
      <c r="F48" s="263">
        <v>0</v>
      </c>
      <c r="G48" s="263">
        <v>0</v>
      </c>
      <c r="H48" s="263">
        <v>0.4</v>
      </c>
      <c r="I48" s="49">
        <f t="shared" si="1"/>
        <v>8.3249999999999993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61">
        <v>164</v>
      </c>
      <c r="B49" s="262">
        <v>519.77</v>
      </c>
      <c r="C49" s="262">
        <v>14</v>
      </c>
      <c r="D49" s="262">
        <v>59.58</v>
      </c>
      <c r="E49" s="263">
        <v>0.6</v>
      </c>
      <c r="F49" s="263">
        <v>0</v>
      </c>
      <c r="G49" s="263">
        <v>0</v>
      </c>
      <c r="H49" s="263">
        <v>0.4</v>
      </c>
      <c r="I49" s="49">
        <f t="shared" si="1"/>
        <v>8.4429999999999943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174</v>
      </c>
      <c r="B50" s="262">
        <v>545.65</v>
      </c>
      <c r="C50" s="262">
        <v>15</v>
      </c>
      <c r="D50" s="262">
        <v>214.77</v>
      </c>
      <c r="E50" s="263">
        <v>0.6</v>
      </c>
      <c r="F50" s="263">
        <v>0</v>
      </c>
      <c r="G50" s="263">
        <v>0</v>
      </c>
      <c r="H50" s="263">
        <v>0.4</v>
      </c>
      <c r="I50" s="49">
        <f t="shared" si="1"/>
        <v>8.5459999999999976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>
        <v>177</v>
      </c>
      <c r="B51" s="262">
        <v>347.04</v>
      </c>
      <c r="C51" s="262">
        <v>16</v>
      </c>
      <c r="D51" s="262">
        <v>115.19</v>
      </c>
      <c r="E51" s="263">
        <v>0.6</v>
      </c>
      <c r="F51" s="263">
        <v>0</v>
      </c>
      <c r="G51" s="263">
        <v>0</v>
      </c>
      <c r="H51" s="263">
        <v>0.4</v>
      </c>
      <c r="I51" s="49">
        <f t="shared" si="1"/>
        <v>5.3866666666666747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>
        <v>180</v>
      </c>
      <c r="B52" s="262">
        <v>241.62</v>
      </c>
      <c r="C52" s="262">
        <v>17</v>
      </c>
      <c r="D52" s="262">
        <v>77.72</v>
      </c>
      <c r="E52" s="263">
        <v>0.6</v>
      </c>
      <c r="F52" s="263">
        <v>0</v>
      </c>
      <c r="G52" s="263">
        <v>0</v>
      </c>
      <c r="H52" s="263">
        <v>0.4</v>
      </c>
      <c r="I52" s="49">
        <f t="shared" si="1"/>
        <v>3.2566666666666606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>
        <v>183</v>
      </c>
      <c r="B53" s="262">
        <v>169.76</v>
      </c>
      <c r="C53" s="262">
        <v>18</v>
      </c>
      <c r="D53" s="262">
        <v>169.76</v>
      </c>
      <c r="E53" s="263">
        <v>0.6</v>
      </c>
      <c r="F53" s="263">
        <v>0</v>
      </c>
      <c r="G53" s="263">
        <v>0</v>
      </c>
      <c r="H53" s="263">
        <v>0.4</v>
      </c>
      <c r="I53" s="49">
        <f t="shared" si="1"/>
        <v>1.9533333333333285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pubescent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66" t="s">
        <v>186</v>
      </c>
      <c r="D60" s="266"/>
      <c r="E60" s="267" t="s">
        <v>187</v>
      </c>
      <c r="F60" s="268"/>
      <c r="G60" s="268"/>
      <c r="H60" s="269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42</v>
      </c>
      <c r="B62" s="60">
        <v>163.26</v>
      </c>
      <c r="C62" s="60">
        <v>1</v>
      </c>
      <c r="D62" s="60">
        <v>43.21</v>
      </c>
      <c r="E62" s="51">
        <v>0.3</v>
      </c>
      <c r="F62" s="51">
        <v>0</v>
      </c>
      <c r="G62" s="51">
        <v>0</v>
      </c>
      <c r="H62" s="51">
        <v>0.7</v>
      </c>
      <c r="I62" s="53">
        <f>IFERROR(B62/A62,"")</f>
        <v>3.887142857142857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50</v>
      </c>
      <c r="B63" s="60">
        <v>195.02</v>
      </c>
      <c r="C63" s="60">
        <v>2</v>
      </c>
      <c r="D63" s="60">
        <v>35.58</v>
      </c>
      <c r="E63" s="51">
        <v>0.3</v>
      </c>
      <c r="F63" s="51">
        <v>0</v>
      </c>
      <c r="G63" s="51">
        <v>0</v>
      </c>
      <c r="H63" s="51">
        <v>0.7</v>
      </c>
      <c r="I63" s="49">
        <f>IF(A63&lt;&gt;0,(B63-(B62-D62))/(A63-A62),"")</f>
        <v>9.3712500000000034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58</v>
      </c>
      <c r="B64" s="60">
        <v>235.87</v>
      </c>
      <c r="C64" s="60">
        <v>3</v>
      </c>
      <c r="D64" s="60">
        <v>44.93</v>
      </c>
      <c r="E64" s="51">
        <v>0.3</v>
      </c>
      <c r="F64" s="51">
        <v>0</v>
      </c>
      <c r="G64" s="51">
        <v>0</v>
      </c>
      <c r="H64" s="51">
        <v>0.7</v>
      </c>
      <c r="I64" s="49">
        <f>IF(A64&lt;&gt;0,(B64-(B63-D63))/(A64-A63),"")</f>
        <v>9.5537500000000009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66</v>
      </c>
      <c r="B65" s="60">
        <v>264.95999999999998</v>
      </c>
      <c r="C65" s="60">
        <v>4</v>
      </c>
      <c r="D65" s="60">
        <v>49.91</v>
      </c>
      <c r="E65" s="51">
        <v>0.6</v>
      </c>
      <c r="F65" s="51">
        <v>0</v>
      </c>
      <c r="G65" s="51">
        <v>0</v>
      </c>
      <c r="H65" s="51">
        <v>0.4</v>
      </c>
      <c r="I65" s="49">
        <f>IF(A65&lt;&gt;0,(B65-(B64-D64))/(A65-A64),"")</f>
        <v>9.2524999999999977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74</v>
      </c>
      <c r="B66" s="60">
        <v>285.98</v>
      </c>
      <c r="C66" s="60">
        <v>5</v>
      </c>
      <c r="D66" s="60">
        <v>47.4</v>
      </c>
      <c r="E66" s="51">
        <v>0.6</v>
      </c>
      <c r="F66" s="51">
        <v>0</v>
      </c>
      <c r="G66" s="51">
        <v>0</v>
      </c>
      <c r="H66" s="51">
        <v>0.4</v>
      </c>
      <c r="I66" s="49">
        <f t="shared" ref="I66:I81" si="2">IF(A66&lt;&gt;0,(B66-(B65-D65))/(A66-A65),"")</f>
        <v>8.8662500000000044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84</v>
      </c>
      <c r="B67" s="60">
        <v>325.35000000000002</v>
      </c>
      <c r="C67" s="60">
        <v>6</v>
      </c>
      <c r="D67" s="60">
        <v>61.47</v>
      </c>
      <c r="E67" s="51">
        <v>0.6</v>
      </c>
      <c r="F67" s="51">
        <v>0</v>
      </c>
      <c r="G67" s="51">
        <v>0</v>
      </c>
      <c r="H67" s="51">
        <v>0.4</v>
      </c>
      <c r="I67" s="49">
        <f t="shared" si="2"/>
        <v>8.6770000000000014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94</v>
      </c>
      <c r="B68" s="60">
        <v>346.79</v>
      </c>
      <c r="C68" s="60">
        <v>7</v>
      </c>
      <c r="D68" s="60">
        <v>61.85</v>
      </c>
      <c r="E68" s="51">
        <v>0.6</v>
      </c>
      <c r="F68" s="51">
        <v>0</v>
      </c>
      <c r="G68" s="51">
        <v>0</v>
      </c>
      <c r="H68" s="51">
        <v>0.4</v>
      </c>
      <c r="I68" s="49">
        <f t="shared" si="2"/>
        <v>8.2910000000000021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104</v>
      </c>
      <c r="B69" s="50">
        <v>365.41</v>
      </c>
      <c r="C69" s="50">
        <v>8</v>
      </c>
      <c r="D69" s="50">
        <v>60.19</v>
      </c>
      <c r="E69" s="51">
        <v>0.6</v>
      </c>
      <c r="F69" s="51">
        <v>0</v>
      </c>
      <c r="G69" s="51">
        <v>0</v>
      </c>
      <c r="H69" s="51">
        <v>0.4</v>
      </c>
      <c r="I69" s="49">
        <f t="shared" si="2"/>
        <v>8.0470000000000024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114</v>
      </c>
      <c r="B70" s="50">
        <v>384.57</v>
      </c>
      <c r="C70" s="50">
        <v>9</v>
      </c>
      <c r="D70" s="50">
        <v>56.07</v>
      </c>
      <c r="E70" s="51">
        <v>0.6</v>
      </c>
      <c r="F70" s="51">
        <v>0</v>
      </c>
      <c r="G70" s="51">
        <v>0</v>
      </c>
      <c r="H70" s="51">
        <v>0.4</v>
      </c>
      <c r="I70" s="49">
        <f t="shared" si="2"/>
        <v>7.9349999999999969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124</v>
      </c>
      <c r="B71" s="50">
        <v>408.42</v>
      </c>
      <c r="C71" s="50">
        <v>10</v>
      </c>
      <c r="D71" s="50">
        <v>52.53</v>
      </c>
      <c r="E71" s="51">
        <v>0.6</v>
      </c>
      <c r="F71" s="51">
        <v>0</v>
      </c>
      <c r="G71" s="51">
        <v>0</v>
      </c>
      <c r="H71" s="51">
        <v>0.4</v>
      </c>
      <c r="I71" s="49">
        <f t="shared" si="2"/>
        <v>7.9920000000000018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134</v>
      </c>
      <c r="B72" s="50">
        <v>436.59</v>
      </c>
      <c r="C72" s="50">
        <v>11</v>
      </c>
      <c r="D72" s="50">
        <v>54.95</v>
      </c>
      <c r="E72" s="51">
        <v>0.6</v>
      </c>
      <c r="F72" s="51">
        <v>0</v>
      </c>
      <c r="G72" s="51">
        <v>0</v>
      </c>
      <c r="H72" s="51">
        <v>0.4</v>
      </c>
      <c r="I72" s="49">
        <f t="shared" si="2"/>
        <v>8.0699999999999985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144</v>
      </c>
      <c r="B73" s="50">
        <v>463.23</v>
      </c>
      <c r="C73" s="50">
        <v>12</v>
      </c>
      <c r="D73" s="50">
        <v>56.01</v>
      </c>
      <c r="E73" s="51">
        <v>0.6</v>
      </c>
      <c r="F73" s="51">
        <v>0</v>
      </c>
      <c r="G73" s="51">
        <v>0</v>
      </c>
      <c r="H73" s="51">
        <v>0.4</v>
      </c>
      <c r="I73" s="49">
        <f t="shared" si="2"/>
        <v>8.1590000000000025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154</v>
      </c>
      <c r="B74" s="50">
        <v>490.47</v>
      </c>
      <c r="C74" s="50">
        <v>13</v>
      </c>
      <c r="D74" s="50">
        <v>55.13</v>
      </c>
      <c r="E74" s="51">
        <v>0.6</v>
      </c>
      <c r="F74" s="51">
        <v>0</v>
      </c>
      <c r="G74" s="51">
        <v>0</v>
      </c>
      <c r="H74" s="51">
        <v>0.4</v>
      </c>
      <c r="I74" s="49">
        <f t="shared" si="2"/>
        <v>8.3249999999999993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164</v>
      </c>
      <c r="B75" s="50">
        <v>519.77</v>
      </c>
      <c r="C75" s="50">
        <v>14</v>
      </c>
      <c r="D75" s="50">
        <v>59.58</v>
      </c>
      <c r="E75" s="51">
        <v>0.6</v>
      </c>
      <c r="F75" s="51">
        <v>0</v>
      </c>
      <c r="G75" s="51">
        <v>0</v>
      </c>
      <c r="H75" s="51">
        <v>0.4</v>
      </c>
      <c r="I75" s="49">
        <f t="shared" si="2"/>
        <v>8.4429999999999943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>
        <v>174</v>
      </c>
      <c r="B76" s="50">
        <v>545.65</v>
      </c>
      <c r="C76" s="50">
        <v>15</v>
      </c>
      <c r="D76" s="50">
        <v>214.77</v>
      </c>
      <c r="E76" s="51">
        <v>0.6</v>
      </c>
      <c r="F76" s="51">
        <v>0</v>
      </c>
      <c r="G76" s="51">
        <v>0</v>
      </c>
      <c r="H76" s="51">
        <v>0.4</v>
      </c>
      <c r="I76" s="49">
        <f t="shared" si="2"/>
        <v>8.5459999999999976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>
        <v>177</v>
      </c>
      <c r="B77" s="50">
        <v>347.04</v>
      </c>
      <c r="C77" s="50">
        <v>16</v>
      </c>
      <c r="D77" s="50">
        <v>115.19</v>
      </c>
      <c r="E77" s="51">
        <v>0.6</v>
      </c>
      <c r="F77" s="51">
        <v>0</v>
      </c>
      <c r="G77" s="51">
        <v>0</v>
      </c>
      <c r="H77" s="51">
        <v>0.4</v>
      </c>
      <c r="I77" s="49">
        <f t="shared" si="2"/>
        <v>5.3866666666666747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>
        <v>180</v>
      </c>
      <c r="B78" s="50">
        <v>241.62</v>
      </c>
      <c r="C78" s="50">
        <v>17</v>
      </c>
      <c r="D78" s="50">
        <v>77.72</v>
      </c>
      <c r="E78" s="51">
        <v>0.6</v>
      </c>
      <c r="F78" s="51">
        <v>0</v>
      </c>
      <c r="G78" s="51">
        <v>0</v>
      </c>
      <c r="H78" s="51">
        <v>0.4</v>
      </c>
      <c r="I78" s="49">
        <f t="shared" si="2"/>
        <v>3.2566666666666606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>
        <v>183</v>
      </c>
      <c r="B79" s="50">
        <v>169.76</v>
      </c>
      <c r="C79" s="50">
        <v>18</v>
      </c>
      <c r="D79" s="50">
        <v>169.76</v>
      </c>
      <c r="E79" s="51">
        <v>0.6</v>
      </c>
      <c r="F79" s="51">
        <v>0</v>
      </c>
      <c r="G79" s="51">
        <v>0</v>
      </c>
      <c r="H79" s="51">
        <v>0.4</v>
      </c>
      <c r="I79" s="49">
        <f t="shared" si="2"/>
        <v>1.9533333333333285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66" t="s">
        <v>186</v>
      </c>
      <c r="D86" s="266"/>
      <c r="E86" s="267" t="s">
        <v>187</v>
      </c>
      <c r="F86" s="268"/>
      <c r="G86" s="268"/>
      <c r="H86" s="269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66" t="s">
        <v>186</v>
      </c>
      <c r="D112" s="266"/>
      <c r="E112" s="267" t="s">
        <v>187</v>
      </c>
      <c r="F112" s="268"/>
      <c r="G112" s="268"/>
      <c r="H112" s="269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66" t="s">
        <v>186</v>
      </c>
      <c r="D138" s="266"/>
      <c r="E138" s="267" t="s">
        <v>187</v>
      </c>
      <c r="F138" s="268"/>
      <c r="G138" s="268"/>
      <c r="H138" s="269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66" t="s">
        <v>186</v>
      </c>
      <c r="D164" s="266"/>
      <c r="E164" s="267" t="s">
        <v>187</v>
      </c>
      <c r="F164" s="268"/>
      <c r="G164" s="268"/>
      <c r="H164" s="269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66" t="s">
        <v>186</v>
      </c>
      <c r="D190" s="266"/>
      <c r="E190" s="267" t="s">
        <v>187</v>
      </c>
      <c r="F190" s="268"/>
      <c r="G190" s="268"/>
      <c r="H190" s="269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66" t="s">
        <v>186</v>
      </c>
      <c r="D216" s="266"/>
      <c r="E216" s="267" t="s">
        <v>187</v>
      </c>
      <c r="F216" s="268"/>
      <c r="G216" s="268"/>
      <c r="H216" s="269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66" t="s">
        <v>186</v>
      </c>
      <c r="D242" s="266"/>
      <c r="E242" s="267" t="s">
        <v>187</v>
      </c>
      <c r="F242" s="268"/>
      <c r="G242" s="268"/>
      <c r="H242" s="269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66" t="s">
        <v>186</v>
      </c>
      <c r="D268" s="266"/>
      <c r="E268" s="267" t="s">
        <v>187</v>
      </c>
      <c r="F268" s="268"/>
      <c r="G268" s="268"/>
      <c r="H268" s="269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6" sqref="G16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0" t="s">
        <v>191</v>
      </c>
      <c r="C2" s="281"/>
      <c r="D2" s="281"/>
      <c r="E2" s="281"/>
      <c r="F2" s="281"/>
      <c r="G2" s="282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9"/>
      <c r="C4" s="279"/>
      <c r="D4" s="279"/>
      <c r="E4" s="279"/>
      <c r="F4" s="279"/>
      <c r="G4" s="279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6" t="s">
        <v>176</v>
      </c>
      <c r="C1" s="287"/>
      <c r="D1" s="287"/>
      <c r="E1" s="287"/>
      <c r="F1" s="287"/>
      <c r="G1" s="287"/>
      <c r="H1" s="288"/>
      <c r="I1" s="283" t="str">
        <f>IF('Données projet'!$B$9="","",'Données projet'!$B$9)</f>
        <v>Chêne sessile</v>
      </c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5"/>
      <c r="AD1" s="284" t="str">
        <f>IF('Données projet'!$B$10="","",'Données projet'!$B$10)</f>
        <v>Chêne pubescent</v>
      </c>
      <c r="AE1" s="284"/>
      <c r="AF1" s="284"/>
      <c r="AG1" s="284"/>
      <c r="AH1" s="284"/>
      <c r="AI1" s="284"/>
      <c r="AJ1" s="284"/>
      <c r="AK1" s="284"/>
      <c r="AL1" s="284"/>
      <c r="AM1" s="284"/>
      <c r="AN1" s="284"/>
      <c r="AO1" s="284"/>
      <c r="AP1" s="284"/>
      <c r="AQ1" s="284"/>
      <c r="AR1" s="284"/>
      <c r="AS1" s="284"/>
      <c r="AT1" s="284"/>
      <c r="AU1" s="284"/>
      <c r="AV1" s="284"/>
      <c r="AW1" s="284"/>
      <c r="AX1" s="285"/>
      <c r="AY1" s="283" t="str">
        <f>IF('Données projet'!$B$11="","",'Données projet'!$B$11)</f>
        <v/>
      </c>
      <c r="AZ1" s="284"/>
      <c r="BA1" s="284"/>
      <c r="BB1" s="284"/>
      <c r="BC1" s="284"/>
      <c r="BD1" s="284"/>
      <c r="BE1" s="284"/>
      <c r="BF1" s="284"/>
      <c r="BG1" s="284"/>
      <c r="BH1" s="284"/>
      <c r="BI1" s="284"/>
      <c r="BJ1" s="284"/>
      <c r="BK1" s="284"/>
      <c r="BL1" s="284"/>
      <c r="BM1" s="284"/>
      <c r="BN1" s="284"/>
      <c r="BO1" s="284"/>
      <c r="BP1" s="284"/>
      <c r="BQ1" s="284"/>
      <c r="BR1" s="284"/>
      <c r="BS1" s="285"/>
      <c r="BT1" s="283" t="str">
        <f>IF('Données projet'!$B$12="","",'Données projet'!$B$12)</f>
        <v/>
      </c>
      <c r="BU1" s="284"/>
      <c r="BV1" s="284"/>
      <c r="BW1" s="284"/>
      <c r="BX1" s="284"/>
      <c r="BY1" s="284"/>
      <c r="BZ1" s="284"/>
      <c r="CA1" s="284"/>
      <c r="CB1" s="284"/>
      <c r="CC1" s="284"/>
      <c r="CD1" s="284"/>
      <c r="CE1" s="284"/>
      <c r="CF1" s="284"/>
      <c r="CG1" s="284"/>
      <c r="CH1" s="284"/>
      <c r="CI1" s="284"/>
      <c r="CJ1" s="284"/>
      <c r="CK1" s="284"/>
      <c r="CL1" s="284"/>
      <c r="CM1" s="284"/>
      <c r="CN1" s="285"/>
      <c r="CO1" s="283" t="str">
        <f>IF('Données projet'!$B$13="","",'Données projet'!$B$13)</f>
        <v/>
      </c>
      <c r="CP1" s="284"/>
      <c r="CQ1" s="284"/>
      <c r="CR1" s="284"/>
      <c r="CS1" s="284"/>
      <c r="CT1" s="284"/>
      <c r="CU1" s="284"/>
      <c r="CV1" s="284"/>
      <c r="CW1" s="284"/>
      <c r="CX1" s="284"/>
      <c r="CY1" s="284"/>
      <c r="CZ1" s="284"/>
      <c r="DA1" s="284"/>
      <c r="DB1" s="284"/>
      <c r="DC1" s="284"/>
      <c r="DD1" s="284"/>
      <c r="DE1" s="284"/>
      <c r="DF1" s="284"/>
      <c r="DG1" s="284"/>
      <c r="DH1" s="284"/>
      <c r="DI1" s="285"/>
      <c r="DJ1" s="283" t="str">
        <f>IF('Données projet'!$B$14="","",'Données projet'!$B$14)</f>
        <v/>
      </c>
      <c r="DK1" s="284"/>
      <c r="DL1" s="284"/>
      <c r="DM1" s="284"/>
      <c r="DN1" s="284"/>
      <c r="DO1" s="284"/>
      <c r="DP1" s="284"/>
      <c r="DQ1" s="284"/>
      <c r="DR1" s="284"/>
      <c r="DS1" s="284"/>
      <c r="DT1" s="284"/>
      <c r="DU1" s="284"/>
      <c r="DV1" s="284"/>
      <c r="DW1" s="284"/>
      <c r="DX1" s="284"/>
      <c r="DY1" s="284"/>
      <c r="DZ1" s="284"/>
      <c r="EA1" s="284"/>
      <c r="EB1" s="284"/>
      <c r="EC1" s="284"/>
      <c r="ED1" s="285"/>
      <c r="EE1" s="283" t="str">
        <f>IF('Données projet'!$B$15="","",'Données projet'!$B$15)</f>
        <v/>
      </c>
      <c r="EF1" s="284"/>
      <c r="EG1" s="284"/>
      <c r="EH1" s="284"/>
      <c r="EI1" s="284"/>
      <c r="EJ1" s="284"/>
      <c r="EK1" s="284"/>
      <c r="EL1" s="284"/>
      <c r="EM1" s="284"/>
      <c r="EN1" s="284"/>
      <c r="EO1" s="284"/>
      <c r="EP1" s="284"/>
      <c r="EQ1" s="284"/>
      <c r="ER1" s="284"/>
      <c r="ES1" s="284"/>
      <c r="ET1" s="284"/>
      <c r="EU1" s="284"/>
      <c r="EV1" s="284"/>
      <c r="EW1" s="284"/>
      <c r="EX1" s="284"/>
      <c r="EY1" s="285"/>
      <c r="EZ1" s="283" t="str">
        <f>IF('Données projet'!$B$16="","",'Données projet'!$B$16)</f>
        <v/>
      </c>
      <c r="FA1" s="284"/>
      <c r="FB1" s="284"/>
      <c r="FC1" s="284"/>
      <c r="FD1" s="284"/>
      <c r="FE1" s="284"/>
      <c r="FF1" s="284"/>
      <c r="FG1" s="284"/>
      <c r="FH1" s="284"/>
      <c r="FI1" s="284"/>
      <c r="FJ1" s="284"/>
      <c r="FK1" s="284"/>
      <c r="FL1" s="284"/>
      <c r="FM1" s="284"/>
      <c r="FN1" s="284"/>
      <c r="FO1" s="284"/>
      <c r="FP1" s="284"/>
      <c r="FQ1" s="284"/>
      <c r="FR1" s="284"/>
      <c r="FS1" s="284"/>
      <c r="FT1" s="285"/>
      <c r="FU1" s="283" t="str">
        <f>IF('Données projet'!$B$17="","",'Données projet'!$B$17)</f>
        <v/>
      </c>
      <c r="FV1" s="284"/>
      <c r="FW1" s="284"/>
      <c r="FX1" s="284"/>
      <c r="FY1" s="284"/>
      <c r="FZ1" s="284"/>
      <c r="GA1" s="284"/>
      <c r="GB1" s="284"/>
      <c r="GC1" s="284"/>
      <c r="GD1" s="284"/>
      <c r="GE1" s="284"/>
      <c r="GF1" s="284"/>
      <c r="GG1" s="284"/>
      <c r="GH1" s="284"/>
      <c r="GI1" s="284"/>
      <c r="GJ1" s="284"/>
      <c r="GK1" s="284"/>
      <c r="GL1" s="284"/>
      <c r="GM1" s="284"/>
      <c r="GN1" s="284"/>
      <c r="GO1" s="285"/>
      <c r="GP1" s="283" t="str">
        <f>IF('Données projet'!$B$18="","",'Données projet'!$B$18)</f>
        <v/>
      </c>
      <c r="GQ1" s="284"/>
      <c r="GR1" s="284"/>
      <c r="GS1" s="284"/>
      <c r="GT1" s="284"/>
      <c r="GU1" s="284"/>
      <c r="GV1" s="284"/>
      <c r="GW1" s="284"/>
      <c r="GX1" s="284"/>
      <c r="GY1" s="284"/>
      <c r="GZ1" s="284"/>
      <c r="HA1" s="284"/>
      <c r="HB1" s="284"/>
      <c r="HC1" s="284"/>
      <c r="HD1" s="284"/>
      <c r="HE1" s="284"/>
      <c r="HF1" s="284"/>
      <c r="HG1" s="284"/>
      <c r="HH1" s="284"/>
      <c r="HI1" s="284"/>
      <c r="HJ1" s="285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581.88778927327667</v>
      </c>
      <c r="T3" s="59">
        <f>IF('Données projet'!E9&gt;30,$R$33-$H$33,LOOKUP('Données projet'!$E$9,$A$3:$A$203,R3:R203)-LOOKUP('Données projet'!$E$9,$A$3:$A$203,$H$3:$H$203))</f>
        <v>269.67340993773422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646.50767193970182</v>
      </c>
      <c r="AO3" s="59">
        <f>IF('Données projet'!E10&gt;30,$AM$33-$H$33,LOOKUP('Données projet'!$E$10,$A$3:$A$203,AM3:AM203)-LOOKUP('Données projet'!$E$10,$A$3:$A$203,$H$3:$H$203))</f>
        <v>297.06786598620607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3.887142857142857</v>
      </c>
      <c r="N4" s="13">
        <f>IF('Données projet'!$A$36&gt;35,N3+M4-V3,IF(A4&lt;'Données projet'!$A$36,$K$205^A4,IF(A4='Données projet'!$A$36,'Données projet'!$B$36,N3+M4-V3)))</f>
        <v>3.887142857142857</v>
      </c>
      <c r="O4" s="13">
        <f>N4*VLOOKUP('Données projet'!$B$9,Paramètres!$A$1:$I$89,3,0)*VLOOKUP('Données projet'!$B$9,Paramètres!$A$1:$I$89,5,0)</f>
        <v>3.5170868571428571</v>
      </c>
      <c r="P4" s="13">
        <f>EXP(-1.0587+0.8836*LN(O4)+0.284)</f>
        <v>1.400101260019349</v>
      </c>
      <c r="Q4" s="20">
        <f t="shared" ref="Q4:Q34" si="2">(O4+P4)*0.475*44/12</f>
        <v>8.5641026373908407</v>
      </c>
      <c r="R4" s="59">
        <f t="shared" si="0"/>
        <v>266.45299152627967</v>
      </c>
      <c r="S4" s="59">
        <f ca="1">AVERAGE(OFFSET($R$3,0,0,'Données projet'!$E$9+1,1))-AVERAGE(OFFSET($H$3,0,0,'Données projet'!$E$9+1,1))</f>
        <v>581.88778927327667</v>
      </c>
      <c r="T4" s="59">
        <f>$T$3</f>
        <v>269.67340993773422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3.887142857142857</v>
      </c>
      <c r="AI4" s="13">
        <f>IF('Données projet'!$A$62&gt;35,AI3+AH4-AQ3,IF(A4&lt;'Données projet'!$A$62,$AF$205^A4,IF(A4='Données projet'!$A$62,'Données projet'!$B$62,AI3+AH4-AQ3)))</f>
        <v>3.887142857142857</v>
      </c>
      <c r="AJ4" s="13">
        <f>AI4*VLOOKUP('Données projet'!$B$10,Paramètres!$A$1:$I$89,3,0)*VLOOKUP('Données projet'!$B$10,Paramètres!$A$1:$I$89,5,0)</f>
        <v>3.9415628571428569</v>
      </c>
      <c r="AK4" s="13">
        <f>EXP(-1.0587+0.8836*LN(AJ4)+0.284)</f>
        <v>1.5484055284644385</v>
      </c>
      <c r="AL4" s="20">
        <f t="shared" ref="AL4:AL67" si="4">(AJ4+AK4)*0.475*44/12</f>
        <v>9.5616949382660383</v>
      </c>
      <c r="AM4" s="59">
        <f t="shared" ref="AM4:AM67" si="5">AL4+(AD4+AE4)*44/12</f>
        <v>267.4505838271549</v>
      </c>
      <c r="AN4" s="59">
        <f ca="1">AVERAGE(OFFSET($AM$3,0,0,'Données projet'!$E$10+1,1))-AVERAGE(OFFSET($H$3,0,0,'Données projet'!$E$10+1,1))</f>
        <v>646.50767193970182</v>
      </c>
      <c r="AO4" s="59">
        <f>$AO$3</f>
        <v>297.06786598620607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3.887142857142857</v>
      </c>
      <c r="N5" s="13">
        <f>IF('Données projet'!$A$36&gt;35,N4+M5-V4,IF(A5&lt;'Données projet'!$A$36,$K$205^A5,IF(A5='Données projet'!$A$36,'Données projet'!$B$36,N4+M5-V4)))</f>
        <v>7.774285714285714</v>
      </c>
      <c r="O5" s="13">
        <f>N5*VLOOKUP('Données projet'!$B$9,Paramètres!$A$1:$I$89,3,0)*VLOOKUP('Données projet'!$B$9,Paramètres!$A$1:$I$89,5,0)</f>
        <v>7.0341737142857141</v>
      </c>
      <c r="P5" s="13">
        <f t="shared" ref="P5:P68" si="33">EXP(-1.0587+0.8836*LN(O5)+0.284)</f>
        <v>2.5831495528484112</v>
      </c>
      <c r="Q5" s="20">
        <f t="shared" si="2"/>
        <v>16.750171356925268</v>
      </c>
      <c r="R5" s="59">
        <f t="shared" si="0"/>
        <v>275.86128246803639</v>
      </c>
      <c r="S5" s="59">
        <f ca="1">AVERAGE(OFFSET($R$3,0,0,'Données projet'!$E$9+1,1))-AVERAGE(OFFSET($H$3,0,0,'Données projet'!$E$9+1,1))</f>
        <v>581.88778927327667</v>
      </c>
      <c r="T5" s="59">
        <f t="shared" ref="T5:T68" si="34">$T$3</f>
        <v>269.67340993773422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3.887142857142857</v>
      </c>
      <c r="AI5" s="13">
        <f>IF('Données projet'!$A$62&gt;35,AI4+AH5-AQ4,IF(A5&lt;'Données projet'!$A$62,$AF$205^A5,IF(A5='Données projet'!$A$62,'Données projet'!$B$62,AI4+AH5-AQ4)))</f>
        <v>7.774285714285714</v>
      </c>
      <c r="AJ5" s="13">
        <f>AI5*VLOOKUP('Données projet'!$B$10,Paramètres!$A$1:$I$89,3,0)*VLOOKUP('Données projet'!$B$10,Paramètres!$A$1:$I$89,5,0)</f>
        <v>7.8831257142857138</v>
      </c>
      <c r="AK5" s="13">
        <f t="shared" ref="AK5:AK68" si="35">EXP(-1.0587+0.8836*LN(AJ5)+0.284)</f>
        <v>2.8567669801437421</v>
      </c>
      <c r="AL5" s="20">
        <f t="shared" si="4"/>
        <v>18.705313109464633</v>
      </c>
      <c r="AM5" s="59">
        <f t="shared" si="5"/>
        <v>277.81642422057575</v>
      </c>
      <c r="AN5" s="59">
        <f ca="1">AVERAGE(OFFSET($AM$3,0,0,'Données projet'!$E$10+1,1))-AVERAGE(OFFSET($H$3,0,0,'Données projet'!$E$10+1,1))</f>
        <v>646.50767193970182</v>
      </c>
      <c r="AO5" s="59">
        <f t="shared" ref="AO5:AO68" si="36">$AO$3</f>
        <v>297.06786598620607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3.887142857142857</v>
      </c>
      <c r="N6" s="13">
        <f>IF('Données projet'!$A$36&gt;35,N5+M6-V5,IF(A6&lt;'Données projet'!$A$36,$K$205^A6,IF(A6='Données projet'!$A$36,'Données projet'!$B$36,N5+M6-V5)))</f>
        <v>11.661428571428571</v>
      </c>
      <c r="O6" s="13">
        <f>N6*VLOOKUP('Données projet'!$B$9,Paramètres!$A$1:$I$89,3,0)*VLOOKUP('Données projet'!$B$9,Paramètres!$A$1:$I$89,5,0)</f>
        <v>10.551260571428571</v>
      </c>
      <c r="P6" s="13">
        <f t="shared" si="33"/>
        <v>3.6961006326523931</v>
      </c>
      <c r="Q6" s="20">
        <f t="shared" si="2"/>
        <v>24.814154097107675</v>
      </c>
      <c r="R6" s="59">
        <f t="shared" si="0"/>
        <v>285.147487430441</v>
      </c>
      <c r="S6" s="59">
        <f ca="1">AVERAGE(OFFSET($R$3,0,0,'Données projet'!$E$9+1,1))-AVERAGE(OFFSET($H$3,0,0,'Données projet'!$E$9+1,1))</f>
        <v>581.88778927327667</v>
      </c>
      <c r="T6" s="59">
        <f t="shared" si="34"/>
        <v>269.67340993773422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3.887142857142857</v>
      </c>
      <c r="AI6" s="13">
        <f>IF('Données projet'!$A$62&gt;35,AI5+AH6-AQ5,IF(A6&lt;'Données projet'!$A$62,$AF$205^A6,IF(A6='Données projet'!$A$62,'Données projet'!$B$62,AI5+AH6-AQ5)))</f>
        <v>11.661428571428571</v>
      </c>
      <c r="AJ6" s="13">
        <f>AI6*VLOOKUP('Données projet'!$B$10,Paramètres!$A$1:$I$89,3,0)*VLOOKUP('Données projet'!$B$10,Paramètres!$A$1:$I$89,5,0)</f>
        <v>11.824688571428572</v>
      </c>
      <c r="AK6" s="13">
        <f t="shared" si="35"/>
        <v>4.0876062444803347</v>
      </c>
      <c r="AL6" s="20">
        <f t="shared" si="4"/>
        <v>27.713913471041348</v>
      </c>
      <c r="AM6" s="59">
        <f t="shared" si="5"/>
        <v>288.04724680437465</v>
      </c>
      <c r="AN6" s="59">
        <f ca="1">AVERAGE(OFFSET($AM$3,0,0,'Données projet'!$E$10+1,1))-AVERAGE(OFFSET($H$3,0,0,'Données projet'!$E$10+1,1))</f>
        <v>646.50767193970182</v>
      </c>
      <c r="AO6" s="59">
        <f t="shared" si="36"/>
        <v>297.06786598620607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3.887142857142857</v>
      </c>
      <c r="N7" s="13">
        <f>IF('Données projet'!$A$36&gt;35,N6+M7-V6,IF(A7&lt;'Données projet'!$A$36,$K$205^A7,IF(A7='Données projet'!$A$36,'Données projet'!$B$36,N6+M7-V6)))</f>
        <v>15.548571428571428</v>
      </c>
      <c r="O7" s="13">
        <f>N7*VLOOKUP('Données projet'!$B$9,Paramètres!$A$1:$I$89,3,0)*VLOOKUP('Données projet'!$B$9,Paramètres!$A$1:$I$89,5,0)</f>
        <v>14.068347428571428</v>
      </c>
      <c r="P7" s="13">
        <f t="shared" si="33"/>
        <v>4.7658421593654818</v>
      </c>
      <c r="Q7" s="20">
        <f t="shared" si="2"/>
        <v>32.802880198990124</v>
      </c>
      <c r="R7" s="59">
        <f t="shared" si="0"/>
        <v>294.35843575454567</v>
      </c>
      <c r="S7" s="59">
        <f ca="1">AVERAGE(OFFSET($R$3,0,0,'Données projet'!$E$9+1,1))-AVERAGE(OFFSET($H$3,0,0,'Données projet'!$E$9+1,1))</f>
        <v>581.88778927327667</v>
      </c>
      <c r="T7" s="59">
        <f t="shared" si="34"/>
        <v>269.67340993773422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3.887142857142857</v>
      </c>
      <c r="AI7" s="13">
        <f>IF('Données projet'!$A$62&gt;35,AI6+AH7-AQ6,IF(A7&lt;'Données projet'!$A$62,$AF$205^A7,IF(A7='Données projet'!$A$62,'Données projet'!$B$62,AI6+AH7-AQ6)))</f>
        <v>15.548571428571428</v>
      </c>
      <c r="AJ7" s="13">
        <f>AI7*VLOOKUP('Données projet'!$B$10,Paramètres!$A$1:$I$89,3,0)*VLOOKUP('Données projet'!$B$10,Paramètres!$A$1:$I$89,5,0)</f>
        <v>15.766251428571428</v>
      </c>
      <c r="AK7" s="13">
        <f t="shared" si="35"/>
        <v>5.2706590287965538</v>
      </c>
      <c r="AL7" s="20">
        <f t="shared" si="4"/>
        <v>36.63928571324923</v>
      </c>
      <c r="AM7" s="59">
        <f t="shared" si="5"/>
        <v>298.19484126880479</v>
      </c>
      <c r="AN7" s="59">
        <f ca="1">AVERAGE(OFFSET($AM$3,0,0,'Données projet'!$E$10+1,1))-AVERAGE(OFFSET($H$3,0,0,'Données projet'!$E$10+1,1))</f>
        <v>646.50767193970182</v>
      </c>
      <c r="AO7" s="59">
        <f t="shared" si="36"/>
        <v>297.06786598620607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3.887142857142857</v>
      </c>
      <c r="N8" s="13">
        <f>IF('Données projet'!$A$36&gt;35,N7+M8-V7,IF(A8&lt;'Données projet'!$A$36,$K$205^A8,IF(A8='Données projet'!$A$36,'Données projet'!$B$36,N7+M8-V7)))</f>
        <v>19.435714285714283</v>
      </c>
      <c r="O8" s="13">
        <f>N8*VLOOKUP('Données projet'!$B$9,Paramètres!$A$1:$I$89,3,0)*VLOOKUP('Données projet'!$B$9,Paramètres!$A$1:$I$89,5,0)</f>
        <v>17.585434285714282</v>
      </c>
      <c r="P8" s="13">
        <f t="shared" si="33"/>
        <v>5.804560501905633</v>
      </c>
      <c r="Q8" s="20">
        <f t="shared" si="2"/>
        <v>40.737574255104683</v>
      </c>
      <c r="R8" s="59">
        <f t="shared" si="0"/>
        <v>303.51535203288245</v>
      </c>
      <c r="S8" s="59">
        <f ca="1">AVERAGE(OFFSET($R$3,0,0,'Données projet'!$E$9+1,1))-AVERAGE(OFFSET($H$3,0,0,'Données projet'!$E$9+1,1))</f>
        <v>581.88778927327667</v>
      </c>
      <c r="T8" s="59">
        <f t="shared" si="34"/>
        <v>269.67340993773422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3.887142857142857</v>
      </c>
      <c r="AI8" s="13">
        <f>IF('Données projet'!$A$62&gt;35,AI7+AH8-AQ7,IF(A8&lt;'Données projet'!$A$62,$AF$205^A8,IF(A8='Données projet'!$A$62,'Données projet'!$B$62,AI7+AH8-AQ7)))</f>
        <v>19.435714285714283</v>
      </c>
      <c r="AJ8" s="13">
        <f>AI8*VLOOKUP('Données projet'!$B$10,Paramètres!$A$1:$I$89,3,0)*VLOOKUP('Données projet'!$B$10,Paramètres!$A$1:$I$89,5,0)</f>
        <v>19.707814285714285</v>
      </c>
      <c r="AK8" s="13">
        <f t="shared" si="35"/>
        <v>6.4194025304518281</v>
      </c>
      <c r="AL8" s="20">
        <f t="shared" si="4"/>
        <v>45.504902621489315</v>
      </c>
      <c r="AM8" s="59">
        <f t="shared" si="5"/>
        <v>308.28268039926706</v>
      </c>
      <c r="AN8" s="59">
        <f ca="1">AVERAGE(OFFSET($AM$3,0,0,'Données projet'!$E$10+1,1))-AVERAGE(OFFSET($H$3,0,0,'Données projet'!$E$10+1,1))</f>
        <v>646.50767193970182</v>
      </c>
      <c r="AO8" s="59">
        <f t="shared" si="36"/>
        <v>297.06786598620607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3.887142857142857</v>
      </c>
      <c r="N9" s="13">
        <f>IF('Données projet'!$A$36&gt;35,N8+M9-V8,IF(A9&lt;'Données projet'!$A$36,$K$205^A9,IF(A9='Données projet'!$A$36,'Données projet'!$B$36,N8+M9-V8)))</f>
        <v>23.322857142857139</v>
      </c>
      <c r="O9" s="13">
        <f>N9*VLOOKUP('Données projet'!$B$9,Paramètres!$A$1:$I$89,3,0)*VLOOKUP('Données projet'!$B$9,Paramètres!$A$1:$I$89,5,0)</f>
        <v>21.102521142857139</v>
      </c>
      <c r="P9" s="13">
        <f t="shared" si="33"/>
        <v>6.8192072738987575</v>
      </c>
      <c r="Q9" s="20">
        <f t="shared" si="2"/>
        <v>48.630343659183183</v>
      </c>
      <c r="R9" s="59">
        <f t="shared" si="0"/>
        <v>312.63034365918315</v>
      </c>
      <c r="S9" s="59">
        <f ca="1">AVERAGE(OFFSET($R$3,0,0,'Données projet'!$E$9+1,1))-AVERAGE(OFFSET($H$3,0,0,'Données projet'!$E$9+1,1))</f>
        <v>581.88778927327667</v>
      </c>
      <c r="T9" s="59">
        <f t="shared" si="34"/>
        <v>269.67340993773422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3.887142857142857</v>
      </c>
      <c r="AI9" s="13">
        <f>IF('Données projet'!$A$62&gt;35,AI8+AH9-AQ8,IF(A9&lt;'Données projet'!$A$62,$AF$205^A9,IF(A9='Données projet'!$A$62,'Données projet'!$B$62,AI8+AH9-AQ8)))</f>
        <v>23.322857142857139</v>
      </c>
      <c r="AJ9" s="13">
        <f>AI9*VLOOKUP('Données projet'!$B$10,Paramètres!$A$1:$I$89,3,0)*VLOOKUP('Données projet'!$B$10,Paramètres!$A$1:$I$89,5,0)</f>
        <v>23.649377142857141</v>
      </c>
      <c r="AK9" s="13">
        <f t="shared" si="35"/>
        <v>7.5415247055086745</v>
      </c>
      <c r="AL9" s="20">
        <f t="shared" si="4"/>
        <v>54.324154052570456</v>
      </c>
      <c r="AM9" s="59">
        <f t="shared" si="5"/>
        <v>318.32415405257046</v>
      </c>
      <c r="AN9" s="59">
        <f ca="1">AVERAGE(OFFSET($AM$3,0,0,'Données projet'!$E$10+1,1))-AVERAGE(OFFSET($H$3,0,0,'Données projet'!$E$10+1,1))</f>
        <v>646.50767193970182</v>
      </c>
      <c r="AO9" s="59">
        <f t="shared" si="36"/>
        <v>297.06786598620607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3.887142857142857</v>
      </c>
      <c r="N10" s="13">
        <f>IF('Données projet'!$A$36&gt;35,N9+M10-V9,IF(A10&lt;'Données projet'!$A$36,$K$205^A10,IF(A10='Données projet'!$A$36,'Données projet'!$B$36,N9+M10-V9)))</f>
        <v>27.209999999999994</v>
      </c>
      <c r="O10" s="13">
        <f>N10*VLOOKUP('Données projet'!$B$9,Paramètres!$A$1:$I$89,3,0)*VLOOKUP('Données projet'!$B$9,Paramètres!$A$1:$I$89,5,0)</f>
        <v>24.619607999999992</v>
      </c>
      <c r="P10" s="13">
        <f t="shared" si="33"/>
        <v>7.8142639118614152</v>
      </c>
      <c r="Q10" s="20">
        <f t="shared" si="2"/>
        <v>56.488993579825284</v>
      </c>
      <c r="R10" s="59">
        <f t="shared" si="0"/>
        <v>321.71121580204749</v>
      </c>
      <c r="S10" s="59">
        <f ca="1">AVERAGE(OFFSET($R$3,0,0,'Données projet'!$E$9+1,1))-AVERAGE(OFFSET($H$3,0,0,'Données projet'!$E$9+1,1))</f>
        <v>581.88778927327667</v>
      </c>
      <c r="T10" s="59">
        <f t="shared" si="34"/>
        <v>269.67340993773422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3.887142857142857</v>
      </c>
      <c r="AI10" s="13">
        <f>IF('Données projet'!$A$62&gt;35,AI9+AH10-AQ9,IF(A10&lt;'Données projet'!$A$62,$AF$205^A10,IF(A10='Données projet'!$A$62,'Données projet'!$B$62,AI9+AH10-AQ9)))</f>
        <v>27.209999999999994</v>
      </c>
      <c r="AJ10" s="13">
        <f>AI10*VLOOKUP('Données projet'!$B$10,Paramètres!$A$1:$I$89,3,0)*VLOOKUP('Données projet'!$B$10,Paramètres!$A$1:$I$89,5,0)</f>
        <v>27.590939999999993</v>
      </c>
      <c r="AK10" s="13">
        <f t="shared" si="35"/>
        <v>8.6419816819814557</v>
      </c>
      <c r="AL10" s="20">
        <f t="shared" si="4"/>
        <v>63.105671929451027</v>
      </c>
      <c r="AM10" s="59">
        <f t="shared" si="5"/>
        <v>328.32789415167326</v>
      </c>
      <c r="AN10" s="59">
        <f ca="1">AVERAGE(OFFSET($AM$3,0,0,'Données projet'!$E$10+1,1))-AVERAGE(OFFSET($H$3,0,0,'Données projet'!$E$10+1,1))</f>
        <v>646.50767193970182</v>
      </c>
      <c r="AO10" s="59">
        <f t="shared" si="36"/>
        <v>297.06786598620607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3.887142857142857</v>
      </c>
      <c r="N11" s="13">
        <f>IF('Données projet'!$A$36&gt;35,N10+M11-V10,IF(A11&lt;'Données projet'!$A$36,$K$205^A11,IF(A11='Données projet'!$A$36,'Données projet'!$B$36,N10+M11-V10)))</f>
        <v>31.097142857142849</v>
      </c>
      <c r="O11" s="13">
        <f>N11*VLOOKUP('Données projet'!$B$9,Paramètres!$A$1:$I$89,3,0)*VLOOKUP('Données projet'!$B$9,Paramètres!$A$1:$I$89,5,0)</f>
        <v>28.136694857142849</v>
      </c>
      <c r="P11" s="13">
        <f t="shared" si="33"/>
        <v>8.792851913254415</v>
      </c>
      <c r="Q11" s="20">
        <f t="shared" si="2"/>
        <v>64.318960625108559</v>
      </c>
      <c r="R11" s="59">
        <f t="shared" si="0"/>
        <v>330.76340506955302</v>
      </c>
      <c r="S11" s="59">
        <f ca="1">AVERAGE(OFFSET($R$3,0,0,'Données projet'!$E$9+1,1))-AVERAGE(OFFSET($H$3,0,0,'Données projet'!$E$9+1,1))</f>
        <v>581.88778927327667</v>
      </c>
      <c r="T11" s="59">
        <f t="shared" si="34"/>
        <v>269.67340993773422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3.887142857142857</v>
      </c>
      <c r="AI11" s="13">
        <f>IF('Données projet'!$A$62&gt;35,AI10+AH11-AQ10,IF(A11&lt;'Données projet'!$A$62,$AF$205^A11,IF(A11='Données projet'!$A$62,'Données projet'!$B$62,AI10+AH11-AQ10)))</f>
        <v>31.097142857142849</v>
      </c>
      <c r="AJ11" s="13">
        <f>AI11*VLOOKUP('Données projet'!$B$10,Paramètres!$A$1:$I$89,3,0)*VLOOKUP('Données projet'!$B$10,Paramètres!$A$1:$I$89,5,0)</f>
        <v>31.532502857142852</v>
      </c>
      <c r="AK11" s="13">
        <f t="shared" si="35"/>
        <v>9.7242255986999844</v>
      </c>
      <c r="AL11" s="20">
        <f t="shared" si="4"/>
        <v>71.855468727259591</v>
      </c>
      <c r="AM11" s="59">
        <f t="shared" si="5"/>
        <v>338.29991317170402</v>
      </c>
      <c r="AN11" s="59">
        <f ca="1">AVERAGE(OFFSET($AM$3,0,0,'Données projet'!$E$10+1,1))-AVERAGE(OFFSET($H$3,0,0,'Données projet'!$E$10+1,1))</f>
        <v>646.50767193970182</v>
      </c>
      <c r="AO11" s="59">
        <f t="shared" si="36"/>
        <v>297.06786598620607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3.887142857142857</v>
      </c>
      <c r="N12" s="13">
        <f>IF('Données projet'!$A$36&gt;35,N11+M12-V11,IF(A12&lt;'Données projet'!$A$36,$K$205^A12,IF(A12='Données projet'!$A$36,'Données projet'!$B$36,N11+M12-V11)))</f>
        <v>34.984285714285704</v>
      </c>
      <c r="O12" s="13">
        <f>N12*VLOOKUP('Données projet'!$B$9,Paramètres!$A$1:$I$89,3,0)*VLOOKUP('Données projet'!$B$9,Paramètres!$A$1:$I$89,5,0)</f>
        <v>31.653781714285703</v>
      </c>
      <c r="P12" s="13">
        <f t="shared" si="33"/>
        <v>9.757265618420071</v>
      </c>
      <c r="Q12" s="20">
        <f t="shared" si="2"/>
        <v>72.124240771129223</v>
      </c>
      <c r="R12" s="59">
        <f t="shared" si="0"/>
        <v>339.79090743779591</v>
      </c>
      <c r="S12" s="59">
        <f ca="1">AVERAGE(OFFSET($R$3,0,0,'Données projet'!$E$9+1,1))-AVERAGE(OFFSET($H$3,0,0,'Données projet'!$E$9+1,1))</f>
        <v>581.88778927327667</v>
      </c>
      <c r="T12" s="59">
        <f t="shared" si="34"/>
        <v>269.67340993773422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3.887142857142857</v>
      </c>
      <c r="AI12" s="13">
        <f>IF('Données projet'!$A$62&gt;35,AI11+AH12-AQ11,IF(A12&lt;'Données projet'!$A$62,$AF$205^A12,IF(A12='Données projet'!$A$62,'Données projet'!$B$62,AI11+AH12-AQ11)))</f>
        <v>34.984285714285704</v>
      </c>
      <c r="AJ12" s="13">
        <f>AI12*VLOOKUP('Données projet'!$B$10,Paramètres!$A$1:$I$89,3,0)*VLOOKUP('Données projet'!$B$10,Paramètres!$A$1:$I$89,5,0)</f>
        <v>35.474065714285707</v>
      </c>
      <c r="AK12" s="13">
        <f t="shared" si="35"/>
        <v>10.790793821618898</v>
      </c>
      <c r="AL12" s="20">
        <f t="shared" si="4"/>
        <v>80.577963691700518</v>
      </c>
      <c r="AM12" s="59">
        <f t="shared" si="5"/>
        <v>348.2446303583672</v>
      </c>
      <c r="AN12" s="59">
        <f ca="1">AVERAGE(OFFSET($AM$3,0,0,'Données projet'!$E$10+1,1))-AVERAGE(OFFSET($H$3,0,0,'Données projet'!$E$10+1,1))</f>
        <v>646.50767193970182</v>
      </c>
      <c r="AO12" s="59">
        <f t="shared" si="36"/>
        <v>297.06786598620607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3.887142857142857</v>
      </c>
      <c r="N13" s="13">
        <f>IF('Données projet'!$A$36&gt;35,N12+M13-V12,IF(A13&lt;'Données projet'!$A$36,$K$205^A13,IF(A13='Données projet'!$A$36,'Données projet'!$B$36,N12+M13-V12)))</f>
        <v>38.871428571428559</v>
      </c>
      <c r="O13" s="13">
        <f>N13*VLOOKUP('Données projet'!$B$9,Paramètres!$A$1:$I$89,3,0)*VLOOKUP('Données projet'!$B$9,Paramètres!$A$1:$I$89,5,0)</f>
        <v>35.170868571428556</v>
      </c>
      <c r="P13" s="13">
        <f t="shared" si="33"/>
        <v>10.709259603674569</v>
      </c>
      <c r="Q13" s="20">
        <f t="shared" si="2"/>
        <v>79.90788990497127</v>
      </c>
      <c r="R13" s="59">
        <f t="shared" si="0"/>
        <v>348.79677879386014</v>
      </c>
      <c r="S13" s="59">
        <f ca="1">AVERAGE(OFFSET($R$3,0,0,'Données projet'!$E$9+1,1))-AVERAGE(OFFSET($H$3,0,0,'Données projet'!$E$9+1,1))</f>
        <v>581.88778927327667</v>
      </c>
      <c r="T13" s="59">
        <f t="shared" si="34"/>
        <v>269.67340993773422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3.887142857142857</v>
      </c>
      <c r="AI13" s="13">
        <f>IF('Données projet'!$A$62&gt;35,AI12+AH13-AQ12,IF(A13&lt;'Données projet'!$A$62,$AF$205^A13,IF(A13='Données projet'!$A$62,'Données projet'!$B$62,AI12+AH13-AQ12)))</f>
        <v>38.871428571428559</v>
      </c>
      <c r="AJ13" s="13">
        <f>AI13*VLOOKUP('Données projet'!$B$10,Paramètres!$A$1:$I$89,3,0)*VLOOKUP('Données projet'!$B$10,Paramètres!$A$1:$I$89,5,0)</f>
        <v>39.415628571428563</v>
      </c>
      <c r="AK13" s="13">
        <f t="shared" si="35"/>
        <v>11.843626778724154</v>
      </c>
      <c r="AL13" s="20">
        <f t="shared" si="4"/>
        <v>89.276536401515969</v>
      </c>
      <c r="AM13" s="59">
        <f t="shared" si="5"/>
        <v>358.16542529040481</v>
      </c>
      <c r="AN13" s="59">
        <f ca="1">AVERAGE(OFFSET($AM$3,0,0,'Données projet'!$E$10+1,1))-AVERAGE(OFFSET($H$3,0,0,'Données projet'!$E$10+1,1))</f>
        <v>646.50767193970182</v>
      </c>
      <c r="AO13" s="59">
        <f t="shared" si="36"/>
        <v>297.06786598620607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3.887142857142857</v>
      </c>
      <c r="N14" s="13">
        <f>IF('Données projet'!$A$36&gt;35,N13+M14-V13,IF(A14&lt;'Données projet'!$A$36,$K$205^A14,IF(A14='Données projet'!$A$36,'Données projet'!$B$36,N13+M14-V13)))</f>
        <v>42.758571428571415</v>
      </c>
      <c r="O14" s="13">
        <f>N14*VLOOKUP('Données projet'!$B$9,Paramètres!$A$1:$I$89,3,0)*VLOOKUP('Données projet'!$B$9,Paramètres!$A$1:$I$89,5,0)</f>
        <v>38.687955428571414</v>
      </c>
      <c r="P14" s="13">
        <f t="shared" si="33"/>
        <v>11.650217223542473</v>
      </c>
      <c r="Q14" s="20">
        <f t="shared" si="2"/>
        <v>87.672317369098337</v>
      </c>
      <c r="R14" s="59">
        <f t="shared" si="0"/>
        <v>357.78342848020947</v>
      </c>
      <c r="S14" s="59">
        <f ca="1">AVERAGE(OFFSET($R$3,0,0,'Données projet'!$E$9+1,1))-AVERAGE(OFFSET($H$3,0,0,'Données projet'!$E$9+1,1))</f>
        <v>581.88778927327667</v>
      </c>
      <c r="T14" s="59">
        <f t="shared" si="34"/>
        <v>269.67340993773422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3.887142857142857</v>
      </c>
      <c r="AI14" s="13">
        <f>IF('Données projet'!$A$62&gt;35,AI13+AH14-AQ13,IF(A14&lt;'Données projet'!$A$62,$AF$205^A14,IF(A14='Données projet'!$A$62,'Données projet'!$B$62,AI13+AH14-AQ13)))</f>
        <v>42.758571428571415</v>
      </c>
      <c r="AJ14" s="13">
        <f>AI14*VLOOKUP('Données projet'!$B$10,Paramètres!$A$1:$I$89,3,0)*VLOOKUP('Données projet'!$B$10,Paramètres!$A$1:$I$89,5,0)</f>
        <v>43.357191428571419</v>
      </c>
      <c r="AK14" s="13">
        <f t="shared" si="35"/>
        <v>12.884254354928219</v>
      </c>
      <c r="AL14" s="20">
        <f t="shared" si="4"/>
        <v>97.953851406261848</v>
      </c>
      <c r="AM14" s="59">
        <f t="shared" si="5"/>
        <v>368.06496251737298</v>
      </c>
      <c r="AN14" s="59">
        <f ca="1">AVERAGE(OFFSET($AM$3,0,0,'Données projet'!$E$10+1,1))-AVERAGE(OFFSET($H$3,0,0,'Données projet'!$E$10+1,1))</f>
        <v>646.50767193970182</v>
      </c>
      <c r="AO14" s="59">
        <f t="shared" si="36"/>
        <v>297.06786598620607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3.887142857142857</v>
      </c>
      <c r="N15" s="13">
        <f>IF('Données projet'!$A$36&gt;35,N14+M15-V14,IF(A15&lt;'Données projet'!$A$36,$K$205^A15,IF(A15='Données projet'!$A$36,'Données projet'!$B$36,N14+M15-V14)))</f>
        <v>46.64571428571427</v>
      </c>
      <c r="O15" s="13">
        <f>N15*VLOOKUP('Données projet'!$B$9,Paramètres!$A$1:$I$89,3,0)*VLOOKUP('Données projet'!$B$9,Paramètres!$A$1:$I$89,5,0)</f>
        <v>42.205042285714271</v>
      </c>
      <c r="P15" s="13">
        <f t="shared" si="33"/>
        <v>12.581255887241159</v>
      </c>
      <c r="Q15" s="20">
        <f t="shared" si="2"/>
        <v>95.419469317897367</v>
      </c>
      <c r="R15" s="59">
        <f t="shared" si="0"/>
        <v>366.7528026512307</v>
      </c>
      <c r="S15" s="59">
        <f ca="1">AVERAGE(OFFSET($R$3,0,0,'Données projet'!$E$9+1,1))-AVERAGE(OFFSET($H$3,0,0,'Données projet'!$E$9+1,1))</f>
        <v>581.88778927327667</v>
      </c>
      <c r="T15" s="59">
        <f t="shared" si="34"/>
        <v>269.67340993773422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3.887142857142857</v>
      </c>
      <c r="AI15" s="13">
        <f>IF('Données projet'!$A$62&gt;35,AI14+AH15-AQ14,IF(A15&lt;'Données projet'!$A$62,$AF$205^A15,IF(A15='Données projet'!$A$62,'Données projet'!$B$62,AI14+AH15-AQ14)))</f>
        <v>46.64571428571427</v>
      </c>
      <c r="AJ15" s="13">
        <f>AI15*VLOOKUP('Données projet'!$B$10,Paramètres!$A$1:$I$89,3,0)*VLOOKUP('Données projet'!$B$10,Paramètres!$A$1:$I$89,5,0)</f>
        <v>47.298754285714274</v>
      </c>
      <c r="AK15" s="13">
        <f t="shared" si="35"/>
        <v>13.913912319856609</v>
      </c>
      <c r="AL15" s="20">
        <f t="shared" si="4"/>
        <v>106.6120610047026</v>
      </c>
      <c r="AM15" s="59">
        <f t="shared" si="5"/>
        <v>377.9453943380359</v>
      </c>
      <c r="AN15" s="59">
        <f ca="1">AVERAGE(OFFSET($AM$3,0,0,'Données projet'!$E$10+1,1))-AVERAGE(OFFSET($H$3,0,0,'Données projet'!$E$10+1,1))</f>
        <v>646.50767193970182</v>
      </c>
      <c r="AO15" s="59">
        <f t="shared" si="36"/>
        <v>297.06786598620607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3.887142857142857</v>
      </c>
      <c r="N16" s="13">
        <f>IF('Données projet'!$A$36&gt;35,N15+M16-V15,IF(A16&lt;'Données projet'!$A$36,$K$205^A16,IF(A16='Données projet'!$A$36,'Données projet'!$B$36,N15+M16-V15)))</f>
        <v>50.532857142857125</v>
      </c>
      <c r="O16" s="13">
        <f>N16*VLOOKUP('Données projet'!$B$9,Paramètres!$A$1:$I$89,3,0)*VLOOKUP('Données projet'!$B$9,Paramètres!$A$1:$I$89,5,0)</f>
        <v>45.722129142857128</v>
      </c>
      <c r="P16" s="13">
        <f t="shared" si="33"/>
        <v>13.50329614922042</v>
      </c>
      <c r="Q16" s="20">
        <f t="shared" si="2"/>
        <v>103.1509490503684</v>
      </c>
      <c r="R16" s="59">
        <f t="shared" si="0"/>
        <v>375.70650460592395</v>
      </c>
      <c r="S16" s="59">
        <f ca="1">AVERAGE(OFFSET($R$3,0,0,'Données projet'!$E$9+1,1))-AVERAGE(OFFSET($H$3,0,0,'Données projet'!$E$9+1,1))</f>
        <v>581.88778927327667</v>
      </c>
      <c r="T16" s="59">
        <f t="shared" si="34"/>
        <v>269.67340993773422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3.887142857142857</v>
      </c>
      <c r="AI16" s="13">
        <f>IF('Données projet'!$A$62&gt;35,AI15+AH16-AQ15,IF(A16&lt;'Données projet'!$A$62,$AF$205^A16,IF(A16='Données projet'!$A$62,'Données projet'!$B$62,AI15+AH16-AQ15)))</f>
        <v>50.532857142857125</v>
      </c>
      <c r="AJ16" s="13">
        <f>AI16*VLOOKUP('Données projet'!$B$10,Paramètres!$A$1:$I$89,3,0)*VLOOKUP('Données projet'!$B$10,Paramètres!$A$1:$I$89,5,0)</f>
        <v>51.240317142857123</v>
      </c>
      <c r="AK16" s="13">
        <f t="shared" si="35"/>
        <v>14.933618736730883</v>
      </c>
      <c r="AL16" s="20">
        <f t="shared" si="4"/>
        <v>115.25293832361577</v>
      </c>
      <c r="AM16" s="59">
        <f t="shared" si="5"/>
        <v>387.80849387917129</v>
      </c>
      <c r="AN16" s="59">
        <f ca="1">AVERAGE(OFFSET($AM$3,0,0,'Données projet'!$E$10+1,1))-AVERAGE(OFFSET($H$3,0,0,'Données projet'!$E$10+1,1))</f>
        <v>646.50767193970182</v>
      </c>
      <c r="AO16" s="59">
        <f t="shared" si="36"/>
        <v>297.06786598620607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3.887142857142857</v>
      </c>
      <c r="N17" s="13">
        <f>IF('Données projet'!$A$36&gt;35,N16+M17-V16,IF(A17&lt;'Données projet'!$A$36,$K$205^A17,IF(A17='Données projet'!$A$36,'Données projet'!$B$36,N16+M17-V16)))</f>
        <v>54.41999999999998</v>
      </c>
      <c r="O17" s="13">
        <f>N17*VLOOKUP('Données projet'!$B$9,Paramètres!$A$1:$I$89,3,0)*VLOOKUP('Données projet'!$B$9,Paramètres!$A$1:$I$89,5,0)</f>
        <v>49.239215999999978</v>
      </c>
      <c r="P17" s="13">
        <f t="shared" si="33"/>
        <v>14.417108895027585</v>
      </c>
      <c r="Q17" s="20">
        <f t="shared" si="2"/>
        <v>110.86809919217301</v>
      </c>
      <c r="R17" s="59">
        <f t="shared" si="0"/>
        <v>384.64587696995079</v>
      </c>
      <c r="S17" s="59">
        <f ca="1">AVERAGE(OFFSET($R$3,0,0,'Données projet'!$E$9+1,1))-AVERAGE(OFFSET($H$3,0,0,'Données projet'!$E$9+1,1))</f>
        <v>581.88778927327667</v>
      </c>
      <c r="T17" s="59">
        <f t="shared" si="34"/>
        <v>269.67340993773422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3.887142857142857</v>
      </c>
      <c r="AI17" s="13">
        <f>IF('Données projet'!$A$62&gt;35,AI16+AH17-AQ16,IF(A17&lt;'Données projet'!$A$62,$AF$205^A17,IF(A17='Données projet'!$A$62,'Données projet'!$B$62,AI16+AH17-AQ16)))</f>
        <v>54.41999999999998</v>
      </c>
      <c r="AJ17" s="13">
        <f>AI17*VLOOKUP('Données projet'!$B$10,Paramètres!$A$1:$I$89,3,0)*VLOOKUP('Données projet'!$B$10,Paramètres!$A$1:$I$89,5,0)</f>
        <v>55.181879999999985</v>
      </c>
      <c r="AK17" s="13">
        <f t="shared" si="35"/>
        <v>15.944226146347479</v>
      </c>
      <c r="AL17" s="20">
        <f t="shared" si="4"/>
        <v>123.87796820488852</v>
      </c>
      <c r="AM17" s="59">
        <f t="shared" si="5"/>
        <v>397.6557459826663</v>
      </c>
      <c r="AN17" s="59">
        <f ca="1">AVERAGE(OFFSET($AM$3,0,0,'Données projet'!$E$10+1,1))-AVERAGE(OFFSET($H$3,0,0,'Données projet'!$E$10+1,1))</f>
        <v>646.50767193970182</v>
      </c>
      <c r="AO17" s="59">
        <f t="shared" si="36"/>
        <v>297.06786598620607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3.887142857142857</v>
      </c>
      <c r="N18" s="13">
        <f>IF('Données projet'!$A$36&gt;35,N17+M18-V17,IF(A18&lt;'Données projet'!$A$36,$K$205^A18,IF(A18='Données projet'!$A$36,'Données projet'!$B$36,N17+M18-V17)))</f>
        <v>58.307142857142836</v>
      </c>
      <c r="O18" s="13">
        <f>N18*VLOOKUP('Données projet'!$B$9,Paramètres!$A$1:$I$89,3,0)*VLOOKUP('Données projet'!$B$9,Paramètres!$A$1:$I$89,5,0)</f>
        <v>52.756302857142842</v>
      </c>
      <c r="P18" s="13">
        <f t="shared" si="33"/>
        <v>15.323348643415981</v>
      </c>
      <c r="Q18" s="20">
        <f t="shared" si="2"/>
        <v>118.57205969680662</v>
      </c>
      <c r="R18" s="59">
        <f t="shared" si="0"/>
        <v>393.5720596968066</v>
      </c>
      <c r="S18" s="59">
        <f ca="1">AVERAGE(OFFSET($R$3,0,0,'Données projet'!$E$9+1,1))-AVERAGE(OFFSET($H$3,0,0,'Données projet'!$E$9+1,1))</f>
        <v>581.88778927327667</v>
      </c>
      <c r="T18" s="59">
        <f t="shared" si="34"/>
        <v>269.67340993773422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3.887142857142857</v>
      </c>
      <c r="AI18" s="13">
        <f>IF('Données projet'!$A$62&gt;35,AI17+AH18-AQ17,IF(A18&lt;'Données projet'!$A$62,$AF$205^A18,IF(A18='Données projet'!$A$62,'Données projet'!$B$62,AI17+AH18-AQ17)))</f>
        <v>58.307142857142836</v>
      </c>
      <c r="AJ18" s="13">
        <f>AI18*VLOOKUP('Données projet'!$B$10,Paramètres!$A$1:$I$89,3,0)*VLOOKUP('Données projet'!$B$10,Paramètres!$A$1:$I$89,5,0)</f>
        <v>59.123442857142841</v>
      </c>
      <c r="AK18" s="13">
        <f t="shared" si="35"/>
        <v>16.946458396677293</v>
      </c>
      <c r="AL18" s="20">
        <f t="shared" si="4"/>
        <v>132.4884113504034</v>
      </c>
      <c r="AM18" s="59">
        <f t="shared" si="5"/>
        <v>407.4884113504034</v>
      </c>
      <c r="AN18" s="59">
        <f ca="1">AVERAGE(OFFSET($AM$3,0,0,'Données projet'!$E$10+1,1))-AVERAGE(OFFSET($H$3,0,0,'Données projet'!$E$10+1,1))</f>
        <v>646.50767193970182</v>
      </c>
      <c r="AO18" s="59">
        <f t="shared" si="36"/>
        <v>297.06786598620607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3.887142857142857</v>
      </c>
      <c r="N19" s="13">
        <f>IF('Données projet'!$A$36&gt;35,N18+M19-V18,IF(A19&lt;'Données projet'!$A$36,$K$205^A19,IF(A19='Données projet'!$A$36,'Données projet'!$B$36,N18+M19-V18)))</f>
        <v>62.194285714285691</v>
      </c>
      <c r="O19" s="13">
        <f>N19*VLOOKUP('Données projet'!$B$9,Paramètres!$A$1:$I$89,3,0)*VLOOKUP('Données projet'!$B$9,Paramètres!$A$1:$I$89,5,0)</f>
        <v>56.273389714285692</v>
      </c>
      <c r="P19" s="13">
        <f t="shared" si="33"/>
        <v>16.222577706752112</v>
      </c>
      <c r="Q19" s="20">
        <f t="shared" si="2"/>
        <v>126.26380992497417</v>
      </c>
      <c r="R19" s="59">
        <f t="shared" si="0"/>
        <v>402.4860321471964</v>
      </c>
      <c r="S19" s="59">
        <f ca="1">AVERAGE(OFFSET($R$3,0,0,'Données projet'!$E$9+1,1))-AVERAGE(OFFSET($H$3,0,0,'Données projet'!$E$9+1,1))</f>
        <v>581.88778927327667</v>
      </c>
      <c r="T19" s="59">
        <f t="shared" si="34"/>
        <v>269.67340993773422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3.887142857142857</v>
      </c>
      <c r="AI19" s="13">
        <f>IF('Données projet'!$A$62&gt;35,AI18+AH19-AQ18,IF(A19&lt;'Données projet'!$A$62,$AF$205^A19,IF(A19='Données projet'!$A$62,'Données projet'!$B$62,AI18+AH19-AQ18)))</f>
        <v>62.194285714285691</v>
      </c>
      <c r="AJ19" s="13">
        <f>AI19*VLOOKUP('Données projet'!$B$10,Paramètres!$A$1:$I$89,3,0)*VLOOKUP('Données projet'!$B$10,Paramètres!$A$1:$I$89,5,0)</f>
        <v>63.065005714285689</v>
      </c>
      <c r="AK19" s="13">
        <f t="shared" si="35"/>
        <v>17.940937362438909</v>
      </c>
      <c r="AL19" s="20">
        <f t="shared" si="4"/>
        <v>141.08535085862869</v>
      </c>
      <c r="AM19" s="59">
        <f t="shared" si="5"/>
        <v>417.30757308085094</v>
      </c>
      <c r="AN19" s="59">
        <f ca="1">AVERAGE(OFFSET($AM$3,0,0,'Données projet'!$E$10+1,1))-AVERAGE(OFFSET($H$3,0,0,'Données projet'!$E$10+1,1))</f>
        <v>646.50767193970182</v>
      </c>
      <c r="AO19" s="59">
        <f t="shared" si="36"/>
        <v>297.06786598620607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3.887142857142857</v>
      </c>
      <c r="N20" s="13">
        <f>IF('Données projet'!$A$36&gt;35,N19+M20-V19,IF(A20&lt;'Données projet'!$A$36,$K$205^A20,IF(A20='Données projet'!$A$36,'Données projet'!$B$36,N19+M20-V19)))</f>
        <v>66.081428571428546</v>
      </c>
      <c r="O20" s="13">
        <f>N20*VLOOKUP('Données projet'!$B$9,Paramètres!$A$1:$I$89,3,0)*VLOOKUP('Données projet'!$B$9,Paramètres!$A$1:$I$89,5,0)</f>
        <v>59.790476571428549</v>
      </c>
      <c r="P20" s="13">
        <f t="shared" si="33"/>
        <v>17.115284135607041</v>
      </c>
      <c r="Q20" s="20">
        <f t="shared" si="2"/>
        <v>133.94419989808699</v>
      </c>
      <c r="R20" s="59">
        <f t="shared" si="0"/>
        <v>411.38864434253145</v>
      </c>
      <c r="S20" s="59">
        <f ca="1">AVERAGE(OFFSET($R$3,0,0,'Données projet'!$E$9+1,1))-AVERAGE(OFFSET($H$3,0,0,'Données projet'!$E$9+1,1))</f>
        <v>581.88778927327667</v>
      </c>
      <c r="T20" s="59">
        <f t="shared" si="34"/>
        <v>269.67340993773422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3.887142857142857</v>
      </c>
      <c r="AI20" s="13">
        <f>IF('Données projet'!$A$62&gt;35,AI19+AH20-AQ19,IF(A20&lt;'Données projet'!$A$62,$AF$205^A20,IF(A20='Données projet'!$A$62,'Données projet'!$B$62,AI19+AH20-AQ19)))</f>
        <v>66.081428571428546</v>
      </c>
      <c r="AJ20" s="13">
        <f>AI20*VLOOKUP('Données projet'!$B$10,Paramètres!$A$1:$I$89,3,0)*VLOOKUP('Données projet'!$B$10,Paramètres!$A$1:$I$89,5,0)</f>
        <v>67.006568571428559</v>
      </c>
      <c r="AK20" s="13">
        <f t="shared" si="35"/>
        <v>18.928202790452044</v>
      </c>
      <c r="AL20" s="20">
        <f t="shared" si="4"/>
        <v>149.66972678860873</v>
      </c>
      <c r="AM20" s="59">
        <f t="shared" si="5"/>
        <v>427.11417123305318</v>
      </c>
      <c r="AN20" s="59">
        <f ca="1">AVERAGE(OFFSET($AM$3,0,0,'Données projet'!$E$10+1,1))-AVERAGE(OFFSET($H$3,0,0,'Données projet'!$E$10+1,1))</f>
        <v>646.50767193970182</v>
      </c>
      <c r="AO20" s="59">
        <f t="shared" si="36"/>
        <v>297.06786598620607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3.887142857142857</v>
      </c>
      <c r="N21" s="13">
        <f>IF('Données projet'!$A$36&gt;35,N20+M21-V20,IF(A21&lt;'Données projet'!$A$36,$K$205^A21,IF(A21='Données projet'!$A$36,'Données projet'!$B$36,N20+M21-V20)))</f>
        <v>69.968571428571408</v>
      </c>
      <c r="O21" s="13">
        <f>N21*VLOOKUP('Données projet'!$B$9,Paramètres!$A$1:$I$89,3,0)*VLOOKUP('Données projet'!$B$9,Paramètres!$A$1:$I$89,5,0)</f>
        <v>63.307563428571406</v>
      </c>
      <c r="P21" s="13">
        <f t="shared" si="33"/>
        <v>18.001895319269028</v>
      </c>
      <c r="Q21" s="20">
        <f t="shared" si="2"/>
        <v>141.61397398582207</v>
      </c>
      <c r="R21" s="59">
        <f t="shared" si="0"/>
        <v>420.28064065248873</v>
      </c>
      <c r="S21" s="59">
        <f ca="1">AVERAGE(OFFSET($R$3,0,0,'Données projet'!$E$9+1,1))-AVERAGE(OFFSET($H$3,0,0,'Données projet'!$E$9+1,1))</f>
        <v>581.88778927327667</v>
      </c>
      <c r="T21" s="59">
        <f t="shared" si="34"/>
        <v>269.67340993773422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3.887142857142857</v>
      </c>
      <c r="AI21" s="13">
        <f>IF('Données projet'!$A$62&gt;35,AI20+AH21-AQ20,IF(A21&lt;'Données projet'!$A$62,$AF$205^A21,IF(A21='Données projet'!$A$62,'Données projet'!$B$62,AI20+AH21-AQ20)))</f>
        <v>69.968571428571408</v>
      </c>
      <c r="AJ21" s="13">
        <f>AI21*VLOOKUP('Données projet'!$B$10,Paramètres!$A$1:$I$89,3,0)*VLOOKUP('Données projet'!$B$10,Paramètres!$A$1:$I$89,5,0)</f>
        <v>70.948131428571415</v>
      </c>
      <c r="AK21" s="13">
        <f t="shared" si="35"/>
        <v>19.908727340770373</v>
      </c>
      <c r="AL21" s="20">
        <f t="shared" si="4"/>
        <v>158.24236235660359</v>
      </c>
      <c r="AM21" s="59">
        <f t="shared" si="5"/>
        <v>436.90902902327025</v>
      </c>
      <c r="AN21" s="59">
        <f ca="1">AVERAGE(OFFSET($AM$3,0,0,'Données projet'!$E$10+1,1))-AVERAGE(OFFSET($H$3,0,0,'Données projet'!$E$10+1,1))</f>
        <v>646.50767193970182</v>
      </c>
      <c r="AO21" s="59">
        <f t="shared" si="36"/>
        <v>297.06786598620607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3.887142857142857</v>
      </c>
      <c r="N22" s="13">
        <f>IF('Données projet'!$A$36&gt;35,N21+M22-V21,IF(A22&lt;'Données projet'!$A$36,$K$205^A22,IF(A22='Données projet'!$A$36,'Données projet'!$B$36,N21+M22-V21)))</f>
        <v>73.855714285714271</v>
      </c>
      <c r="O22" s="13">
        <f>N22*VLOOKUP('Données projet'!$B$9,Paramètres!$A$1:$I$89,3,0)*VLOOKUP('Données projet'!$B$9,Paramètres!$A$1:$I$89,5,0)</f>
        <v>66.82465028571427</v>
      </c>
      <c r="P22" s="13">
        <f t="shared" si="33"/>
        <v>18.882788477272459</v>
      </c>
      <c r="Q22" s="20">
        <f t="shared" si="2"/>
        <v>149.27378917886855</v>
      </c>
      <c r="R22" s="59">
        <f t="shared" si="0"/>
        <v>429.16267806775738</v>
      </c>
      <c r="S22" s="59">
        <f ca="1">AVERAGE(OFFSET($R$3,0,0,'Données projet'!$E$9+1,1))-AVERAGE(OFFSET($H$3,0,0,'Données projet'!$E$9+1,1))</f>
        <v>581.88778927327667</v>
      </c>
      <c r="T22" s="59">
        <f t="shared" si="34"/>
        <v>269.67340993773422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3.887142857142857</v>
      </c>
      <c r="AI22" s="13">
        <f>IF('Données projet'!$A$62&gt;35,AI21+AH22-AQ21,IF(A22&lt;'Données projet'!$A$62,$AF$205^A22,IF(A22='Données projet'!$A$62,'Données projet'!$B$62,AI21+AH22-AQ21)))</f>
        <v>73.855714285714271</v>
      </c>
      <c r="AJ22" s="13">
        <f>AI22*VLOOKUP('Données projet'!$B$10,Paramètres!$A$1:$I$89,3,0)*VLOOKUP('Données projet'!$B$10,Paramètres!$A$1:$I$89,5,0)</f>
        <v>74.889694285714285</v>
      </c>
      <c r="AK22" s="13">
        <f t="shared" si="35"/>
        <v>20.882928189514811</v>
      </c>
      <c r="AL22" s="20">
        <f t="shared" si="4"/>
        <v>166.80398414435732</v>
      </c>
      <c r="AM22" s="59">
        <f t="shared" si="5"/>
        <v>446.6928730332462</v>
      </c>
      <c r="AN22" s="59">
        <f ca="1">AVERAGE(OFFSET($AM$3,0,0,'Données projet'!$E$10+1,1))-AVERAGE(OFFSET($H$3,0,0,'Données projet'!$E$10+1,1))</f>
        <v>646.50767193970182</v>
      </c>
      <c r="AO22" s="59">
        <f t="shared" si="36"/>
        <v>297.06786598620607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3.887142857142857</v>
      </c>
      <c r="N23" s="13">
        <f>IF('Données projet'!$A$36&gt;35,N22+M23-V22,IF(A23&lt;'Données projet'!$A$36,$K$205^A23,IF(A23='Données projet'!$A$36,'Données projet'!$B$36,N22+M23-V22)))</f>
        <v>77.742857142857133</v>
      </c>
      <c r="O23" s="13">
        <f>N23*VLOOKUP('Données projet'!$B$9,Paramètres!$A$1:$I$89,3,0)*VLOOKUP('Données projet'!$B$9,Paramètres!$A$1:$I$89,5,0)</f>
        <v>70.341737142857127</v>
      </c>
      <c r="P23" s="13">
        <f t="shared" si="33"/>
        <v>19.758298879173367</v>
      </c>
      <c r="Q23" s="20">
        <f t="shared" si="2"/>
        <v>156.92422940503644</v>
      </c>
      <c r="R23" s="59">
        <f t="shared" si="0"/>
        <v>438.03534051614758</v>
      </c>
      <c r="S23" s="59">
        <f ca="1">AVERAGE(OFFSET($R$3,0,0,'Données projet'!$E$9+1,1))-AVERAGE(OFFSET($H$3,0,0,'Données projet'!$E$9+1,1))</f>
        <v>581.88778927327667</v>
      </c>
      <c r="T23" s="59">
        <f t="shared" si="34"/>
        <v>269.67340993773422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3.887142857142857</v>
      </c>
      <c r="AI23" s="13">
        <f>IF('Données projet'!$A$62&gt;35,AI22+AH23-AQ22,IF(A23&lt;'Données projet'!$A$62,$AF$205^A23,IF(A23='Données projet'!$A$62,'Données projet'!$B$62,AI22+AH23-AQ22)))</f>
        <v>77.742857142857133</v>
      </c>
      <c r="AJ23" s="13">
        <f>AI23*VLOOKUP('Données projet'!$B$10,Paramètres!$A$1:$I$89,3,0)*VLOOKUP('Données projet'!$B$10,Paramètres!$A$1:$I$89,5,0)</f>
        <v>78.83125714285714</v>
      </c>
      <c r="AK23" s="13">
        <f t="shared" si="35"/>
        <v>21.851176119320101</v>
      </c>
      <c r="AL23" s="20">
        <f t="shared" si="4"/>
        <v>175.35523793162534</v>
      </c>
      <c r="AM23" s="59">
        <f t="shared" si="5"/>
        <v>456.46634904273651</v>
      </c>
      <c r="AN23" s="59">
        <f ca="1">AVERAGE(OFFSET($AM$3,0,0,'Données projet'!$E$10+1,1))-AVERAGE(OFFSET($H$3,0,0,'Données projet'!$E$10+1,1))</f>
        <v>646.50767193970182</v>
      </c>
      <c r="AO23" s="59">
        <f t="shared" si="36"/>
        <v>297.06786598620607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3.887142857142857</v>
      </c>
      <c r="N24" s="13">
        <f>IF('Données projet'!$A$36&gt;35,N23+M24-V23,IF(A24&lt;'Données projet'!$A$36,$K$205^A24,IF(A24='Données projet'!$A$36,'Données projet'!$B$36,N23+M24-V23)))</f>
        <v>81.63</v>
      </c>
      <c r="O24" s="13">
        <f>N24*VLOOKUP('Données projet'!$B$9,Paramètres!$A$1:$I$89,3,0)*VLOOKUP('Données projet'!$B$9,Paramètres!$A$1:$I$89,5,0)</f>
        <v>73.858823999999984</v>
      </c>
      <c r="P24" s="13">
        <f t="shared" si="33"/>
        <v>20.628726373651425</v>
      </c>
      <c r="Q24" s="20">
        <f t="shared" si="2"/>
        <v>164.56581690077618</v>
      </c>
      <c r="R24" s="59">
        <f t="shared" si="0"/>
        <v>446.89915023410947</v>
      </c>
      <c r="S24" s="59">
        <f ca="1">AVERAGE(OFFSET($R$3,0,0,'Données projet'!$E$9+1,1))-AVERAGE(OFFSET($H$3,0,0,'Données projet'!$E$9+1,1))</f>
        <v>581.88778927327667</v>
      </c>
      <c r="T24" s="59">
        <f t="shared" si="34"/>
        <v>269.67340993773422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3.887142857142857</v>
      </c>
      <c r="AI24" s="13">
        <f>IF('Données projet'!$A$62&gt;35,AI23+AH24-AQ23,IF(A24&lt;'Données projet'!$A$62,$AF$205^A24,IF(A24='Données projet'!$A$62,'Données projet'!$B$62,AI23+AH24-AQ23)))</f>
        <v>81.63</v>
      </c>
      <c r="AJ24" s="13">
        <f>AI24*VLOOKUP('Données projet'!$B$10,Paramètres!$A$1:$I$89,3,0)*VLOOKUP('Données projet'!$B$10,Paramètres!$A$1:$I$89,5,0)</f>
        <v>82.772819999999996</v>
      </c>
      <c r="AK24" s="13">
        <f t="shared" si="35"/>
        <v>22.813802740025121</v>
      </c>
      <c r="AL24" s="20">
        <f t="shared" si="4"/>
        <v>183.89670127221041</v>
      </c>
      <c r="AM24" s="59">
        <f t="shared" si="5"/>
        <v>466.23003460554372</v>
      </c>
      <c r="AN24" s="59">
        <f ca="1">AVERAGE(OFFSET($AM$3,0,0,'Données projet'!$E$10+1,1))-AVERAGE(OFFSET($H$3,0,0,'Données projet'!$E$10+1,1))</f>
        <v>646.50767193970182</v>
      </c>
      <c r="AO24" s="59">
        <f t="shared" si="36"/>
        <v>297.06786598620607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3.887142857142857</v>
      </c>
      <c r="N25" s="13">
        <f>IF('Données projet'!$A$36&gt;35,N24+M25-V24,IF(A25&lt;'Données projet'!$A$36,$K$205^A25,IF(A25='Données projet'!$A$36,'Données projet'!$B$36,N24+M25-V24)))</f>
        <v>85.517142857142858</v>
      </c>
      <c r="O25" s="13">
        <f>N25*VLOOKUP('Données projet'!$B$9,Paramètres!$A$1:$I$89,3,0)*VLOOKUP('Données projet'!$B$9,Paramètres!$A$1:$I$89,5,0)</f>
        <v>77.375910857142856</v>
      </c>
      <c r="P25" s="13">
        <f t="shared" si="33"/>
        <v>21.49434063873689</v>
      </c>
      <c r="Q25" s="20">
        <f t="shared" si="2"/>
        <v>172.19902135532388</v>
      </c>
      <c r="R25" s="59">
        <f t="shared" si="0"/>
        <v>455.75457691087945</v>
      </c>
      <c r="S25" s="59">
        <f ca="1">AVERAGE(OFFSET($R$3,0,0,'Données projet'!$E$9+1,1))-AVERAGE(OFFSET($H$3,0,0,'Données projet'!$E$9+1,1))</f>
        <v>581.88778927327667</v>
      </c>
      <c r="T25" s="59">
        <f t="shared" si="34"/>
        <v>269.67340993773422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3.887142857142857</v>
      </c>
      <c r="AI25" s="13">
        <f>IF('Données projet'!$A$62&gt;35,AI24+AH25-AQ24,IF(A25&lt;'Données projet'!$A$62,$AF$205^A25,IF(A25='Données projet'!$A$62,'Données projet'!$B$62,AI24+AH25-AQ24)))</f>
        <v>85.517142857142858</v>
      </c>
      <c r="AJ25" s="13">
        <f>AI25*VLOOKUP('Données projet'!$B$10,Paramètres!$A$1:$I$89,3,0)*VLOOKUP('Données projet'!$B$10,Paramètres!$A$1:$I$89,5,0)</f>
        <v>86.714382857142866</v>
      </c>
      <c r="AK25" s="13">
        <f t="shared" si="35"/>
        <v>23.771106295024762</v>
      </c>
      <c r="AL25" s="20">
        <f t="shared" si="4"/>
        <v>192.42889360669196</v>
      </c>
      <c r="AM25" s="59">
        <f t="shared" si="5"/>
        <v>475.98444916224753</v>
      </c>
      <c r="AN25" s="59">
        <f ca="1">AVERAGE(OFFSET($AM$3,0,0,'Données projet'!$E$10+1,1))-AVERAGE(OFFSET($H$3,0,0,'Données projet'!$E$10+1,1))</f>
        <v>646.50767193970182</v>
      </c>
      <c r="AO25" s="59">
        <f t="shared" si="36"/>
        <v>297.06786598620607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3.887142857142857</v>
      </c>
      <c r="N26" s="13">
        <f>IF('Données projet'!$A$36&gt;35,N25+M26-V25,IF(A26&lt;'Données projet'!$A$36,$K$205^A26,IF(A26='Données projet'!$A$36,'Données projet'!$B$36,N25+M26-V25)))</f>
        <v>89.40428571428572</v>
      </c>
      <c r="O26" s="13">
        <f>N26*VLOOKUP('Données projet'!$B$9,Paramètres!$A$1:$I$89,3,0)*VLOOKUP('Données projet'!$B$9,Paramètres!$A$1:$I$89,5,0)</f>
        <v>80.892997714285713</v>
      </c>
      <c r="P26" s="13">
        <f t="shared" si="33"/>
        <v>22.355385450466887</v>
      </c>
      <c r="Q26" s="20">
        <f t="shared" si="2"/>
        <v>179.82426734527743</v>
      </c>
      <c r="R26" s="59">
        <f t="shared" si="0"/>
        <v>464.60204512305518</v>
      </c>
      <c r="S26" s="59">
        <f ca="1">AVERAGE(OFFSET($R$3,0,0,'Données projet'!$E$9+1,1))-AVERAGE(OFFSET($H$3,0,0,'Données projet'!$E$9+1,1))</f>
        <v>581.88778927327667</v>
      </c>
      <c r="T26" s="59">
        <f t="shared" si="34"/>
        <v>269.67340993773422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3.887142857142857</v>
      </c>
      <c r="AI26" s="13">
        <f>IF('Données projet'!$A$62&gt;35,AI25+AH26-AQ25,IF(A26&lt;'Données projet'!$A$62,$AF$205^A26,IF(A26='Données projet'!$A$62,'Données projet'!$B$62,AI25+AH26-AQ25)))</f>
        <v>89.40428571428572</v>
      </c>
      <c r="AJ26" s="13">
        <f>AI26*VLOOKUP('Données projet'!$B$10,Paramètres!$A$1:$I$89,3,0)*VLOOKUP('Données projet'!$B$10,Paramètres!$A$1:$I$89,5,0)</f>
        <v>90.655945714285721</v>
      </c>
      <c r="AK26" s="13">
        <f t="shared" si="35"/>
        <v>24.723356382079128</v>
      </c>
      <c r="AL26" s="20">
        <f t="shared" si="4"/>
        <v>200.95228448450212</v>
      </c>
      <c r="AM26" s="59">
        <f t="shared" si="5"/>
        <v>485.73006226227989</v>
      </c>
      <c r="AN26" s="59">
        <f ca="1">AVERAGE(OFFSET($AM$3,0,0,'Données projet'!$E$10+1,1))-AVERAGE(OFFSET($H$3,0,0,'Données projet'!$E$10+1,1))</f>
        <v>646.50767193970182</v>
      </c>
      <c r="AO26" s="59">
        <f t="shared" si="36"/>
        <v>297.06786598620607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3.887142857142857</v>
      </c>
      <c r="N27" s="13">
        <f>IF('Données projet'!$A$36&gt;35,N26+M27-V26,IF(A27&lt;'Données projet'!$A$36,$K$205^A27,IF(A27='Données projet'!$A$36,'Données projet'!$B$36,N26+M27-V26)))</f>
        <v>93.291428571428582</v>
      </c>
      <c r="O27" s="13">
        <f>N27*VLOOKUP('Données projet'!$B$9,Paramètres!$A$1:$I$89,3,0)*VLOOKUP('Données projet'!$B$9,Paramètres!$A$1:$I$89,5,0)</f>
        <v>84.410084571428584</v>
      </c>
      <c r="P27" s="13">
        <f t="shared" si="33"/>
        <v>23.212082188219242</v>
      </c>
      <c r="Q27" s="20">
        <f t="shared" si="2"/>
        <v>187.44194043971996</v>
      </c>
      <c r="R27" s="59">
        <f t="shared" si="0"/>
        <v>473.44194043971993</v>
      </c>
      <c r="S27" s="59">
        <f ca="1">AVERAGE(OFFSET($R$3,0,0,'Données projet'!$E$9+1,1))-AVERAGE(OFFSET($H$3,0,0,'Données projet'!$E$9+1,1))</f>
        <v>581.88778927327667</v>
      </c>
      <c r="T27" s="59">
        <f t="shared" si="34"/>
        <v>269.67340993773422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3.887142857142857</v>
      </c>
      <c r="AI27" s="13">
        <f>IF('Données projet'!$A$62&gt;35,AI26+AH27-AQ26,IF(A27&lt;'Données projet'!$A$62,$AF$205^A27,IF(A27='Données projet'!$A$62,'Données projet'!$B$62,AI26+AH27-AQ26)))</f>
        <v>93.291428571428582</v>
      </c>
      <c r="AJ27" s="13">
        <f>AI27*VLOOKUP('Données projet'!$B$10,Paramètres!$A$1:$I$89,3,0)*VLOOKUP('Données projet'!$B$10,Paramètres!$A$1:$I$89,5,0)</f>
        <v>94.597508571428591</v>
      </c>
      <c r="AK27" s="13">
        <f t="shared" si="35"/>
        <v>25.670797829946185</v>
      </c>
      <c r="AL27" s="20">
        <f t="shared" si="4"/>
        <v>209.4673003157277</v>
      </c>
      <c r="AM27" s="59">
        <f t="shared" si="5"/>
        <v>495.4673003157277</v>
      </c>
      <c r="AN27" s="59">
        <f ca="1">AVERAGE(OFFSET($AM$3,0,0,'Données projet'!$E$10+1,1))-AVERAGE(OFFSET($H$3,0,0,'Données projet'!$E$10+1,1))</f>
        <v>646.50767193970182</v>
      </c>
      <c r="AO27" s="59">
        <f t="shared" si="36"/>
        <v>297.06786598620607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3.887142857142857</v>
      </c>
      <c r="N28" s="13">
        <f>IF('Données projet'!$A$36&gt;35,N27+M28-V27,IF(A28&lt;'Données projet'!$A$36,$K$205^A28,IF(A28='Données projet'!$A$36,'Données projet'!$B$36,N27+M28-V27)))</f>
        <v>97.178571428571445</v>
      </c>
      <c r="O28" s="13">
        <f>N28*VLOOKUP('Données projet'!$B$9,Paramètres!$A$1:$I$89,3,0)*VLOOKUP('Données projet'!$B$9,Paramètres!$A$1:$I$89,5,0)</f>
        <v>87.927171428571441</v>
      </c>
      <c r="P28" s="13">
        <f t="shared" si="33"/>
        <v>24.06463273936156</v>
      </c>
      <c r="Q28" s="20">
        <f t="shared" si="2"/>
        <v>195.05239225914997</v>
      </c>
      <c r="R28" s="59">
        <f t="shared" si="0"/>
        <v>482.27461448137217</v>
      </c>
      <c r="S28" s="59">
        <f ca="1">AVERAGE(OFFSET($R$3,0,0,'Données projet'!$E$9+1,1))-AVERAGE(OFFSET($H$3,0,0,'Données projet'!$E$9+1,1))</f>
        <v>581.88778927327667</v>
      </c>
      <c r="T28" s="59">
        <f t="shared" si="34"/>
        <v>269.67340993773422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3.887142857142857</v>
      </c>
      <c r="AI28" s="13">
        <f>IF('Données projet'!$A$62&gt;35,AI27+AH28-AQ27,IF(A28&lt;'Données projet'!$A$62,$AF$205^A28,IF(A28='Données projet'!$A$62,'Données projet'!$B$62,AI27+AH28-AQ27)))</f>
        <v>97.178571428571445</v>
      </c>
      <c r="AJ28" s="13">
        <f>AI28*VLOOKUP('Données projet'!$B$10,Paramètres!$A$1:$I$89,3,0)*VLOOKUP('Données projet'!$B$10,Paramètres!$A$1:$I$89,5,0)</f>
        <v>98.539071428571447</v>
      </c>
      <c r="AK28" s="13">
        <f t="shared" si="35"/>
        <v>26.613653910702727</v>
      </c>
      <c r="AL28" s="20">
        <f t="shared" si="4"/>
        <v>217.97432996590248</v>
      </c>
      <c r="AM28" s="59">
        <f t="shared" si="5"/>
        <v>505.19655218812471</v>
      </c>
      <c r="AN28" s="59">
        <f ca="1">AVERAGE(OFFSET($AM$3,0,0,'Données projet'!$E$10+1,1))-AVERAGE(OFFSET($H$3,0,0,'Données projet'!$E$10+1,1))</f>
        <v>646.50767193970182</v>
      </c>
      <c r="AO28" s="59">
        <f t="shared" si="36"/>
        <v>297.06786598620607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3.887142857142857</v>
      </c>
      <c r="N29" s="13">
        <f>IF('Données projet'!$A$36&gt;35,N28+M29-V28,IF(A29&lt;'Données projet'!$A$36,$K$205^A29,IF(A29='Données projet'!$A$36,'Données projet'!$B$36,N28+M29-V28)))</f>
        <v>101.06571428571431</v>
      </c>
      <c r="O29" s="13">
        <f>N29*VLOOKUP('Données projet'!$B$9,Paramètres!$A$1:$I$89,3,0)*VLOOKUP('Données projet'!$B$9,Paramètres!$A$1:$I$89,5,0)</f>
        <v>91.444258285714298</v>
      </c>
      <c r="P29" s="13">
        <f t="shared" si="33"/>
        <v>24.913221926074399</v>
      </c>
      <c r="Q29" s="20">
        <f t="shared" si="2"/>
        <v>202.65594470219867</v>
      </c>
      <c r="R29" s="59">
        <f t="shared" si="0"/>
        <v>491.10038914664312</v>
      </c>
      <c r="S29" s="59">
        <f ca="1">AVERAGE(OFFSET($R$3,0,0,'Données projet'!$E$9+1,1))-AVERAGE(OFFSET($H$3,0,0,'Données projet'!$E$9+1,1))</f>
        <v>581.88778927327667</v>
      </c>
      <c r="T29" s="59">
        <f t="shared" si="34"/>
        <v>269.67340993773422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3.887142857142857</v>
      </c>
      <c r="AI29" s="13">
        <f>IF('Données projet'!$A$62&gt;35,AI28+AH29-AQ28,IF(A29&lt;'Données projet'!$A$62,$AF$205^A29,IF(A29='Données projet'!$A$62,'Données projet'!$B$62,AI28+AH29-AQ28)))</f>
        <v>101.06571428571431</v>
      </c>
      <c r="AJ29" s="13">
        <f>AI29*VLOOKUP('Données projet'!$B$10,Paramètres!$A$1:$I$89,3,0)*VLOOKUP('Données projet'!$B$10,Paramètres!$A$1:$I$89,5,0)</f>
        <v>102.48063428571432</v>
      </c>
      <c r="AK29" s="13">
        <f t="shared" si="35"/>
        <v>27.552129023626446</v>
      </c>
      <c r="AL29" s="20">
        <f t="shared" si="4"/>
        <v>226.47372943043516</v>
      </c>
      <c r="AM29" s="59">
        <f t="shared" si="5"/>
        <v>514.91817387487959</v>
      </c>
      <c r="AN29" s="59">
        <f ca="1">AVERAGE(OFFSET($AM$3,0,0,'Données projet'!$E$10+1,1))-AVERAGE(OFFSET($H$3,0,0,'Données projet'!$E$10+1,1))</f>
        <v>646.50767193970182</v>
      </c>
      <c r="AO29" s="59">
        <f t="shared" si="36"/>
        <v>297.06786598620607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3.887142857142857</v>
      </c>
      <c r="N30" s="13">
        <f>IF('Données projet'!$A$36&gt;35,N29+M30-V29,IF(A30&lt;'Données projet'!$A$36,$K$205^A30,IF(A30='Données projet'!$A$36,'Données projet'!$B$36,N29+M30-V29)))</f>
        <v>104.95285714285717</v>
      </c>
      <c r="O30" s="13">
        <f>N30*VLOOKUP('Données projet'!$B$9,Paramètres!$A$1:$I$89,3,0)*VLOOKUP('Données projet'!$B$9,Paramètres!$A$1:$I$89,5,0)</f>
        <v>94.961345142857169</v>
      </c>
      <c r="P30" s="13">
        <f t="shared" si="33"/>
        <v>25.758019548315733</v>
      </c>
      <c r="Q30" s="20">
        <f t="shared" si="2"/>
        <v>210.25289350379276</v>
      </c>
      <c r="R30" s="59">
        <f t="shared" si="0"/>
        <v>499.91956017045948</v>
      </c>
      <c r="S30" s="59">
        <f ca="1">AVERAGE(OFFSET($R$3,0,0,'Données projet'!$E$9+1,1))-AVERAGE(OFFSET($H$3,0,0,'Données projet'!$E$9+1,1))</f>
        <v>581.88778927327667</v>
      </c>
      <c r="T30" s="59">
        <f t="shared" si="34"/>
        <v>269.67340993773422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3.887142857142857</v>
      </c>
      <c r="AI30" s="13">
        <f>IF('Données projet'!$A$62&gt;35,AI29+AH30-AQ29,IF(A30&lt;'Données projet'!$A$62,$AF$205^A30,IF(A30='Données projet'!$A$62,'Données projet'!$B$62,AI29+AH30-AQ29)))</f>
        <v>104.95285714285717</v>
      </c>
      <c r="AJ30" s="13">
        <f>AI30*VLOOKUP('Données projet'!$B$10,Paramètres!$A$1:$I$89,3,0)*VLOOKUP('Données projet'!$B$10,Paramètres!$A$1:$I$89,5,0)</f>
        <v>106.42219714285717</v>
      </c>
      <c r="AK30" s="13">
        <f t="shared" si="35"/>
        <v>28.486410954559084</v>
      </c>
      <c r="AL30" s="20">
        <f t="shared" si="4"/>
        <v>234.96582576966659</v>
      </c>
      <c r="AM30" s="59">
        <f t="shared" si="5"/>
        <v>524.63249243633322</v>
      </c>
      <c r="AN30" s="59">
        <f ca="1">AVERAGE(OFFSET($AM$3,0,0,'Données projet'!$E$10+1,1))-AVERAGE(OFFSET($H$3,0,0,'Données projet'!$E$10+1,1))</f>
        <v>646.50767193970182</v>
      </c>
      <c r="AO30" s="59">
        <f t="shared" si="36"/>
        <v>297.06786598620607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3.887142857142857</v>
      </c>
      <c r="N31" s="13">
        <f>IF('Données projet'!$A$36&gt;35,N30+M31-V30,IF(A31&lt;'Données projet'!$A$36,$K$205^A31,IF(A31='Données projet'!$A$36,'Données projet'!$B$36,N30+M31-V30)))</f>
        <v>108.84000000000003</v>
      </c>
      <c r="O31" s="13">
        <f>N31*VLOOKUP('Données projet'!$B$9,Paramètres!$A$1:$I$89,3,0)*VLOOKUP('Données projet'!$B$9,Paramètres!$A$1:$I$89,5,0)</f>
        <v>98.478432000000026</v>
      </c>
      <c r="P31" s="13">
        <f t="shared" si="33"/>
        <v>26.599182115615513</v>
      </c>
      <c r="Q31" s="20">
        <f t="shared" si="2"/>
        <v>217.84351125136371</v>
      </c>
      <c r="R31" s="59">
        <f t="shared" si="0"/>
        <v>508.73240014025259</v>
      </c>
      <c r="S31" s="59">
        <f ca="1">AVERAGE(OFFSET($R$3,0,0,'Données projet'!$E$9+1,1))-AVERAGE(OFFSET($H$3,0,0,'Données projet'!$E$9+1,1))</f>
        <v>581.88778927327667</v>
      </c>
      <c r="T31" s="59">
        <f t="shared" si="34"/>
        <v>269.67340993773422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3.887142857142857</v>
      </c>
      <c r="AI31" s="13">
        <f>IF('Données projet'!$A$62&gt;35,AI30+AH31-AQ30,IF(A31&lt;'Données projet'!$A$62,$AF$205^A31,IF(A31='Données projet'!$A$62,'Données projet'!$B$62,AI30+AH31-AQ30)))</f>
        <v>108.84000000000003</v>
      </c>
      <c r="AJ31" s="13">
        <f>AI31*VLOOKUP('Données projet'!$B$10,Paramètres!$A$1:$I$89,3,0)*VLOOKUP('Données projet'!$B$10,Paramètres!$A$1:$I$89,5,0)</f>
        <v>110.36376000000004</v>
      </c>
      <c r="AK31" s="13">
        <f t="shared" si="35"/>
        <v>29.416672791139618</v>
      </c>
      <c r="AL31" s="20">
        <f t="shared" si="4"/>
        <v>243.45092044456825</v>
      </c>
      <c r="AM31" s="59">
        <f t="shared" si="5"/>
        <v>534.33980933345708</v>
      </c>
      <c r="AN31" s="59">
        <f ca="1">AVERAGE(OFFSET($AM$3,0,0,'Données projet'!$E$10+1,1))-AVERAGE(OFFSET($H$3,0,0,'Données projet'!$E$10+1,1))</f>
        <v>646.50767193970182</v>
      </c>
      <c r="AO31" s="59">
        <f t="shared" si="36"/>
        <v>297.06786598620607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3.887142857142857</v>
      </c>
      <c r="N32" s="13">
        <f>IF('Données projet'!$A$36&gt;35,N31+M32-V31,IF(A32&lt;'Données projet'!$A$36,$K$205^A32,IF(A32='Données projet'!$A$36,'Données projet'!$B$36,N31+M32-V31)))</f>
        <v>112.72714285714289</v>
      </c>
      <c r="O32" s="13">
        <f>N32*VLOOKUP('Données projet'!$B$9,Paramètres!$A$1:$I$89,3,0)*VLOOKUP('Données projet'!$B$9,Paramètres!$A$1:$I$89,5,0)</f>
        <v>101.99551885714288</v>
      </c>
      <c r="P32" s="13">
        <f t="shared" si="33"/>
        <v>27.436854324518826</v>
      </c>
      <c r="Q32" s="20">
        <f t="shared" si="2"/>
        <v>225.4280499580608</v>
      </c>
      <c r="R32" s="59">
        <f t="shared" si="0"/>
        <v>517.539161069172</v>
      </c>
      <c r="S32" s="59">
        <f ca="1">AVERAGE(OFFSET($R$3,0,0,'Données projet'!$E$9+1,1))-AVERAGE(OFFSET($H$3,0,0,'Données projet'!$E$9+1,1))</f>
        <v>581.88778927327667</v>
      </c>
      <c r="T32" s="59">
        <f t="shared" si="34"/>
        <v>269.67340993773422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3.887142857142857</v>
      </c>
      <c r="AI32" s="13">
        <f>IF('Données projet'!$A$62&gt;35,AI31+AH32-AQ31,IF(A32&lt;'Données projet'!$A$62,$AF$205^A32,IF(A32='Données projet'!$A$62,'Données projet'!$B$62,AI31+AH32-AQ31)))</f>
        <v>112.72714285714289</v>
      </c>
      <c r="AJ32" s="13">
        <f>AI32*VLOOKUP('Données projet'!$B$10,Paramètres!$A$1:$I$89,3,0)*VLOOKUP('Données projet'!$B$10,Paramètres!$A$1:$I$89,5,0)</f>
        <v>114.3053228571429</v>
      </c>
      <c r="AK32" s="13">
        <f t="shared" si="35"/>
        <v>30.343074556744043</v>
      </c>
      <c r="AL32" s="20">
        <f t="shared" si="4"/>
        <v>251.92929216251972</v>
      </c>
      <c r="AM32" s="59">
        <f t="shared" si="5"/>
        <v>544.04040327363089</v>
      </c>
      <c r="AN32" s="59">
        <f ca="1">AVERAGE(OFFSET($AM$3,0,0,'Données projet'!$E$10+1,1))-AVERAGE(OFFSET($H$3,0,0,'Données projet'!$E$10+1,1))</f>
        <v>646.50767193970182</v>
      </c>
      <c r="AO32" s="59">
        <f t="shared" si="36"/>
        <v>297.06786598620607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3.887142857142857</v>
      </c>
      <c r="N33" s="13">
        <f>IF('Données projet'!$A$36&gt;35,N32+M33-V32,IF(A33&lt;'Données projet'!$A$36,$K$205^A33,IF(A33='Données projet'!$A$36,'Données projet'!$B$36,N32+M33-V32)))</f>
        <v>116.61428571428576</v>
      </c>
      <c r="O33" s="13">
        <f>N33*VLOOKUP('Données projet'!$B$9,Paramètres!$A$1:$I$89,3,0)*VLOOKUP('Données projet'!$B$9,Paramètres!$A$1:$I$89,5,0)</f>
        <v>105.51260571428575</v>
      </c>
      <c r="P33" s="13">
        <f t="shared" si="33"/>
        <v>28.271170326518615</v>
      </c>
      <c r="Q33" s="20">
        <f t="shared" si="2"/>
        <v>233.00674327106756</v>
      </c>
      <c r="R33" s="59">
        <f t="shared" si="0"/>
        <v>526.34007660440091</v>
      </c>
      <c r="S33" s="59">
        <f ca="1">AVERAGE(OFFSET($R$3,0,0,'Données projet'!$E$9+1,1))-AVERAGE(OFFSET($H$3,0,0,'Données projet'!$E$9+1,1))</f>
        <v>581.88778927327667</v>
      </c>
      <c r="T33" s="59">
        <f t="shared" si="34"/>
        <v>269.67340993773422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3.887142857142857</v>
      </c>
      <c r="AI33" s="13">
        <f>IF('Données projet'!$A$62&gt;35,AI32+AH33-AQ32,IF(A33&lt;'Données projet'!$A$62,$AF$205^A33,IF(A33='Données projet'!$A$62,'Données projet'!$B$62,AI32+AH33-AQ32)))</f>
        <v>116.61428571428576</v>
      </c>
      <c r="AJ33" s="13">
        <f>AI33*VLOOKUP('Données projet'!$B$10,Paramètres!$A$1:$I$89,3,0)*VLOOKUP('Données projet'!$B$10,Paramètres!$A$1:$I$89,5,0)</f>
        <v>118.24688571428577</v>
      </c>
      <c r="AK33" s="13">
        <f t="shared" si="35"/>
        <v>31.265764612722538</v>
      </c>
      <c r="AL33" s="20">
        <f t="shared" si="4"/>
        <v>260.40119931953944</v>
      </c>
      <c r="AM33" s="59">
        <f t="shared" si="5"/>
        <v>553.73453265287276</v>
      </c>
      <c r="AN33" s="59">
        <f ca="1">AVERAGE(OFFSET($AM$3,0,0,'Données projet'!$E$10+1,1))-AVERAGE(OFFSET($H$3,0,0,'Données projet'!$E$10+1,1))</f>
        <v>646.50767193970182</v>
      </c>
      <c r="AO33" s="59">
        <f t="shared" si="36"/>
        <v>297.06786598620607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3.887142857142857</v>
      </c>
      <c r="N34" s="13">
        <f>IF('Données projet'!$A$36&gt;35,N33+M34-V33,IF(A34&lt;'Données projet'!$A$36,$K$205^A34,IF(A34='Données projet'!$A$36,'Données projet'!$B$36,N33+M34-V33)))</f>
        <v>120.50142857142862</v>
      </c>
      <c r="O34" s="13">
        <f>N34*VLOOKUP('Données projet'!$B$9,Paramètres!$A$1:$I$89,3,0)*VLOOKUP('Données projet'!$B$9,Paramètres!$A$1:$I$89,5,0)</f>
        <v>109.02969257142863</v>
      </c>
      <c r="P34" s="13">
        <f t="shared" si="33"/>
        <v>29.102254822181546</v>
      </c>
      <c r="Q34" s="20">
        <f t="shared" si="2"/>
        <v>240.57980837720436</v>
      </c>
      <c r="R34" s="59">
        <f t="shared" si="0"/>
        <v>533.91314171053773</v>
      </c>
      <c r="S34" s="59">
        <f ca="1">AVERAGE(OFFSET($R$3,0,0,'Données projet'!$E$9+1,1))-AVERAGE(OFFSET($H$3,0,0,'Données projet'!$E$9+1,1))</f>
        <v>581.88778927327667</v>
      </c>
      <c r="T34" s="59">
        <f t="shared" si="34"/>
        <v>269.67340993773422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3.887142857142857</v>
      </c>
      <c r="AI34" s="13">
        <f>IF('Données projet'!$A$62&gt;35,AI33+AH34-AQ33,IF(A34&lt;'Données projet'!$A$62,$AF$205^A34,IF(A34='Données projet'!$A$62,'Données projet'!$B$62,AI33+AH34-AQ33)))</f>
        <v>120.50142857142862</v>
      </c>
      <c r="AJ34" s="13">
        <f>AI34*VLOOKUP('Données projet'!$B$10,Paramètres!$A$1:$I$89,3,0)*VLOOKUP('Données projet'!$B$10,Paramètres!$A$1:$I$89,5,0)</f>
        <v>122.18844857142862</v>
      </c>
      <c r="AK34" s="13">
        <f t="shared" si="35"/>
        <v>32.184880868419519</v>
      </c>
      <c r="AL34" s="20">
        <f t="shared" si="4"/>
        <v>268.86688210773553</v>
      </c>
      <c r="AM34" s="59">
        <f t="shared" si="5"/>
        <v>562.20021544106885</v>
      </c>
      <c r="AN34" s="59">
        <f ca="1">AVERAGE(OFFSET($AM$3,0,0,'Données projet'!$E$10+1,1))-AVERAGE(OFFSET($H$3,0,0,'Données projet'!$E$10+1,1))</f>
        <v>646.50767193970182</v>
      </c>
      <c r="AO34" s="59">
        <f t="shared" si="36"/>
        <v>297.06786598620607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3.887142857142857</v>
      </c>
      <c r="N35" s="13">
        <f>IF('Données projet'!$A$36&gt;35,N34+M35-V34,IF(A35&lt;'Données projet'!$A$36,$K$205^A35,IF(A35='Données projet'!$A$36,'Données projet'!$B$36,N34+M35-V34)))</f>
        <v>124.38857142857148</v>
      </c>
      <c r="O35" s="13">
        <f>N35*VLOOKUP('Données projet'!$B$9,Paramètres!$A$1:$I$89,3,0)*VLOOKUP('Données projet'!$B$9,Paramètres!$A$1:$I$89,5,0)</f>
        <v>112.54677942857147</v>
      </c>
      <c r="P35" s="13">
        <f t="shared" si="33"/>
        <v>29.930224010130704</v>
      </c>
      <c r="Q35" s="20">
        <f t="shared" ref="Q35:Q66" si="53">(O35+P35)*0.475*44/12</f>
        <v>248.14744765573963</v>
      </c>
      <c r="R35" s="59">
        <f t="shared" si="0"/>
        <v>541.48078098907297</v>
      </c>
      <c r="S35" s="59">
        <f ca="1">AVERAGE(OFFSET($R$3,0,0,'Données projet'!$E$9+1,1))-AVERAGE(OFFSET($H$3,0,0,'Données projet'!$E$9+1,1))</f>
        <v>581.88778927327667</v>
      </c>
      <c r="T35" s="59">
        <f t="shared" si="34"/>
        <v>269.67340993773422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3.887142857142857</v>
      </c>
      <c r="AI35" s="13">
        <f>IF('Données projet'!$A$62&gt;35,AI34+AH35-AQ34,IF(A35&lt;'Données projet'!$A$62,$AF$205^A35,IF(A35='Données projet'!$A$62,'Données projet'!$B$62,AI34+AH35-AQ34)))</f>
        <v>124.38857142857148</v>
      </c>
      <c r="AJ35" s="13">
        <f>AI35*VLOOKUP('Données projet'!$B$10,Paramètres!$A$1:$I$89,3,0)*VLOOKUP('Données projet'!$B$10,Paramètres!$A$1:$I$89,5,0)</f>
        <v>126.13001142857149</v>
      </c>
      <c r="AK35" s="13">
        <f t="shared" si="35"/>
        <v>33.100551830676153</v>
      </c>
      <c r="AL35" s="20">
        <f t="shared" si="4"/>
        <v>277.32656434318966</v>
      </c>
      <c r="AM35" s="59">
        <f t="shared" si="5"/>
        <v>570.65989767652297</v>
      </c>
      <c r="AN35" s="59">
        <f ca="1">AVERAGE(OFFSET($AM$3,0,0,'Données projet'!$E$10+1,1))-AVERAGE(OFFSET($H$3,0,0,'Données projet'!$E$10+1,1))</f>
        <v>646.50767193970182</v>
      </c>
      <c r="AO35" s="59">
        <f t="shared" si="36"/>
        <v>297.06786598620607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3.887142857142857</v>
      </c>
      <c r="N36" s="13">
        <f>IF('Données projet'!$A$36&gt;35,N35+M36-V35,IF(A36&lt;'Données projet'!$A$36,$K$205^A36,IF(A36='Données projet'!$A$36,'Données projet'!$B$36,N35+M36-V35)))</f>
        <v>128.27571428571434</v>
      </c>
      <c r="O36" s="13">
        <f>N36*VLOOKUP('Données projet'!$B$9,Paramètres!$A$1:$I$89,3,0)*VLOOKUP('Données projet'!$B$9,Paramètres!$A$1:$I$89,5,0)</f>
        <v>116.06386628571434</v>
      </c>
      <c r="P36" s="13">
        <f t="shared" si="33"/>
        <v>30.755186414072718</v>
      </c>
      <c r="Q36" s="20">
        <f t="shared" si="53"/>
        <v>255.70985011879577</v>
      </c>
      <c r="R36" s="59">
        <f t="shared" si="0"/>
        <v>549.04318345212914</v>
      </c>
      <c r="S36" s="59">
        <f ca="1">AVERAGE(OFFSET($R$3,0,0,'Données projet'!$E$9+1,1))-AVERAGE(OFFSET($H$3,0,0,'Données projet'!$E$9+1,1))</f>
        <v>581.88778927327667</v>
      </c>
      <c r="T36" s="59">
        <f t="shared" si="34"/>
        <v>269.67340993773422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3.887142857142857</v>
      </c>
      <c r="AI36" s="13">
        <f>IF('Données projet'!$A$62&gt;35,AI35+AH36-AQ35,IF(A36&lt;'Données projet'!$A$62,$AF$205^A36,IF(A36='Données projet'!$A$62,'Données projet'!$B$62,AI35+AH36-AQ35)))</f>
        <v>128.27571428571434</v>
      </c>
      <c r="AJ36" s="13">
        <f>AI36*VLOOKUP('Données projet'!$B$10,Paramètres!$A$1:$I$89,3,0)*VLOOKUP('Données projet'!$B$10,Paramètres!$A$1:$I$89,5,0)</f>
        <v>130.07157428571435</v>
      </c>
      <c r="AK36" s="13">
        <f t="shared" si="35"/>
        <v>34.012897518459816</v>
      </c>
      <c r="AL36" s="20">
        <f t="shared" si="4"/>
        <v>285.78045505893664</v>
      </c>
      <c r="AM36" s="59">
        <f t="shared" si="5"/>
        <v>579.11378839226995</v>
      </c>
      <c r="AN36" s="59">
        <f ca="1">AVERAGE(OFFSET($AM$3,0,0,'Données projet'!$E$10+1,1))-AVERAGE(OFFSET($H$3,0,0,'Données projet'!$E$10+1,1))</f>
        <v>646.50767193970182</v>
      </c>
      <c r="AO36" s="59">
        <f t="shared" si="36"/>
        <v>297.06786598620607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3.887142857142857</v>
      </c>
      <c r="N37" s="13">
        <f>IF('Données projet'!$A$36&gt;35,N36+M37-V36,IF(A37&lt;'Données projet'!$A$36,$K$205^A37,IF(A37='Données projet'!$A$36,'Données projet'!$B$36,N36+M37-V36)))</f>
        <v>132.16285714285721</v>
      </c>
      <c r="O37" s="13">
        <f>N37*VLOOKUP('Données projet'!$B$9,Paramètres!$A$1:$I$89,3,0)*VLOOKUP('Données projet'!$B$9,Paramètres!$A$1:$I$89,5,0)</f>
        <v>119.58095314285718</v>
      </c>
      <c r="P37" s="13">
        <f t="shared" si="33"/>
        <v>31.577243606763055</v>
      </c>
      <c r="Q37" s="20">
        <f t="shared" si="53"/>
        <v>263.26719267225525</v>
      </c>
      <c r="R37" s="59">
        <f t="shared" si="0"/>
        <v>556.60052600558856</v>
      </c>
      <c r="S37" s="59">
        <f ca="1">AVERAGE(OFFSET($R$3,0,0,'Données projet'!$E$9+1,1))-AVERAGE(OFFSET($H$3,0,0,'Données projet'!$E$9+1,1))</f>
        <v>581.88778927327667</v>
      </c>
      <c r="T37" s="59">
        <f t="shared" si="34"/>
        <v>269.67340993773422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3.887142857142857</v>
      </c>
      <c r="AI37" s="13">
        <f>IF('Données projet'!$A$62&gt;35,AI36+AH37-AQ36,IF(A37&lt;'Données projet'!$A$62,$AF$205^A37,IF(A37='Données projet'!$A$62,'Données projet'!$B$62,AI36+AH37-AQ36)))</f>
        <v>132.16285714285721</v>
      </c>
      <c r="AJ37" s="13">
        <f>AI37*VLOOKUP('Données projet'!$B$10,Paramètres!$A$1:$I$89,3,0)*VLOOKUP('Données projet'!$B$10,Paramètres!$A$1:$I$89,5,0)</f>
        <v>134.0131371428572</v>
      </c>
      <c r="AK37" s="13">
        <f t="shared" si="35"/>
        <v>34.92203026351433</v>
      </c>
      <c r="AL37" s="20">
        <f t="shared" si="4"/>
        <v>294.2287498994304</v>
      </c>
      <c r="AM37" s="59">
        <f t="shared" si="5"/>
        <v>587.56208323276371</v>
      </c>
      <c r="AN37" s="59">
        <f ca="1">AVERAGE(OFFSET($AM$3,0,0,'Données projet'!$E$10+1,1))-AVERAGE(OFFSET($H$3,0,0,'Données projet'!$E$10+1,1))</f>
        <v>646.50767193970182</v>
      </c>
      <c r="AO37" s="59">
        <f t="shared" si="36"/>
        <v>297.06786598620607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3.887142857142857</v>
      </c>
      <c r="N38" s="13">
        <f>IF('Données projet'!$A$36&gt;35,N37+M38-V37,IF(A38&lt;'Données projet'!$A$36,$K$205^A38,IF(A38='Données projet'!$A$36,'Données projet'!$B$36,N37+M38-V37)))</f>
        <v>136.05000000000007</v>
      </c>
      <c r="O38" s="13">
        <f>N38*VLOOKUP('Données projet'!$B$9,Paramètres!$A$1:$I$89,3,0)*VLOOKUP('Données projet'!$B$9,Paramètres!$A$1:$I$89,5,0)</f>
        <v>123.09804000000005</v>
      </c>
      <c r="P38" s="13">
        <f t="shared" si="33"/>
        <v>32.396490846405321</v>
      </c>
      <c r="Q38" s="20">
        <f t="shared" si="53"/>
        <v>270.81964122415599</v>
      </c>
      <c r="R38" s="59">
        <f t="shared" si="0"/>
        <v>564.1529745574893</v>
      </c>
      <c r="S38" s="59">
        <f ca="1">AVERAGE(OFFSET($R$3,0,0,'Données projet'!$E$9+1,1))-AVERAGE(OFFSET($H$3,0,0,'Données projet'!$E$9+1,1))</f>
        <v>581.88778927327667</v>
      </c>
      <c r="T38" s="59">
        <f t="shared" si="34"/>
        <v>269.67340993773422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3.887142857142857</v>
      </c>
      <c r="AI38" s="13">
        <f>IF('Données projet'!$A$62&gt;35,AI37+AH38-AQ37,IF(A38&lt;'Données projet'!$A$62,$AF$205^A38,IF(A38='Données projet'!$A$62,'Données projet'!$B$62,AI37+AH38-AQ37)))</f>
        <v>136.05000000000007</v>
      </c>
      <c r="AJ38" s="13">
        <f>AI38*VLOOKUP('Données projet'!$B$10,Paramètres!$A$1:$I$89,3,0)*VLOOKUP('Données projet'!$B$10,Paramètres!$A$1:$I$89,5,0)</f>
        <v>137.95470000000009</v>
      </c>
      <c r="AK38" s="13">
        <f t="shared" si="35"/>
        <v>35.828055414169384</v>
      </c>
      <c r="AL38" s="20">
        <f t="shared" si="4"/>
        <v>302.67163234634512</v>
      </c>
      <c r="AM38" s="59">
        <f t="shared" si="5"/>
        <v>596.00496567967843</v>
      </c>
      <c r="AN38" s="59">
        <f ca="1">AVERAGE(OFFSET($AM$3,0,0,'Données projet'!$E$10+1,1))-AVERAGE(OFFSET($H$3,0,0,'Données projet'!$E$10+1,1))</f>
        <v>646.50767193970182</v>
      </c>
      <c r="AO38" s="59">
        <f t="shared" si="36"/>
        <v>297.06786598620607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3.887142857142857</v>
      </c>
      <c r="N39" s="13">
        <f>IF('Données projet'!$A$36&gt;35,N38+M39-V38,IF(A39&lt;'Données projet'!$A$36,$K$205^A39,IF(A39='Données projet'!$A$36,'Données projet'!$B$36,N38+M39-V38)))</f>
        <v>139.93714285714293</v>
      </c>
      <c r="O39" s="13">
        <f>N39*VLOOKUP('Données projet'!$B$9,Paramètres!$A$1:$I$89,3,0)*VLOOKUP('Données projet'!$B$9,Paramètres!$A$1:$I$89,5,0)</f>
        <v>126.61512685714293</v>
      </c>
      <c r="P39" s="13">
        <f t="shared" si="33"/>
        <v>33.213017638275041</v>
      </c>
      <c r="Q39" s="20">
        <f t="shared" si="53"/>
        <v>278.36735166285297</v>
      </c>
      <c r="R39" s="59">
        <f t="shared" si="0"/>
        <v>571.70068499618628</v>
      </c>
      <c r="S39" s="59">
        <f ca="1">AVERAGE(OFFSET($R$3,0,0,'Données projet'!$E$9+1,1))-AVERAGE(OFFSET($H$3,0,0,'Données projet'!$E$9+1,1))</f>
        <v>581.88778927327667</v>
      </c>
      <c r="T39" s="59">
        <f t="shared" si="34"/>
        <v>269.67340993773422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3.887142857142857</v>
      </c>
      <c r="AI39" s="13">
        <f>IF('Données projet'!$A$62&gt;35,AI38+AH39-AQ38,IF(A39&lt;'Données projet'!$A$62,$AF$205^A39,IF(A39='Données projet'!$A$62,'Données projet'!$B$62,AI38+AH39-AQ38)))</f>
        <v>139.93714285714293</v>
      </c>
      <c r="AJ39" s="13">
        <f>AI39*VLOOKUP('Données projet'!$B$10,Paramètres!$A$1:$I$89,3,0)*VLOOKUP('Données projet'!$B$10,Paramètres!$A$1:$I$89,5,0)</f>
        <v>141.89626285714294</v>
      </c>
      <c r="AK39" s="13">
        <f t="shared" si="35"/>
        <v>36.73107195645354</v>
      </c>
      <c r="AL39" s="20">
        <f t="shared" si="4"/>
        <v>311.10927480034724</v>
      </c>
      <c r="AM39" s="59">
        <f t="shared" si="5"/>
        <v>604.44260813368055</v>
      </c>
      <c r="AN39" s="59">
        <f ca="1">AVERAGE(OFFSET($AM$3,0,0,'Données projet'!$E$10+1,1))-AVERAGE(OFFSET($H$3,0,0,'Données projet'!$E$10+1,1))</f>
        <v>646.50767193970182</v>
      </c>
      <c r="AO39" s="59">
        <f t="shared" si="36"/>
        <v>297.06786598620607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3.887142857142857</v>
      </c>
      <c r="N40" s="13">
        <f>IF('Données projet'!$A$36&gt;35,N39+M40-V39,IF(A40&lt;'Données projet'!$A$36,$K$205^A40,IF(A40='Données projet'!$A$36,'Données projet'!$B$36,N39+M40-V39)))</f>
        <v>143.82428571428579</v>
      </c>
      <c r="O40" s="13">
        <f>N40*VLOOKUP('Données projet'!$B$9,Paramètres!$A$1:$I$89,3,0)*VLOOKUP('Données projet'!$B$9,Paramètres!$A$1:$I$89,5,0)</f>
        <v>130.13221371428577</v>
      </c>
      <c r="P40" s="13">
        <f t="shared" si="33"/>
        <v>34.026908232186209</v>
      </c>
      <c r="Q40" s="20">
        <f t="shared" si="53"/>
        <v>285.91047072343866</v>
      </c>
      <c r="R40" s="59">
        <f t="shared" si="0"/>
        <v>579.24380405677198</v>
      </c>
      <c r="S40" s="59">
        <f ca="1">AVERAGE(OFFSET($R$3,0,0,'Données projet'!$E$9+1,1))-AVERAGE(OFFSET($H$3,0,0,'Données projet'!$E$9+1,1))</f>
        <v>581.88778927327667</v>
      </c>
      <c r="T40" s="59">
        <f t="shared" si="34"/>
        <v>269.67340993773422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3.887142857142857</v>
      </c>
      <c r="AI40" s="13">
        <f>IF('Données projet'!$A$62&gt;35,AI39+AH40-AQ39,IF(A40&lt;'Données projet'!$A$62,$AF$205^A40,IF(A40='Données projet'!$A$62,'Données projet'!$B$62,AI39+AH40-AQ39)))</f>
        <v>143.82428571428579</v>
      </c>
      <c r="AJ40" s="13">
        <f>AI40*VLOOKUP('Données projet'!$B$10,Paramètres!$A$1:$I$89,3,0)*VLOOKUP('Données projet'!$B$10,Paramètres!$A$1:$I$89,5,0)</f>
        <v>145.8378257142858</v>
      </c>
      <c r="AK40" s="13">
        <f t="shared" si="35"/>
        <v>37.631173064254732</v>
      </c>
      <c r="AL40" s="20">
        <f t="shared" si="4"/>
        <v>319.5418395392914</v>
      </c>
      <c r="AM40" s="59">
        <f t="shared" si="5"/>
        <v>612.87517287262472</v>
      </c>
      <c r="AN40" s="59">
        <f ca="1">AVERAGE(OFFSET($AM$3,0,0,'Données projet'!$E$10+1,1))-AVERAGE(OFFSET($H$3,0,0,'Données projet'!$E$10+1,1))</f>
        <v>646.50767193970182</v>
      </c>
      <c r="AO40" s="59">
        <f t="shared" si="36"/>
        <v>297.06786598620607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3.887142857142857</v>
      </c>
      <c r="N41" s="13">
        <f>IF('Données projet'!$A$36&gt;35,N40+M41-V40,IF(A41&lt;'Données projet'!$A$36,$K$205^A41,IF(A41='Données projet'!$A$36,'Données projet'!$B$36,N40+M41-V40)))</f>
        <v>147.71142857142866</v>
      </c>
      <c r="O41" s="13">
        <f>N41*VLOOKUP('Données projet'!$B$9,Paramètres!$A$1:$I$89,3,0)*VLOOKUP('Données projet'!$B$9,Paramètres!$A$1:$I$89,5,0)</f>
        <v>133.64930057142865</v>
      </c>
      <c r="P41" s="13">
        <f t="shared" si="33"/>
        <v>34.8382420646657</v>
      </c>
      <c r="Q41" s="20">
        <f t="shared" si="53"/>
        <v>293.44913675786432</v>
      </c>
      <c r="R41" s="59">
        <f t="shared" si="0"/>
        <v>586.78247009119764</v>
      </c>
      <c r="S41" s="59">
        <f ca="1">AVERAGE(OFFSET($R$3,0,0,'Données projet'!$E$9+1,1))-AVERAGE(OFFSET($H$3,0,0,'Données projet'!$E$9+1,1))</f>
        <v>581.88778927327667</v>
      </c>
      <c r="T41" s="59">
        <f t="shared" si="34"/>
        <v>269.67340993773422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3.887142857142857</v>
      </c>
      <c r="AI41" s="13">
        <f>IF('Données projet'!$A$62&gt;35,AI40+AH41-AQ40,IF(A41&lt;'Données projet'!$A$62,$AF$205^A41,IF(A41='Données projet'!$A$62,'Données projet'!$B$62,AI40+AH41-AQ40)))</f>
        <v>147.71142857142866</v>
      </c>
      <c r="AJ41" s="13">
        <f>AI41*VLOOKUP('Données projet'!$B$10,Paramètres!$A$1:$I$89,3,0)*VLOOKUP('Données projet'!$B$10,Paramètres!$A$1:$I$89,5,0)</f>
        <v>149.77938857142865</v>
      </c>
      <c r="AK41" s="13">
        <f t="shared" si="35"/>
        <v>38.528446588331214</v>
      </c>
      <c r="AL41" s="20">
        <f t="shared" si="4"/>
        <v>327.96947956991511</v>
      </c>
      <c r="AM41" s="59">
        <f t="shared" si="5"/>
        <v>621.30281290324842</v>
      </c>
      <c r="AN41" s="59">
        <f ca="1">AVERAGE(OFFSET($AM$3,0,0,'Données projet'!$E$10+1,1))-AVERAGE(OFFSET($H$3,0,0,'Données projet'!$E$10+1,1))</f>
        <v>646.50767193970182</v>
      </c>
      <c r="AO41" s="59">
        <f t="shared" si="36"/>
        <v>297.06786598620607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3.887142857142857</v>
      </c>
      <c r="N42" s="13">
        <f>IF('Données projet'!$A$36&gt;35,N41+M42-V41,IF(A42&lt;'Données projet'!$A$36,$K$205^A42,IF(A42='Données projet'!$A$36,'Données projet'!$B$36,N41+M42-V41)))</f>
        <v>151.59857142857152</v>
      </c>
      <c r="O42" s="13">
        <f>N42*VLOOKUP('Données projet'!$B$9,Paramètres!$A$1:$I$89,3,0)*VLOOKUP('Données projet'!$B$9,Paramètres!$A$1:$I$89,5,0)</f>
        <v>137.16638742857151</v>
      </c>
      <c r="P42" s="13">
        <f t="shared" si="33"/>
        <v>35.647094153273272</v>
      </c>
      <c r="Q42" s="20">
        <f t="shared" si="53"/>
        <v>300.98348042171295</v>
      </c>
      <c r="R42" s="59">
        <f t="shared" si="0"/>
        <v>594.31681375504627</v>
      </c>
      <c r="S42" s="59">
        <f ca="1">AVERAGE(OFFSET($R$3,0,0,'Données projet'!$E$9+1,1))-AVERAGE(OFFSET($H$3,0,0,'Données projet'!$E$9+1,1))</f>
        <v>581.88778927327667</v>
      </c>
      <c r="T42" s="59">
        <f t="shared" si="34"/>
        <v>269.67340993773422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3.887142857142857</v>
      </c>
      <c r="AI42" s="13">
        <f>IF('Données projet'!$A$62&gt;35,AI41+AH42-AQ41,IF(A42&lt;'Données projet'!$A$62,$AF$205^A42,IF(A42='Données projet'!$A$62,'Données projet'!$B$62,AI41+AH42-AQ41)))</f>
        <v>151.59857142857152</v>
      </c>
      <c r="AJ42" s="13">
        <f>AI42*VLOOKUP('Données projet'!$B$10,Paramètres!$A$1:$I$89,3,0)*VLOOKUP('Données projet'!$B$10,Paramètres!$A$1:$I$89,5,0)</f>
        <v>153.72095142857154</v>
      </c>
      <c r="AK42" s="13">
        <f t="shared" si="35"/>
        <v>39.422975492399672</v>
      </c>
      <c r="AL42" s="20">
        <f t="shared" si="4"/>
        <v>336.39233938735816</v>
      </c>
      <c r="AM42" s="59">
        <f t="shared" si="5"/>
        <v>629.72567272069148</v>
      </c>
      <c r="AN42" s="59">
        <f ca="1">AVERAGE(OFFSET($AM$3,0,0,'Données projet'!$E$10+1,1))-AVERAGE(OFFSET($H$3,0,0,'Données projet'!$E$10+1,1))</f>
        <v>646.50767193970182</v>
      </c>
      <c r="AO42" s="59">
        <f t="shared" si="36"/>
        <v>297.06786598620607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3.887142857142857</v>
      </c>
      <c r="N43" s="13">
        <f>IF('Données projet'!$A$36&gt;35,N42+M43-V42,IF(A43&lt;'Données projet'!$A$36,$K$205^A43,IF(A43='Données projet'!$A$36,'Données projet'!$B$36,N42+M43-V42)))</f>
        <v>155.48571428571438</v>
      </c>
      <c r="O43" s="13">
        <f>N43*VLOOKUP('Données projet'!$B$9,Paramètres!$A$1:$I$89,3,0)*VLOOKUP('Données projet'!$B$9,Paramètres!$A$1:$I$89,5,0)</f>
        <v>140.68347428571437</v>
      </c>
      <c r="P43" s="13">
        <f t="shared" si="33"/>
        <v>36.453535449340755</v>
      </c>
      <c r="Q43" s="20">
        <f t="shared" si="53"/>
        <v>308.51362528855435</v>
      </c>
      <c r="R43" s="59">
        <f t="shared" si="0"/>
        <v>601.84695862188767</v>
      </c>
      <c r="S43" s="59">
        <f ca="1">AVERAGE(OFFSET($R$3,0,0,'Données projet'!$E$9+1,1))-AVERAGE(OFFSET($H$3,0,0,'Données projet'!$E$9+1,1))</f>
        <v>581.88778927327667</v>
      </c>
      <c r="T43" s="59">
        <f t="shared" si="34"/>
        <v>269.67340993773422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3.887142857142857</v>
      </c>
      <c r="AI43" s="13">
        <f>IF('Données projet'!$A$62&gt;35,AI42+AH43-AQ42,IF(A43&lt;'Données projet'!$A$62,$AF$205^A43,IF(A43='Données projet'!$A$62,'Données projet'!$B$62,AI42+AH43-AQ42)))</f>
        <v>155.48571428571438</v>
      </c>
      <c r="AJ43" s="13">
        <f>AI43*VLOOKUP('Données projet'!$B$10,Paramètres!$A$1:$I$89,3,0)*VLOOKUP('Données projet'!$B$10,Paramètres!$A$1:$I$89,5,0)</f>
        <v>157.66251428571439</v>
      </c>
      <c r="AK43" s="13">
        <f t="shared" si="35"/>
        <v>40.314838243237894</v>
      </c>
      <c r="AL43" s="20">
        <f t="shared" si="4"/>
        <v>344.81055565459184</v>
      </c>
      <c r="AM43" s="59">
        <f t="shared" si="5"/>
        <v>638.14388898792515</v>
      </c>
      <c r="AN43" s="59">
        <f ca="1">AVERAGE(OFFSET($AM$3,0,0,'Données projet'!$E$10+1,1))-AVERAGE(OFFSET($H$3,0,0,'Données projet'!$E$10+1,1))</f>
        <v>646.50767193970182</v>
      </c>
      <c r="AO43" s="59">
        <f t="shared" si="36"/>
        <v>297.06786598620607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3.887142857142857</v>
      </c>
      <c r="N44" s="13">
        <f>IF('Données projet'!$A$36&gt;35,N43+M44-V43,IF(A44&lt;'Données projet'!$A$36,$K$205^A44,IF(A44='Données projet'!$A$36,'Données projet'!$B$36,N43+M44-V43)))</f>
        <v>159.37285714285724</v>
      </c>
      <c r="O44" s="13">
        <f>N44*VLOOKUP('Données projet'!$B$9,Paramètres!$A$1:$I$89,3,0)*VLOOKUP('Données projet'!$B$9,Paramètres!$A$1:$I$89,5,0)</f>
        <v>144.20056114285723</v>
      </c>
      <c r="P44" s="13">
        <f t="shared" si="33"/>
        <v>37.257633154444321</v>
      </c>
      <c r="Q44" s="20">
        <f t="shared" si="53"/>
        <v>316.03968840113345</v>
      </c>
      <c r="R44" s="59">
        <f t="shared" si="0"/>
        <v>609.37302173446676</v>
      </c>
      <c r="S44" s="59">
        <f ca="1">AVERAGE(OFFSET($R$3,0,0,'Données projet'!$E$9+1,1))-AVERAGE(OFFSET($H$3,0,0,'Données projet'!$E$9+1,1))</f>
        <v>581.88778927327667</v>
      </c>
      <c r="T44" s="59">
        <f t="shared" si="34"/>
        <v>269.67340993773422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3.887142857142857</v>
      </c>
      <c r="AI44" s="13">
        <f>IF('Données projet'!$A$62&gt;35,AI43+AH44-AQ43,IF(A44&lt;'Données projet'!$A$62,$AF$205^A44,IF(A44='Données projet'!$A$62,'Données projet'!$B$62,AI43+AH44-AQ43)))</f>
        <v>159.37285714285724</v>
      </c>
      <c r="AJ44" s="13">
        <f>AI44*VLOOKUP('Données projet'!$B$10,Paramètres!$A$1:$I$89,3,0)*VLOOKUP('Données projet'!$B$10,Paramètres!$A$1:$I$89,5,0)</f>
        <v>161.60407714285725</v>
      </c>
      <c r="AK44" s="13">
        <f t="shared" si="35"/>
        <v>41.204109160679089</v>
      </c>
      <c r="AL44" s="20">
        <f t="shared" si="4"/>
        <v>353.2242578119924</v>
      </c>
      <c r="AM44" s="59">
        <f t="shared" si="5"/>
        <v>646.55759114532566</v>
      </c>
      <c r="AN44" s="59">
        <f ca="1">AVERAGE(OFFSET($AM$3,0,0,'Données projet'!$E$10+1,1))-AVERAGE(OFFSET($H$3,0,0,'Données projet'!$E$10+1,1))</f>
        <v>646.50767193970182</v>
      </c>
      <c r="AO44" s="59">
        <f t="shared" si="36"/>
        <v>297.06786598620607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163.26</v>
      </c>
      <c r="L45" s="12">
        <f>VLOOKUP(A45,'Données projet'!$A$35:$I$55,9,0)</f>
        <v>3.887142857142857</v>
      </c>
      <c r="M45" s="12">
        <f t="array" ref="M45">INDEX(L:L,MIN(IF(ISNUMBER(L45:L241),ROW(L45:L241),"")))</f>
        <v>3.887142857142857</v>
      </c>
      <c r="N45" s="13">
        <f>IF('Données projet'!$A$36&gt;35,N44+M45-V44,IF(A45&lt;'Données projet'!$A$36,$K$205^A45,IF(A45='Données projet'!$A$36,'Données projet'!$B$36,N44+M45-V44)))</f>
        <v>163.2600000000001</v>
      </c>
      <c r="O45" s="13">
        <f>N45*VLOOKUP('Données projet'!$B$9,Paramètres!$A$1:$I$89,3,0)*VLOOKUP('Données projet'!$B$9,Paramètres!$A$1:$I$89,5,0)</f>
        <v>147.71764800000008</v>
      </c>
      <c r="P45" s="13">
        <f t="shared" si="33"/>
        <v>38.059451005131997</v>
      </c>
      <c r="Q45" s="20">
        <f t="shared" si="53"/>
        <v>323.56178076727167</v>
      </c>
      <c r="R45" s="59">
        <f t="shared" si="0"/>
        <v>616.89511410060504</v>
      </c>
      <c r="S45" s="59">
        <f ca="1">AVERAGE(OFFSET($R$3,0,0,'Données projet'!$E$9+1,1))-AVERAGE(OFFSET($H$3,0,0,'Données projet'!$E$9+1,1))</f>
        <v>581.88778927327667</v>
      </c>
      <c r="T45" s="59">
        <f t="shared" si="34"/>
        <v>269.67340993773422</v>
      </c>
      <c r="U45" s="15">
        <f>IF(ISNA(VLOOKUP(A45,'Données projet'!$A$35:$I$55,3,0)),0,VLOOKUP(A45,'Données projet'!$A$35:$I$55,3,0))</f>
        <v>1</v>
      </c>
      <c r="V45" s="15">
        <f>IF(ISNA(VLOOKUP(A45,'Données projet'!$A$35:$I$55,4,0)),0,VLOOKUP(A45,'Données projet'!$A$35:$I$55,4,0))</f>
        <v>43.21</v>
      </c>
      <c r="W45" s="16">
        <f>IF(ISNA(VLOOKUP(A45,'Données projet'!$A$35:$I$55,5,0)),0%,VLOOKUP(A45,'Données projet'!$A$35:$I$55,5,0)*VLOOKUP('Données projet'!$B$9,Paramètres!$A$1:$I$89,7,0))</f>
        <v>0.129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5.575369807727423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5.575369807727423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163.26</v>
      </c>
      <c r="AG45" s="12">
        <f>VLOOKUP(A45,'Données projet'!$A$61:$I$81,9,0)</f>
        <v>3.887142857142857</v>
      </c>
      <c r="AH45" s="12">
        <f t="array" ref="AH45">INDEX(AG:AG,MIN(IF(ISNUMBER(AG45:AG241),ROW(AG45:AG241),"")))</f>
        <v>3.887142857142857</v>
      </c>
      <c r="AI45" s="13">
        <f>IF('Données projet'!$A$62&gt;35,AI44+AH45-AQ44,IF(A45&lt;'Données projet'!$A$62,$AF$205^A45,IF(A45='Données projet'!$A$62,'Données projet'!$B$62,AI44+AH45-AQ44)))</f>
        <v>163.2600000000001</v>
      </c>
      <c r="AJ45" s="13">
        <f>AI45*VLOOKUP('Données projet'!$B$10,Paramètres!$A$1:$I$89,3,0)*VLOOKUP('Données projet'!$B$10,Paramètres!$A$1:$I$89,5,0)</f>
        <v>165.54564000000011</v>
      </c>
      <c r="AK45" s="13">
        <f t="shared" si="35"/>
        <v>42.090858732498674</v>
      </c>
      <c r="AL45" s="20">
        <f t="shared" si="4"/>
        <v>361.6335686257687</v>
      </c>
      <c r="AM45" s="59">
        <f t="shared" si="5"/>
        <v>654.96690195910196</v>
      </c>
      <c r="AN45" s="59">
        <f ca="1">AVERAGE(OFFSET($AM$3,0,0,'Données projet'!$E$10+1,1))-AVERAGE(OFFSET($H$3,0,0,'Données projet'!$E$10+1,1))</f>
        <v>646.50767193970182</v>
      </c>
      <c r="AO45" s="59">
        <f t="shared" si="36"/>
        <v>297.06786598620607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0.129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6.2482592672807336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6.2482592672807336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9.3712500000000034</v>
      </c>
      <c r="N46" s="13">
        <f>IF('Données projet'!$A$36&gt;35,N45+M46-V45,IF(A46&lt;'Données projet'!$A$36,$K$205^A46,IF(A46='Données projet'!$A$36,'Données projet'!$B$36,N45+M46-V45)))</f>
        <v>129.4212500000001</v>
      </c>
      <c r="O46" s="13">
        <f>N46*VLOOKUP('Données projet'!$B$9,Paramètres!$A$1:$I$89,3,0)*VLOOKUP('Données projet'!$B$9,Paramètres!$A$1:$I$89,5,0)</f>
        <v>117.10034700000008</v>
      </c>
      <c r="P46" s="13">
        <f t="shared" si="33"/>
        <v>30.997743089027207</v>
      </c>
      <c r="Q46" s="20">
        <f t="shared" si="53"/>
        <v>257.93750690505584</v>
      </c>
      <c r="R46" s="59">
        <f t="shared" si="0"/>
        <v>551.27084023838916</v>
      </c>
      <c r="S46" s="59">
        <f ca="1">AVERAGE(OFFSET($R$3,0,0,'Données projet'!$E$9+1,1))-AVERAGE(OFFSET($H$3,0,0,'Données projet'!$E$9+1,1))</f>
        <v>581.88778927327667</v>
      </c>
      <c r="T46" s="59">
        <f t="shared" si="34"/>
        <v>269.67340993773422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5.4660402064376861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5.4660402064376861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9.3712500000000034</v>
      </c>
      <c r="AI46" s="13">
        <f>IF('Données projet'!$A$62&gt;35,AI45+AH46-AQ45,IF(A46&lt;'Données projet'!$A$62,$AF$205^A46,IF(A46='Données projet'!$A$62,'Données projet'!$B$62,AI45+AH46-AQ45)))</f>
        <v>129.4212500000001</v>
      </c>
      <c r="AJ46" s="13">
        <f>AI46*VLOOKUP('Données projet'!$B$10,Paramètres!$A$1:$I$89,3,0)*VLOOKUP('Données projet'!$B$10,Paramètres!$A$1:$I$89,5,0)</f>
        <v>131.23314750000011</v>
      </c>
      <c r="AK46" s="13">
        <f t="shared" si="35"/>
        <v>34.281146756704409</v>
      </c>
      <c r="AL46" s="20">
        <f t="shared" si="4"/>
        <v>288.27072916376034</v>
      </c>
      <c r="AM46" s="59">
        <f t="shared" si="5"/>
        <v>581.60406249709365</v>
      </c>
      <c r="AN46" s="59">
        <f ca="1">AVERAGE(OFFSET($AM$3,0,0,'Données projet'!$E$10+1,1))-AVERAGE(OFFSET($H$3,0,0,'Données projet'!$E$10+1,1))</f>
        <v>646.50767193970182</v>
      </c>
      <c r="AO46" s="59">
        <f t="shared" si="36"/>
        <v>297.06786598620607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6.1257347141112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6.1257347141112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9.3712500000000034</v>
      </c>
      <c r="N47" s="13">
        <f>IF('Données projet'!$A$36&gt;35,N46+M47-V46,IF(A47&lt;'Données projet'!$A$36,$K$205^A47,IF(A47='Données projet'!$A$36,'Données projet'!$B$36,N46+M47-V46)))</f>
        <v>138.7925000000001</v>
      </c>
      <c r="O47" s="13">
        <f>N47*VLOOKUP('Données projet'!$B$9,Paramètres!$A$1:$I$89,3,0)*VLOOKUP('Données projet'!$B$9,Paramètres!$A$1:$I$89,5,0)</f>
        <v>125.5794540000001</v>
      </c>
      <c r="P47" s="13">
        <f t="shared" si="33"/>
        <v>32.97285338000448</v>
      </c>
      <c r="Q47" s="20">
        <f t="shared" si="53"/>
        <v>276.14526868684135</v>
      </c>
      <c r="R47" s="59">
        <f t="shared" si="0"/>
        <v>569.47860202017466</v>
      </c>
      <c r="S47" s="59">
        <f ca="1">AVERAGE(OFFSET($R$3,0,0,'Données projet'!$E$9+1,1))-AVERAGE(OFFSET($H$3,0,0,'Données projet'!$E$9+1,1))</f>
        <v>581.88778927327667</v>
      </c>
      <c r="T47" s="59">
        <f t="shared" si="34"/>
        <v>269.67340993773422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5.3588544919447685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5.3588544919447685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9.3712500000000034</v>
      </c>
      <c r="AI47" s="13">
        <f>IF('Données projet'!$A$62&gt;35,AI46+AH47-AQ46,IF(A47&lt;'Données projet'!$A$62,$AF$205^A47,IF(A47='Données projet'!$A$62,'Données projet'!$B$62,AI46+AH47-AQ46)))</f>
        <v>138.7925000000001</v>
      </c>
      <c r="AJ47" s="13">
        <f>AI47*VLOOKUP('Données projet'!$B$10,Paramètres!$A$1:$I$89,3,0)*VLOOKUP('Données projet'!$B$10,Paramètres!$A$1:$I$89,5,0)</f>
        <v>140.7355950000001</v>
      </c>
      <c r="AK47" s="13">
        <f t="shared" si="35"/>
        <v>36.465468549139587</v>
      </c>
      <c r="AL47" s="20">
        <f t="shared" si="4"/>
        <v>308.62518568141826</v>
      </c>
      <c r="AM47" s="59">
        <f t="shared" si="5"/>
        <v>601.95851901475157</v>
      </c>
      <c r="AN47" s="59">
        <f ca="1">AVERAGE(OFFSET($AM$3,0,0,'Données projet'!$E$10+1,1))-AVERAGE(OFFSET($H$3,0,0,'Données projet'!$E$10+1,1))</f>
        <v>646.50767193970182</v>
      </c>
      <c r="AO47" s="59">
        <f t="shared" si="36"/>
        <v>297.06786598620607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6.0056127926967227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6.0056127926967227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9.3712500000000034</v>
      </c>
      <c r="N48" s="13">
        <f>IF('Données projet'!$A$36&gt;35,N47+M48-V47,IF(A48&lt;'Données projet'!$A$36,$K$205^A48,IF(A48='Données projet'!$A$36,'Données projet'!$B$36,N47+M48-V47)))</f>
        <v>148.16375000000011</v>
      </c>
      <c r="O48" s="13">
        <f>N48*VLOOKUP('Données projet'!$B$9,Paramètres!$A$1:$I$89,3,0)*VLOOKUP('Données projet'!$B$9,Paramètres!$A$1:$I$89,5,0)</f>
        <v>134.05856100000008</v>
      </c>
      <c r="P48" s="13">
        <f t="shared" si="33"/>
        <v>34.932489097291651</v>
      </c>
      <c r="Q48" s="20">
        <f t="shared" si="53"/>
        <v>294.3260789194498</v>
      </c>
      <c r="R48" s="59">
        <f t="shared" si="0"/>
        <v>587.65941225278311</v>
      </c>
      <c r="S48" s="59">
        <f ca="1">AVERAGE(OFFSET($R$3,0,0,'Données projet'!$E$9+1,1))-AVERAGE(OFFSET($H$3,0,0,'Données projet'!$E$9+1,1))</f>
        <v>581.88778927327667</v>
      </c>
      <c r="T48" s="59">
        <f t="shared" si="34"/>
        <v>269.67340993773422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5.2537706239362265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5.2537706239362265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9.3712500000000034</v>
      </c>
      <c r="AI48" s="13">
        <f>IF('Données projet'!$A$62&gt;35,AI47+AH48-AQ47,IF(A48&lt;'Données projet'!$A$62,$AF$205^A48,IF(A48='Données projet'!$A$62,'Données projet'!$B$62,AI47+AH48-AQ47)))</f>
        <v>148.16375000000011</v>
      </c>
      <c r="AJ48" s="13">
        <f>AI48*VLOOKUP('Données projet'!$B$10,Paramètres!$A$1:$I$89,3,0)*VLOOKUP('Données projet'!$B$10,Paramètres!$A$1:$I$89,5,0)</f>
        <v>150.23804250000012</v>
      </c>
      <c r="AK48" s="13">
        <f t="shared" si="35"/>
        <v>38.632676639775759</v>
      </c>
      <c r="AL48" s="20">
        <f t="shared" si="4"/>
        <v>328.94983583510964</v>
      </c>
      <c r="AM48" s="59">
        <f t="shared" si="5"/>
        <v>622.28316916844301</v>
      </c>
      <c r="AN48" s="59">
        <f ca="1">AVERAGE(OFFSET($AM$3,0,0,'Données projet'!$E$10+1,1))-AVERAGE(OFFSET($H$3,0,0,'Données projet'!$E$10+1,1))</f>
        <v>646.50767193970182</v>
      </c>
      <c r="AO48" s="59">
        <f t="shared" si="36"/>
        <v>297.06786598620607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5.8878463888940464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5.8878463888940464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9.3712500000000034</v>
      </c>
      <c r="N49" s="13">
        <f>IF('Données projet'!$A$36&gt;35,N48+M49-V48,IF(A49&lt;'Données projet'!$A$36,$K$205^A49,IF(A49='Données projet'!$A$36,'Données projet'!$B$36,N48+M49-V48)))</f>
        <v>157.53500000000011</v>
      </c>
      <c r="O49" s="13">
        <f>N49*VLOOKUP('Données projet'!$B$9,Paramètres!$A$1:$I$89,3,0)*VLOOKUP('Données projet'!$B$9,Paramètres!$A$1:$I$89,5,0)</f>
        <v>142.53766800000008</v>
      </c>
      <c r="P49" s="13">
        <f t="shared" si="33"/>
        <v>36.877740410345027</v>
      </c>
      <c r="Q49" s="20">
        <f t="shared" si="53"/>
        <v>312.48183631468436</v>
      </c>
      <c r="R49" s="59">
        <f t="shared" si="0"/>
        <v>605.81516964801767</v>
      </c>
      <c r="S49" s="59">
        <f ca="1">AVERAGE(OFFSET($R$3,0,0,'Données projet'!$E$9+1,1))-AVERAGE(OFFSET($H$3,0,0,'Données projet'!$E$9+1,1))</f>
        <v>581.88778927327667</v>
      </c>
      <c r="T49" s="59">
        <f t="shared" si="34"/>
        <v>269.67340993773422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5.1507473864845013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5.1507473864845013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9.3712500000000034</v>
      </c>
      <c r="AI49" s="13">
        <f>IF('Données projet'!$A$62&gt;35,AI48+AH49-AQ48,IF(A49&lt;'Données projet'!$A$62,$AF$205^A49,IF(A49='Données projet'!$A$62,'Données projet'!$B$62,AI48+AH49-AQ48)))</f>
        <v>157.53500000000011</v>
      </c>
      <c r="AJ49" s="13">
        <f>AI49*VLOOKUP('Données projet'!$B$10,Paramètres!$A$1:$I$89,3,0)*VLOOKUP('Données projet'!$B$10,Paramètres!$A$1:$I$89,5,0)</f>
        <v>159.74049000000011</v>
      </c>
      <c r="AK49" s="13">
        <f t="shared" si="35"/>
        <v>40.783976673134042</v>
      </c>
      <c r="AL49" s="20">
        <f t="shared" si="4"/>
        <v>349.24677945570858</v>
      </c>
      <c r="AM49" s="59">
        <f t="shared" si="5"/>
        <v>642.58011278904189</v>
      </c>
      <c r="AN49" s="59">
        <f ca="1">AVERAGE(OFFSET($AM$3,0,0,'Données projet'!$E$10+1,1))-AVERAGE(OFFSET($H$3,0,0,'Données projet'!$E$10+1,1))</f>
        <v>646.50767193970182</v>
      </c>
      <c r="AO49" s="59">
        <f t="shared" si="36"/>
        <v>297.06786598620607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5.7723893124395271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5.7723893124395271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9.3712500000000034</v>
      </c>
      <c r="N50" s="13">
        <f>IF('Données projet'!$A$36&gt;35,N49+M50-V49,IF(A50&lt;'Données projet'!$A$36,$K$205^A50,IF(A50='Données projet'!$A$36,'Données projet'!$B$36,N49+M50-V49)))</f>
        <v>166.90625000000011</v>
      </c>
      <c r="O50" s="13">
        <f>N50*VLOOKUP('Données projet'!$B$9,Paramètres!$A$1:$I$89,3,0)*VLOOKUP('Données projet'!$B$9,Paramètres!$A$1:$I$89,5,0)</f>
        <v>151.01677500000011</v>
      </c>
      <c r="P50" s="13">
        <f t="shared" si="33"/>
        <v>38.809560459830927</v>
      </c>
      <c r="Q50" s="20">
        <f t="shared" si="53"/>
        <v>330.61420092587235</v>
      </c>
      <c r="R50" s="59">
        <f t="shared" si="0"/>
        <v>623.94753425920567</v>
      </c>
      <c r="S50" s="59">
        <f ca="1">AVERAGE(OFFSET($R$3,0,0,'Données projet'!$E$9+1,1))-AVERAGE(OFFSET($H$3,0,0,'Données projet'!$E$9+1,1))</f>
        <v>581.88778927327667</v>
      </c>
      <c r="T50" s="59">
        <f t="shared" si="34"/>
        <v>269.67340993773422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5.0497443718812338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5.0497443718812338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9.3712500000000034</v>
      </c>
      <c r="AI50" s="13">
        <f>IF('Données projet'!$A$62&gt;35,AI49+AH50-AQ49,IF(A50&lt;'Données projet'!$A$62,$AF$205^A50,IF(A50='Données projet'!$A$62,'Données projet'!$B$62,AI49+AH50-AQ49)))</f>
        <v>166.90625000000011</v>
      </c>
      <c r="AJ50" s="13">
        <f>AI50*VLOOKUP('Données projet'!$B$10,Paramètres!$A$1:$I$89,3,0)*VLOOKUP('Données projet'!$B$10,Paramètres!$A$1:$I$89,5,0)</f>
        <v>169.24293750000012</v>
      </c>
      <c r="AK50" s="13">
        <f t="shared" si="35"/>
        <v>42.920422750313541</v>
      </c>
      <c r="AL50" s="20">
        <f t="shared" si="4"/>
        <v>369.51785243596299</v>
      </c>
      <c r="AM50" s="59">
        <f t="shared" si="5"/>
        <v>662.85118576929631</v>
      </c>
      <c r="AN50" s="59">
        <f ca="1">AVERAGE(OFFSET($AM$3,0,0,'Données projet'!$E$10+1,1))-AVERAGE(OFFSET($H$3,0,0,'Données projet'!$E$10+1,1))</f>
        <v>646.50767193970182</v>
      </c>
      <c r="AO50" s="59">
        <f t="shared" si="36"/>
        <v>297.06786598620607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5.6591962788324173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5.6591962788324173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9.3712500000000034</v>
      </c>
      <c r="N51" s="13">
        <f>IF('Données projet'!$A$36&gt;35,N50+M51-V50,IF(A51&lt;'Données projet'!$A$36,$K$205^A51,IF(A51='Données projet'!$A$36,'Données projet'!$B$36,N50+M51-V50)))</f>
        <v>176.27750000000012</v>
      </c>
      <c r="O51" s="13">
        <f>N51*VLOOKUP('Données projet'!$B$9,Paramètres!$A$1:$I$89,3,0)*VLOOKUP('Données projet'!$B$9,Paramètres!$A$1:$I$89,5,0)</f>
        <v>159.49588200000008</v>
      </c>
      <c r="P51" s="13">
        <f t="shared" si="33"/>
        <v>40.728789309687656</v>
      </c>
      <c r="Q51" s="20">
        <f t="shared" si="53"/>
        <v>348.72463586437283</v>
      </c>
      <c r="R51" s="59">
        <f t="shared" si="0"/>
        <v>642.05796919770614</v>
      </c>
      <c r="S51" s="59">
        <f ca="1">AVERAGE(OFFSET($R$3,0,0,'Données projet'!$E$9+1,1))-AVERAGE(OFFSET($H$3,0,0,'Données projet'!$E$9+1,1))</f>
        <v>581.88778927327667</v>
      </c>
      <c r="T51" s="59">
        <f t="shared" si="34"/>
        <v>269.67340993773422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4.9507219647885812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4.9507219647885812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9.3712500000000034</v>
      </c>
      <c r="AI51" s="13">
        <f>IF('Données projet'!$A$62&gt;35,AI50+AH51-AQ50,IF(A51&lt;'Données projet'!$A$62,$AF$205^A51,IF(A51='Données projet'!$A$62,'Données projet'!$B$62,AI50+AH51-AQ50)))</f>
        <v>176.27750000000012</v>
      </c>
      <c r="AJ51" s="13">
        <f>AI51*VLOOKUP('Données projet'!$B$10,Paramètres!$A$1:$I$89,3,0)*VLOOKUP('Données projet'!$B$10,Paramètres!$A$1:$I$89,5,0)</f>
        <v>178.74538500000011</v>
      </c>
      <c r="AK51" s="13">
        <f t="shared" si="35"/>
        <v>45.042943918150705</v>
      </c>
      <c r="AL51" s="20">
        <f t="shared" si="4"/>
        <v>389.76467286577935</v>
      </c>
      <c r="AM51" s="59">
        <f t="shared" si="5"/>
        <v>683.09800619911266</v>
      </c>
      <c r="AN51" s="59">
        <f ca="1">AVERAGE(OFFSET($AM$3,0,0,'Données projet'!$E$10+1,1))-AVERAGE(OFFSET($H$3,0,0,'Données projet'!$E$10+1,1))</f>
        <v>646.50767193970182</v>
      </c>
      <c r="AO51" s="59">
        <f t="shared" si="36"/>
        <v>297.06786598620607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5.5482228915734098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5.5482228915734098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9.3712500000000034</v>
      </c>
      <c r="N52" s="13">
        <f>IF('Données projet'!$A$36&gt;35,N51+M52-V51,IF(A52&lt;'Données projet'!$A$36,$K$205^A52,IF(A52='Données projet'!$A$36,'Données projet'!$B$36,N51+M52-V51)))</f>
        <v>185.64875000000012</v>
      </c>
      <c r="O52" s="13">
        <f>N52*VLOOKUP('Données projet'!$B$9,Paramètres!$A$1:$I$89,3,0)*VLOOKUP('Données projet'!$B$9,Paramètres!$A$1:$I$89,5,0)</f>
        <v>167.97498900000011</v>
      </c>
      <c r="P52" s="13">
        <f t="shared" si="33"/>
        <v>42.636172660412917</v>
      </c>
      <c r="Q52" s="20">
        <f t="shared" si="53"/>
        <v>366.81443989188602</v>
      </c>
      <c r="R52" s="59">
        <f t="shared" si="0"/>
        <v>660.14777322521934</v>
      </c>
      <c r="S52" s="59">
        <f ca="1">AVERAGE(OFFSET($R$3,0,0,'Données projet'!$E$9+1,1))-AVERAGE(OFFSET($H$3,0,0,'Données projet'!$E$9+1,1))</f>
        <v>581.88778927327667</v>
      </c>
      <c r="T52" s="59">
        <f t="shared" si="34"/>
        <v>269.67340993773422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4.853641326701311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4.853641326701311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9.3712500000000034</v>
      </c>
      <c r="AI52" s="13">
        <f>IF('Données projet'!$A$62&gt;35,AI51+AH52-AQ51,IF(A52&lt;'Données projet'!$A$62,$AF$205^A52,IF(A52='Données projet'!$A$62,'Données projet'!$B$62,AI51+AH52-AQ51)))</f>
        <v>185.64875000000012</v>
      </c>
      <c r="AJ52" s="13">
        <f>AI52*VLOOKUP('Données projet'!$B$10,Paramètres!$A$1:$I$89,3,0)*VLOOKUP('Données projet'!$B$10,Paramètres!$A$1:$I$89,5,0)</f>
        <v>188.24783250000013</v>
      </c>
      <c r="AK52" s="13">
        <f t="shared" si="35"/>
        <v>47.152364864692288</v>
      </c>
      <c r="AL52" s="20">
        <f t="shared" si="4"/>
        <v>409.98867707683922</v>
      </c>
      <c r="AM52" s="59">
        <f t="shared" si="5"/>
        <v>703.32201041017254</v>
      </c>
      <c r="AN52" s="59">
        <f ca="1">AVERAGE(OFFSET($AM$3,0,0,'Données projet'!$E$10+1,1))-AVERAGE(OFFSET($H$3,0,0,'Données projet'!$E$10+1,1))</f>
        <v>646.50767193970182</v>
      </c>
      <c r="AO52" s="59">
        <f t="shared" si="36"/>
        <v>297.06786598620607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5.4394256247514683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5.4394256247514683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195.02</v>
      </c>
      <c r="L53" s="12">
        <f>VLOOKUP(A53,'Données projet'!$A$35:$I$55,9,0)</f>
        <v>9.3712500000000034</v>
      </c>
      <c r="M53" s="12">
        <f t="array" ref="M53">INDEX(L:L,MIN(IF(ISNUMBER(L53:L249),ROW(L53:L249),"")))</f>
        <v>9.3712500000000034</v>
      </c>
      <c r="N53" s="13">
        <f>IF('Données projet'!$A$36&gt;35,N52+M53-V52,IF(A53&lt;'Données projet'!$A$36,$K$205^A53,IF(A53='Données projet'!$A$36,'Données projet'!$B$36,N52+M53-V52)))</f>
        <v>195.02000000000012</v>
      </c>
      <c r="O53" s="13">
        <f>N53*VLOOKUP('Données projet'!$B$9,Paramètres!$A$1:$I$89,3,0)*VLOOKUP('Données projet'!$B$9,Paramètres!$A$1:$I$89,5,0)</f>
        <v>176.45409600000011</v>
      </c>
      <c r="P53" s="13">
        <f t="shared" si="33"/>
        <v>44.532376676436577</v>
      </c>
      <c r="Q53" s="20">
        <f t="shared" si="53"/>
        <v>384.88477324479385</v>
      </c>
      <c r="R53" s="59">
        <f t="shared" si="0"/>
        <v>678.21810657812716</v>
      </c>
      <c r="S53" s="59">
        <f ca="1">AVERAGE(OFFSET($R$3,0,0,'Données projet'!$E$9+1,1))-AVERAGE(OFFSET($H$3,0,0,'Données projet'!$E$9+1,1))</f>
        <v>581.88778927327667</v>
      </c>
      <c r="T53" s="59">
        <f t="shared" si="34"/>
        <v>269.67340993773422</v>
      </c>
      <c r="U53" s="15">
        <f>IF(ISNA(VLOOKUP(A53,'Données projet'!$A$35:$I$55,3,0)),0,VLOOKUP(A53,'Données projet'!$A$35:$I$55,3,0))</f>
        <v>2</v>
      </c>
      <c r="V53" s="15">
        <f>IF(ISNA(VLOOKUP(A53,'Données projet'!$A$35:$I$55,4,0)),0,VLOOKUP(A53,'Données projet'!$A$35:$I$55,4,0))</f>
        <v>35.58</v>
      </c>
      <c r="W53" s="16">
        <f>IF(ISNA(VLOOKUP(A53,'Données projet'!$A$35:$I$55,5,0)),0%,VLOOKUP(A53,'Données projet'!$A$35:$I$55,5,0)*VLOOKUP('Données projet'!$B$9,Paramètres!$A$1:$I$89,7,0))</f>
        <v>0.129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9.3493382006381829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9.3493382006381829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195.02</v>
      </c>
      <c r="AG53" s="12">
        <f>VLOOKUP(A53,'Données projet'!$A$61:$I$81,9,0)</f>
        <v>9.3712500000000034</v>
      </c>
      <c r="AH53" s="12">
        <f t="array" ref="AH53">INDEX(AG:AG,MIN(IF(ISNUMBER(AG53:AG249),ROW(AG53:AG249),"")))</f>
        <v>9.3712500000000034</v>
      </c>
      <c r="AI53" s="13">
        <f>IF('Données projet'!$A$62&gt;35,AI52+AH53-AQ52,IF(A53&lt;'Données projet'!$A$62,$AF$205^A53,IF(A53='Données projet'!$A$62,'Données projet'!$B$62,AI52+AH53-AQ52)))</f>
        <v>195.02000000000012</v>
      </c>
      <c r="AJ53" s="13">
        <f>AI53*VLOOKUP('Données projet'!$B$10,Paramètres!$A$1:$I$89,3,0)*VLOOKUP('Données projet'!$B$10,Paramètres!$A$1:$I$89,5,0)</f>
        <v>197.75028000000015</v>
      </c>
      <c r="AK53" s="13">
        <f t="shared" si="35"/>
        <v>49.24942231714175</v>
      </c>
      <c r="AL53" s="20">
        <f t="shared" si="4"/>
        <v>430.19114820235546</v>
      </c>
      <c r="AM53" s="59">
        <f t="shared" si="5"/>
        <v>723.52448153568878</v>
      </c>
      <c r="AN53" s="59">
        <f ca="1">AVERAGE(OFFSET($AM$3,0,0,'Données projet'!$E$10+1,1))-AVERAGE(OFFSET($H$3,0,0,'Données projet'!$E$10+1,1))</f>
        <v>646.50767193970182</v>
      </c>
      <c r="AO53" s="59">
        <f t="shared" si="36"/>
        <v>297.06786598620607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0.129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10.477706604163481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10.477706604163481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9.5537500000000009</v>
      </c>
      <c r="N54" s="13">
        <f>IF('Données projet'!$A$36&gt;35,N53+M54-V53,IF(A54&lt;'Données projet'!$A$36,$K$205^A54,IF(A54='Données projet'!$A$36,'Données projet'!$B$36,N53+M54-V53)))</f>
        <v>168.99375000000015</v>
      </c>
      <c r="O54" s="13">
        <f>N54*VLOOKUP('Données projet'!$B$9,Paramètres!$A$1:$I$89,3,0)*VLOOKUP('Données projet'!$B$9,Paramètres!$A$1:$I$89,5,0)</f>
        <v>152.90554500000013</v>
      </c>
      <c r="P54" s="13">
        <f t="shared" si="33"/>
        <v>39.238142074568863</v>
      </c>
      <c r="Q54" s="20">
        <f t="shared" si="53"/>
        <v>334.65025498820768</v>
      </c>
      <c r="R54" s="59">
        <f t="shared" si="0"/>
        <v>627.98358832154099</v>
      </c>
      <c r="S54" s="59">
        <f ca="1">AVERAGE(OFFSET($R$3,0,0,'Données projet'!$E$9+1,1))-AVERAGE(OFFSET($H$3,0,0,'Données projet'!$E$9+1,1))</f>
        <v>581.88778927327667</v>
      </c>
      <c r="T54" s="59">
        <f t="shared" si="34"/>
        <v>269.67340993773422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9.1660033810568926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9.1660033810568926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9.5537500000000009</v>
      </c>
      <c r="AI54" s="13">
        <f>IF('Données projet'!$A$62&gt;35,AI53+AH54-AQ53,IF(A54&lt;'Données projet'!$A$62,$AF$205^A54,IF(A54='Données projet'!$A$62,'Données projet'!$B$62,AI53+AH54-AQ53)))</f>
        <v>168.99375000000015</v>
      </c>
      <c r="AJ54" s="13">
        <f>AI54*VLOOKUP('Données projet'!$B$10,Paramètres!$A$1:$I$89,3,0)*VLOOKUP('Données projet'!$B$10,Paramètres!$A$1:$I$89,5,0)</f>
        <v>171.35966250000016</v>
      </c>
      <c r="AK54" s="13">
        <f t="shared" si="35"/>
        <v>43.39440142643388</v>
      </c>
      <c r="AL54" s="20">
        <f t="shared" si="4"/>
        <v>374.0299946718726</v>
      </c>
      <c r="AM54" s="59">
        <f t="shared" si="5"/>
        <v>667.36332800520586</v>
      </c>
      <c r="AN54" s="59">
        <f ca="1">AVERAGE(OFFSET($AM$3,0,0,'Données projet'!$E$10+1,1))-AVERAGE(OFFSET($H$3,0,0,'Données projet'!$E$10+1,1))</f>
        <v>646.50767193970182</v>
      </c>
      <c r="AO54" s="59">
        <f t="shared" si="36"/>
        <v>297.06786598620607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10.272245168425828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10.272245168425828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9.5537500000000009</v>
      </c>
      <c r="N55" s="13">
        <f>IF('Données projet'!$A$36&gt;35,N54+M55-V54,IF(A55&lt;'Données projet'!$A$36,$K$205^A55,IF(A55='Données projet'!$A$36,'Données projet'!$B$36,N54+M55-V54)))</f>
        <v>178.54750000000016</v>
      </c>
      <c r="O55" s="13">
        <f>N55*VLOOKUP('Données projet'!$B$9,Paramètres!$A$1:$I$89,3,0)*VLOOKUP('Données projet'!$B$9,Paramètres!$A$1:$I$89,5,0)</f>
        <v>161.54977800000012</v>
      </c>
      <c r="P55" s="13">
        <f t="shared" si="33"/>
        <v>41.191875810979205</v>
      </c>
      <c r="Q55" s="20">
        <f t="shared" si="53"/>
        <v>353.10838038745561</v>
      </c>
      <c r="R55" s="59">
        <f t="shared" si="0"/>
        <v>646.44171372078893</v>
      </c>
      <c r="S55" s="59">
        <f ca="1">AVERAGE(OFFSET($R$3,0,0,'Données projet'!$E$9+1,1))-AVERAGE(OFFSET($H$3,0,0,'Données projet'!$E$9+1,1))</f>
        <v>581.88778927327667</v>
      </c>
      <c r="T55" s="59">
        <f t="shared" si="34"/>
        <v>269.67340993773422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8.9862636454643923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8.9862636454643923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9.5537500000000009</v>
      </c>
      <c r="AI55" s="13">
        <f>IF('Données projet'!$A$62&gt;35,AI54+AH55-AQ54,IF(A55&lt;'Données projet'!$A$62,$AF$205^A55,IF(A55='Données projet'!$A$62,'Données projet'!$B$62,AI54+AH55-AQ54)))</f>
        <v>178.54750000000016</v>
      </c>
      <c r="AJ55" s="13">
        <f>AI55*VLOOKUP('Données projet'!$B$10,Paramètres!$A$1:$I$89,3,0)*VLOOKUP('Données projet'!$B$10,Paramètres!$A$1:$I$89,5,0)</f>
        <v>181.04716500000015</v>
      </c>
      <c r="AK55" s="13">
        <f t="shared" si="35"/>
        <v>45.55508237501288</v>
      </c>
      <c r="AL55" s="20">
        <f t="shared" si="4"/>
        <v>394.66558084481431</v>
      </c>
      <c r="AM55" s="59">
        <f t="shared" si="5"/>
        <v>687.99891417814763</v>
      </c>
      <c r="AN55" s="59">
        <f ca="1">AVERAGE(OFFSET($AM$3,0,0,'Données projet'!$E$10+1,1))-AVERAGE(OFFSET($H$3,0,0,'Données projet'!$E$10+1,1))</f>
        <v>646.50767193970182</v>
      </c>
      <c r="AO55" s="59">
        <f t="shared" si="36"/>
        <v>297.06786598620607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10.070812706123888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10.070812706123888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9.5537500000000009</v>
      </c>
      <c r="N56" s="13">
        <f>IF('Données projet'!$A$36&gt;35,N55+M56-V55,IF(A56&lt;'Données projet'!$A$36,$K$205^A56,IF(A56='Données projet'!$A$36,'Données projet'!$B$36,N55+M56-V55)))</f>
        <v>188.10125000000016</v>
      </c>
      <c r="O56" s="13">
        <f>N56*VLOOKUP('Données projet'!$B$9,Paramètres!$A$1:$I$89,3,0)*VLOOKUP('Données projet'!$B$9,Paramètres!$A$1:$I$89,5,0)</f>
        <v>170.19401100000013</v>
      </c>
      <c r="P56" s="13">
        <f t="shared" si="33"/>
        <v>43.133472710542861</v>
      </c>
      <c r="Q56" s="20">
        <f t="shared" si="53"/>
        <v>371.54536746252899</v>
      </c>
      <c r="R56" s="59">
        <f t="shared" si="0"/>
        <v>664.8787007958623</v>
      </c>
      <c r="S56" s="59">
        <f ca="1">AVERAGE(OFFSET($R$3,0,0,'Données projet'!$E$9+1,1))-AVERAGE(OFFSET($H$3,0,0,'Données projet'!$E$9+1,1))</f>
        <v>581.88778927327667</v>
      </c>
      <c r="T56" s="59">
        <f t="shared" si="34"/>
        <v>269.67340993773422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8.8100484964564476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8.8100484964564476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9.5537500000000009</v>
      </c>
      <c r="AI56" s="13">
        <f>IF('Données projet'!$A$62&gt;35,AI55+AH56-AQ55,IF(A56&lt;'Données projet'!$A$62,$AF$205^A56,IF(A56='Données projet'!$A$62,'Données projet'!$B$62,AI55+AH56-AQ55)))</f>
        <v>188.10125000000016</v>
      </c>
      <c r="AJ56" s="13">
        <f>AI56*VLOOKUP('Données projet'!$B$10,Paramètres!$A$1:$I$89,3,0)*VLOOKUP('Données projet'!$B$10,Paramètres!$A$1:$I$89,5,0)</f>
        <v>190.73466750000017</v>
      </c>
      <c r="AK56" s="13">
        <f t="shared" si="35"/>
        <v>47.70234090493684</v>
      </c>
      <c r="AL56" s="20">
        <f t="shared" si="4"/>
        <v>415.27778963859856</v>
      </c>
      <c r="AM56" s="59">
        <f t="shared" si="5"/>
        <v>708.61112297193188</v>
      </c>
      <c r="AN56" s="59">
        <f ca="1">AVERAGE(OFFSET($AM$3,0,0,'Données projet'!$E$10+1,1))-AVERAGE(OFFSET($H$3,0,0,'Données projet'!$E$10+1,1))</f>
        <v>646.50767193970182</v>
      </c>
      <c r="AO56" s="59">
        <f t="shared" si="36"/>
        <v>297.06786598620607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9.8733302115460191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9.8733302115460191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9.5537500000000009</v>
      </c>
      <c r="N57" s="13">
        <f>IF('Données projet'!$A$36&gt;35,N56+M57-V56,IF(A57&lt;'Données projet'!$A$36,$K$205^A57,IF(A57='Données projet'!$A$36,'Données projet'!$B$36,N56+M57-V56)))</f>
        <v>197.65500000000017</v>
      </c>
      <c r="O57" s="13">
        <f>N57*VLOOKUP('Données projet'!$B$9,Paramètres!$A$1:$I$89,3,0)*VLOOKUP('Données projet'!$B$9,Paramètres!$A$1:$I$89,5,0)</f>
        <v>178.83824400000015</v>
      </c>
      <c r="P57" s="13">
        <f t="shared" si="33"/>
        <v>45.06361953668285</v>
      </c>
      <c r="Q57" s="20">
        <f t="shared" si="53"/>
        <v>389.96241232638954</v>
      </c>
      <c r="R57" s="59">
        <f t="shared" si="0"/>
        <v>683.2957456597228</v>
      </c>
      <c r="S57" s="59">
        <f ca="1">AVERAGE(OFFSET($R$3,0,0,'Données projet'!$E$9+1,1))-AVERAGE(OFFSET($H$3,0,0,'Données projet'!$E$9+1,1))</f>
        <v>581.88778927327667</v>
      </c>
      <c r="T57" s="59">
        <f t="shared" si="34"/>
        <v>269.67340993773422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8.6372888190399202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8.6372888190399202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9.5537500000000009</v>
      </c>
      <c r="AI57" s="13">
        <f>IF('Données projet'!$A$62&gt;35,AI56+AH57-AQ56,IF(A57&lt;'Données projet'!$A$62,$AF$205^A57,IF(A57='Données projet'!$A$62,'Données projet'!$B$62,AI56+AH57-AQ56)))</f>
        <v>197.65500000000017</v>
      </c>
      <c r="AJ57" s="13">
        <f>AI57*VLOOKUP('Données projet'!$B$10,Paramètres!$A$1:$I$89,3,0)*VLOOKUP('Données projet'!$B$10,Paramètres!$A$1:$I$89,5,0)</f>
        <v>200.42217000000019</v>
      </c>
      <c r="AK57" s="13">
        <f t="shared" si="35"/>
        <v>49.83693652432936</v>
      </c>
      <c r="AL57" s="20">
        <f t="shared" si="4"/>
        <v>435.8679438632073</v>
      </c>
      <c r="AM57" s="59">
        <f t="shared" si="5"/>
        <v>729.20127719654056</v>
      </c>
      <c r="AN57" s="59">
        <f ca="1">AVERAGE(OFFSET($AM$3,0,0,'Données projet'!$E$10+1,1))-AVERAGE(OFFSET($H$3,0,0,'Données projet'!$E$10+1,1))</f>
        <v>646.50767193970182</v>
      </c>
      <c r="AO57" s="59">
        <f t="shared" si="36"/>
        <v>297.06786598620607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9.6797202282343946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9.6797202282343946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9.5537500000000009</v>
      </c>
      <c r="N58" s="13">
        <f>IF('Données projet'!$A$36&gt;35,N57+M58-V57,IF(A58&lt;'Données projet'!$A$36,$K$205^A58,IF(A58='Données projet'!$A$36,'Données projet'!$B$36,N57+M58-V57)))</f>
        <v>207.20875000000018</v>
      </c>
      <c r="O58" s="13">
        <f>N58*VLOOKUP('Données projet'!$B$9,Paramètres!$A$1:$I$89,3,0)*VLOOKUP('Données projet'!$B$9,Paramètres!$A$1:$I$89,5,0)</f>
        <v>187.48247700000016</v>
      </c>
      <c r="P58" s="13">
        <f t="shared" si="33"/>
        <v>46.982932911694917</v>
      </c>
      <c r="Q58" s="20">
        <f t="shared" si="53"/>
        <v>408.3605889295356</v>
      </c>
      <c r="R58" s="59">
        <f t="shared" si="0"/>
        <v>701.69392226286891</v>
      </c>
      <c r="S58" s="59">
        <f ca="1">AVERAGE(OFFSET($R$3,0,0,'Données projet'!$E$9+1,1))-AVERAGE(OFFSET($H$3,0,0,'Données projet'!$E$9+1,1))</f>
        <v>581.88778927327667</v>
      </c>
      <c r="T58" s="59">
        <f t="shared" si="34"/>
        <v>269.67340993773422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8.4679168535245335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8.4679168535245335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9.5537500000000009</v>
      </c>
      <c r="AI58" s="13">
        <f>IF('Données projet'!$A$62&gt;35,AI57+AH58-AQ57,IF(A58&lt;'Données projet'!$A$62,$AF$205^A58,IF(A58='Données projet'!$A$62,'Données projet'!$B$62,AI57+AH58-AQ57)))</f>
        <v>207.20875000000018</v>
      </c>
      <c r="AJ58" s="13">
        <f>AI58*VLOOKUP('Données projet'!$B$10,Paramètres!$A$1:$I$89,3,0)*VLOOKUP('Données projet'!$B$10,Paramètres!$A$1:$I$89,5,0)</f>
        <v>210.10967250000019</v>
      </c>
      <c r="AK58" s="13">
        <f t="shared" si="35"/>
        <v>51.959551170560943</v>
      </c>
      <c r="AL58" s="20">
        <f t="shared" si="4"/>
        <v>456.43723122622731</v>
      </c>
      <c r="AM58" s="59">
        <f t="shared" si="5"/>
        <v>749.77056455956063</v>
      </c>
      <c r="AN58" s="59">
        <f ca="1">AVERAGE(OFFSET($AM$3,0,0,'Données projet'!$E$10+1,1))-AVERAGE(OFFSET($H$3,0,0,'Données projet'!$E$10+1,1))</f>
        <v>646.50767193970182</v>
      </c>
      <c r="AO58" s="59">
        <f t="shared" si="36"/>
        <v>297.06786598620607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9.4899068186050819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9.4899068186050819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9.5537500000000009</v>
      </c>
      <c r="N59" s="13">
        <f>IF('Données projet'!$A$36&gt;35,N58+M59-V58,IF(A59&lt;'Données projet'!$A$36,$K$205^A59,IF(A59='Données projet'!$A$36,'Données projet'!$B$36,N58+M59-V58)))</f>
        <v>216.76250000000019</v>
      </c>
      <c r="O59" s="13">
        <f>N59*VLOOKUP('Données projet'!$B$9,Paramètres!$A$1:$I$89,3,0)*VLOOKUP('Données projet'!$B$9,Paramètres!$A$1:$I$89,5,0)</f>
        <v>196.12671000000017</v>
      </c>
      <c r="P59" s="13">
        <f t="shared" si="33"/>
        <v>48.891969383051702</v>
      </c>
      <c r="Q59" s="20">
        <f t="shared" si="53"/>
        <v>426.74086659214868</v>
      </c>
      <c r="R59" s="59">
        <f t="shared" si="0"/>
        <v>720.07419992548193</v>
      </c>
      <c r="S59" s="59">
        <f ca="1">AVERAGE(OFFSET($R$3,0,0,'Données projet'!$E$9+1,1))-AVERAGE(OFFSET($H$3,0,0,'Données projet'!$E$9+1,1))</f>
        <v>581.88778927327667</v>
      </c>
      <c r="T59" s="59">
        <f t="shared" si="34"/>
        <v>269.67340993773422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8.301866168946205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8.301866168946205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9.5537500000000009</v>
      </c>
      <c r="AI59" s="13">
        <f>IF('Données projet'!$A$62&gt;35,AI58+AH59-AQ58,IF(A59&lt;'Données projet'!$A$62,$AF$205^A59,IF(A59='Données projet'!$A$62,'Données projet'!$B$62,AI58+AH59-AQ58)))</f>
        <v>216.76250000000019</v>
      </c>
      <c r="AJ59" s="13">
        <f>AI59*VLOOKUP('Données projet'!$B$10,Paramètres!$A$1:$I$89,3,0)*VLOOKUP('Données projet'!$B$10,Paramètres!$A$1:$I$89,5,0)</f>
        <v>219.79717500000021</v>
      </c>
      <c r="AK59" s="13">
        <f t="shared" si="35"/>
        <v>54.070800342815986</v>
      </c>
      <c r="AL59" s="20">
        <f t="shared" si="4"/>
        <v>476.98672372207147</v>
      </c>
      <c r="AM59" s="59">
        <f t="shared" si="5"/>
        <v>770.32005705540473</v>
      </c>
      <c r="AN59" s="59">
        <f ca="1">AVERAGE(OFFSET($AM$3,0,0,'Données projet'!$E$10+1,1))-AVERAGE(OFFSET($H$3,0,0,'Données projet'!$E$10+1,1))</f>
        <v>646.50767193970182</v>
      </c>
      <c r="AO59" s="59">
        <f t="shared" si="36"/>
        <v>297.06786598620607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9.3038155341638511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9.3038155341638511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9.5537500000000009</v>
      </c>
      <c r="N60" s="13">
        <f>IF('Données projet'!$A$36&gt;35,N59+M60-V59,IF(A60&lt;'Données projet'!$A$36,$K$205^A60,IF(A60='Données projet'!$A$36,'Données projet'!$B$36,N59+M60-V59)))</f>
        <v>226.3162500000002</v>
      </c>
      <c r="O60" s="13">
        <f>N60*VLOOKUP('Données projet'!$B$9,Paramètres!$A$1:$I$89,3,0)*VLOOKUP('Données projet'!$B$9,Paramètres!$A$1:$I$89,5,0)</f>
        <v>204.77094300000016</v>
      </c>
      <c r="P60" s="13">
        <f t="shared" si="33"/>
        <v>50.791233664926693</v>
      </c>
      <c r="Q60" s="20">
        <f t="shared" si="53"/>
        <v>445.10412435808092</v>
      </c>
      <c r="R60" s="59">
        <f t="shared" si="0"/>
        <v>738.43745769141424</v>
      </c>
      <c r="S60" s="59">
        <f ca="1">AVERAGE(OFFSET($R$3,0,0,'Données projet'!$E$9+1,1))-AVERAGE(OFFSET($H$3,0,0,'Données projet'!$E$9+1,1))</f>
        <v>581.88778927327667</v>
      </c>
      <c r="T60" s="59">
        <f t="shared" si="34"/>
        <v>269.67340993773422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8.1390716370115399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8.1390716370115399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9.5537500000000009</v>
      </c>
      <c r="AI60" s="13">
        <f>IF('Données projet'!$A$62&gt;35,AI59+AH60-AQ59,IF(A60&lt;'Données projet'!$A$62,$AF$205^A60,IF(A60='Données projet'!$A$62,'Données projet'!$B$62,AI59+AH60-AQ59)))</f>
        <v>226.3162500000002</v>
      </c>
      <c r="AJ60" s="13">
        <f>AI60*VLOOKUP('Données projet'!$B$10,Paramètres!$A$1:$I$89,3,0)*VLOOKUP('Données projet'!$B$10,Paramètres!$A$1:$I$89,5,0)</f>
        <v>229.4846775000002</v>
      </c>
      <c r="AK60" s="13">
        <f t="shared" si="35"/>
        <v>56.171242216591338</v>
      </c>
      <c r="AL60" s="20">
        <f t="shared" si="4"/>
        <v>497.51739350639696</v>
      </c>
      <c r="AM60" s="59">
        <f t="shared" si="5"/>
        <v>790.85072683973021</v>
      </c>
      <c r="AN60" s="59">
        <f ca="1">AVERAGE(OFFSET($AM$3,0,0,'Données projet'!$E$10+1,1))-AVERAGE(OFFSET($H$3,0,0,'Données projet'!$E$10+1,1))</f>
        <v>646.50767193970182</v>
      </c>
      <c r="AO60" s="59">
        <f t="shared" si="36"/>
        <v>297.06786598620607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9.1213733863060362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9.1213733863060362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235.87</v>
      </c>
      <c r="L61" s="12">
        <f>VLOOKUP(A61,'Données projet'!$A$35:$I$55,9,0)</f>
        <v>9.5537500000000009</v>
      </c>
      <c r="M61" s="12">
        <f t="array" ref="M61">INDEX(L:L,MIN(IF(ISNUMBER(L61:L257),ROW(L61:L257),"")))</f>
        <v>9.5537500000000009</v>
      </c>
      <c r="N61" s="13">
        <f>IF('Données projet'!$A$36&gt;35,N60+M61-V60,IF(A61&lt;'Données projet'!$A$36,$K$205^A61,IF(A61='Données projet'!$A$36,'Données projet'!$B$36,N60+M61-V60)))</f>
        <v>235.8700000000002</v>
      </c>
      <c r="O61" s="13">
        <f>N61*VLOOKUP('Données projet'!$B$9,Paramètres!$A$1:$I$89,3,0)*VLOOKUP('Données projet'!$B$9,Paramètres!$A$1:$I$89,5,0)</f>
        <v>213.41517600000017</v>
      </c>
      <c r="P61" s="13">
        <f t="shared" si="33"/>
        <v>52.681185448853228</v>
      </c>
      <c r="Q61" s="20">
        <f t="shared" si="53"/>
        <v>463.45116285675294</v>
      </c>
      <c r="R61" s="59">
        <f t="shared" si="0"/>
        <v>756.7844961900862</v>
      </c>
      <c r="S61" s="59">
        <f ca="1">AVERAGE(OFFSET($R$3,0,0,'Données projet'!$E$9+1,1))-AVERAGE(OFFSET($H$3,0,0,'Données projet'!$E$9+1,1))</f>
        <v>581.88778927327667</v>
      </c>
      <c r="T61" s="59">
        <f t="shared" si="34"/>
        <v>269.67340993773422</v>
      </c>
      <c r="U61" s="15">
        <f>IF(ISNA(VLOOKUP(A61,'Données projet'!$A$35:$I$55,3,0)),0,VLOOKUP(A61,'Données projet'!$A$35:$I$55,3,0))</f>
        <v>3</v>
      </c>
      <c r="V61" s="15">
        <f>IF(ISNA(VLOOKUP(A61,'Données projet'!$A$35:$I$55,4,0)),0,VLOOKUP(A61,'Données projet'!$A$35:$I$55,4,0))</f>
        <v>44.93</v>
      </c>
      <c r="W61" s="16">
        <f>IF(ISNA(VLOOKUP(A61,'Données projet'!$A$35:$I$55,5,0)),0%,VLOOKUP(A61,'Données projet'!$A$35:$I$55,5,0)*VLOOKUP('Données projet'!$B$9,Paramètres!$A$1:$I$89,7,0))</f>
        <v>0.129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13.776770157795863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13.776770157795863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235.87</v>
      </c>
      <c r="AG61" s="12">
        <f>VLOOKUP(A61,'Données projet'!$A$61:$I$81,9,0)</f>
        <v>9.5537500000000009</v>
      </c>
      <c r="AH61" s="12">
        <f t="array" ref="AH61">INDEX(AG:AG,MIN(IF(ISNUMBER(AG61:AG257),ROW(AG61:AG257),"")))</f>
        <v>9.5537500000000009</v>
      </c>
      <c r="AI61" s="13">
        <f>IF('Données projet'!$A$62&gt;35,AI60+AH61-AQ60,IF(A61&lt;'Données projet'!$A$62,$AF$205^A61,IF(A61='Données projet'!$A$62,'Données projet'!$B$62,AI60+AH61-AQ60)))</f>
        <v>235.8700000000002</v>
      </c>
      <c r="AJ61" s="13">
        <f>AI61*VLOOKUP('Données projet'!$B$10,Paramètres!$A$1:$I$89,3,0)*VLOOKUP('Données projet'!$B$10,Paramètres!$A$1:$I$89,5,0)</f>
        <v>239.1721800000002</v>
      </c>
      <c r="AK61" s="13">
        <f t="shared" si="35"/>
        <v>58.261385175767472</v>
      </c>
      <c r="AL61" s="20">
        <f t="shared" si="4"/>
        <v>518.0301260144621</v>
      </c>
      <c r="AM61" s="59">
        <f t="shared" si="5"/>
        <v>811.36345934779547</v>
      </c>
      <c r="AN61" s="59">
        <f ca="1">AVERAGE(OFFSET($AM$3,0,0,'Données projet'!$E$10+1,1))-AVERAGE(OFFSET($H$3,0,0,'Données projet'!$E$10+1,1))</f>
        <v>646.50767193970182</v>
      </c>
      <c r="AO61" s="59">
        <f t="shared" si="36"/>
        <v>297.06786598620607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0.129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15.439483797529846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15.439483797529846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9.2524999999999977</v>
      </c>
      <c r="N62" s="13">
        <f>IF('Données projet'!$A$36&gt;35,N61+M62-V61,IF(A62&lt;'Données projet'!$A$36,$K$205^A62,IF(A62='Données projet'!$A$36,'Données projet'!$B$36,N61+M62-V61)))</f>
        <v>200.19250000000019</v>
      </c>
      <c r="O62" s="13">
        <f>N62*VLOOKUP('Données projet'!$B$9,Paramètres!$A$1:$I$89,3,0)*VLOOKUP('Données projet'!$B$9,Paramètres!$A$1:$I$89,5,0)</f>
        <v>181.13417400000017</v>
      </c>
      <c r="P62" s="13">
        <f t="shared" si="33"/>
        <v>45.574426667354729</v>
      </c>
      <c r="Q62" s="20">
        <f t="shared" si="53"/>
        <v>394.85081282897653</v>
      </c>
      <c r="R62" s="59">
        <f t="shared" si="0"/>
        <v>688.18414616230984</v>
      </c>
      <c r="S62" s="59">
        <f ca="1">AVERAGE(OFFSET($R$3,0,0,'Données projet'!$E$9+1,1))-AVERAGE(OFFSET($H$3,0,0,'Données projet'!$E$9+1,1))</f>
        <v>581.88778927327667</v>
      </c>
      <c r="T62" s="59">
        <f t="shared" si="34"/>
        <v>269.67340993773422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13.506616098001555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13.506616098001555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9.2524999999999977</v>
      </c>
      <c r="AI62" s="13">
        <f>IF('Données projet'!$A$62&gt;35,AI61+AH62-AQ61,IF(A62&lt;'Données projet'!$A$62,$AF$205^A62,IF(A62='Données projet'!$A$62,'Données projet'!$B$62,AI61+AH62-AQ61)))</f>
        <v>200.19250000000019</v>
      </c>
      <c r="AJ62" s="13">
        <f>AI62*VLOOKUP('Données projet'!$B$10,Paramètres!$A$1:$I$89,3,0)*VLOOKUP('Données projet'!$B$10,Paramètres!$A$1:$I$89,5,0)</f>
        <v>202.99519500000022</v>
      </c>
      <c r="AK62" s="13">
        <f t="shared" si="35"/>
        <v>50.40185036856122</v>
      </c>
      <c r="AL62" s="20">
        <f t="shared" si="4"/>
        <v>441.33318735024449</v>
      </c>
      <c r="AM62" s="59">
        <f t="shared" si="5"/>
        <v>734.6665206835778</v>
      </c>
      <c r="AN62" s="59">
        <f ca="1">AVERAGE(OFFSET($AM$3,0,0,'Données projet'!$E$10+1,1))-AVERAGE(OFFSET($H$3,0,0,'Données projet'!$E$10+1,1))</f>
        <v>646.50767193970182</v>
      </c>
      <c r="AO62" s="59">
        <f t="shared" si="36"/>
        <v>297.06786598620607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15.136724937415535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15.136724937415535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9.2524999999999977</v>
      </c>
      <c r="N63" s="13">
        <f>IF('Données projet'!$A$36&gt;35,N62+M63-V62,IF(A63&lt;'Données projet'!$A$36,$K$205^A63,IF(A63='Données projet'!$A$36,'Données projet'!$B$36,N62+M63-V62)))</f>
        <v>209.44500000000019</v>
      </c>
      <c r="O63" s="13">
        <f>N63*VLOOKUP('Données projet'!$B$9,Paramètres!$A$1:$I$89,3,0)*VLOOKUP('Données projet'!$B$9,Paramètres!$A$1:$I$89,5,0)</f>
        <v>189.50583600000016</v>
      </c>
      <c r="P63" s="13">
        <f t="shared" si="33"/>
        <v>47.430683653447495</v>
      </c>
      <c r="Q63" s="20">
        <f t="shared" si="53"/>
        <v>412.6644383964213</v>
      </c>
      <c r="R63" s="59">
        <f t="shared" si="0"/>
        <v>705.99777172975462</v>
      </c>
      <c r="S63" s="59">
        <f ca="1">AVERAGE(OFFSET($R$3,0,0,'Données projet'!$E$9+1,1))-AVERAGE(OFFSET($H$3,0,0,'Données projet'!$E$9+1,1))</f>
        <v>581.88778927327667</v>
      </c>
      <c r="T63" s="59">
        <f t="shared" si="34"/>
        <v>269.67340993773422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13.241759594542106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13.241759594542106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9.2524999999999977</v>
      </c>
      <c r="AI63" s="13">
        <f>IF('Données projet'!$A$62&gt;35,AI62+AH63-AQ62,IF(A63&lt;'Données projet'!$A$62,$AF$205^A63,IF(A63='Données projet'!$A$62,'Données projet'!$B$62,AI62+AH63-AQ62)))</f>
        <v>209.44500000000019</v>
      </c>
      <c r="AJ63" s="13">
        <f>AI63*VLOOKUP('Données projet'!$B$10,Paramètres!$A$1:$I$89,3,0)*VLOOKUP('Données projet'!$B$10,Paramètres!$A$1:$I$89,5,0)</f>
        <v>212.3772300000002</v>
      </c>
      <c r="AK63" s="13">
        <f t="shared" si="35"/>
        <v>52.454729443519689</v>
      </c>
      <c r="AL63" s="20">
        <f t="shared" si="4"/>
        <v>461.24899603079712</v>
      </c>
      <c r="AM63" s="59">
        <f t="shared" si="5"/>
        <v>754.58232936413037</v>
      </c>
      <c r="AN63" s="59">
        <f ca="1">AVERAGE(OFFSET($AM$3,0,0,'Données projet'!$E$10+1,1))-AVERAGE(OFFSET($H$3,0,0,'Données projet'!$E$10+1,1))</f>
        <v>646.50767193970182</v>
      </c>
      <c r="AO63" s="59">
        <f t="shared" si="36"/>
        <v>297.06786598620607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14.839902993883396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14.839902993883396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9.2524999999999977</v>
      </c>
      <c r="N64" s="13">
        <f>IF('Données projet'!$A$36&gt;35,N63+M64-V63,IF(A64&lt;'Données projet'!$A$36,$K$205^A64,IF(A64='Données projet'!$A$36,'Données projet'!$B$36,N63+M64-V63)))</f>
        <v>218.69750000000019</v>
      </c>
      <c r="O64" s="13">
        <f>N64*VLOOKUP('Données projet'!$B$9,Paramètres!$A$1:$I$89,3,0)*VLOOKUP('Données projet'!$B$9,Paramètres!$A$1:$I$89,5,0)</f>
        <v>197.87749800000014</v>
      </c>
      <c r="P64" s="13">
        <f t="shared" si="33"/>
        <v>49.277416774103372</v>
      </c>
      <c r="Q64" s="20">
        <f t="shared" si="53"/>
        <v>430.46147656489694</v>
      </c>
      <c r="R64" s="59">
        <f t="shared" si="0"/>
        <v>723.79480989823026</v>
      </c>
      <c r="S64" s="59">
        <f ca="1">AVERAGE(OFFSET($R$3,0,0,'Données projet'!$E$9+1,1))-AVERAGE(OFFSET($H$3,0,0,'Données projet'!$E$9+1,1))</f>
        <v>581.88778927327667</v>
      </c>
      <c r="T64" s="59">
        <f t="shared" si="34"/>
        <v>269.67340993773422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12.982096765568983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12.982096765568983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9.2524999999999977</v>
      </c>
      <c r="AI64" s="13">
        <f>IF('Données projet'!$A$62&gt;35,AI63+AH64-AQ63,IF(A64&lt;'Données projet'!$A$62,$AF$205^A64,IF(A64='Données projet'!$A$62,'Données projet'!$B$62,AI63+AH64-AQ63)))</f>
        <v>218.69750000000019</v>
      </c>
      <c r="AJ64" s="13">
        <f>AI64*VLOOKUP('Données projet'!$B$10,Paramètres!$A$1:$I$89,3,0)*VLOOKUP('Données projet'!$B$10,Paramètres!$A$1:$I$89,5,0)</f>
        <v>221.7592650000002</v>
      </c>
      <c r="AK64" s="13">
        <f t="shared" si="35"/>
        <v>54.497075847509379</v>
      </c>
      <c r="AL64" s="20">
        <f t="shared" si="4"/>
        <v>481.14646030941248</v>
      </c>
      <c r="AM64" s="59">
        <f t="shared" si="5"/>
        <v>774.47979364274579</v>
      </c>
      <c r="AN64" s="59">
        <f ca="1">AVERAGE(OFFSET($AM$3,0,0,'Données projet'!$E$10+1,1))-AVERAGE(OFFSET($H$3,0,0,'Données projet'!$E$10+1,1))</f>
        <v>646.50767193970182</v>
      </c>
      <c r="AO64" s="59">
        <f t="shared" si="36"/>
        <v>297.06786598620607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14.548901547620412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14.548901547620412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9.2524999999999977</v>
      </c>
      <c r="N65" s="13">
        <f>IF('Données projet'!$A$36&gt;35,N64+M65-V64,IF(A65&lt;'Données projet'!$A$36,$K$205^A65,IF(A65='Données projet'!$A$36,'Données projet'!$B$36,N64+M65-V64)))</f>
        <v>227.95000000000019</v>
      </c>
      <c r="O65" s="13">
        <f>N65*VLOOKUP('Données projet'!$B$9,Paramètres!$A$1:$I$89,3,0)*VLOOKUP('Données projet'!$B$9,Paramètres!$A$1:$I$89,5,0)</f>
        <v>206.24916000000016</v>
      </c>
      <c r="P65" s="13">
        <f t="shared" si="33"/>
        <v>51.115075026737237</v>
      </c>
      <c r="Q65" s="20">
        <f t="shared" si="53"/>
        <v>448.24270933823431</v>
      </c>
      <c r="R65" s="59">
        <f t="shared" si="0"/>
        <v>741.57604267156762</v>
      </c>
      <c r="S65" s="59">
        <f ca="1">AVERAGE(OFFSET($R$3,0,0,'Données projet'!$E$9+1,1))-AVERAGE(OFFSET($H$3,0,0,'Données projet'!$E$9+1,1))</f>
        <v>581.88778927327667</v>
      </c>
      <c r="T65" s="59">
        <f t="shared" si="34"/>
        <v>269.67340993773422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12.727525766293335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12.727525766293335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9.2524999999999977</v>
      </c>
      <c r="AI65" s="13">
        <f>IF('Données projet'!$A$62&gt;35,AI64+AH65-AQ64,IF(A65&lt;'Données projet'!$A$62,$AF$205^A65,IF(A65='Données projet'!$A$62,'Données projet'!$B$62,AI64+AH65-AQ64)))</f>
        <v>227.95000000000019</v>
      </c>
      <c r="AJ65" s="13">
        <f>AI65*VLOOKUP('Données projet'!$B$10,Paramètres!$A$1:$I$89,3,0)*VLOOKUP('Données projet'!$B$10,Paramètres!$A$1:$I$89,5,0)</f>
        <v>231.1413000000002</v>
      </c>
      <c r="AK65" s="13">
        <f t="shared" si="35"/>
        <v>56.529386137528874</v>
      </c>
      <c r="AL65" s="20">
        <f t="shared" si="4"/>
        <v>501.02644502286307</v>
      </c>
      <c r="AM65" s="59">
        <f t="shared" si="5"/>
        <v>794.35977835619633</v>
      </c>
      <c r="AN65" s="59">
        <f ca="1">AVERAGE(OFFSET($AM$3,0,0,'Données projet'!$E$10+1,1))-AVERAGE(OFFSET($H$3,0,0,'Données projet'!$E$10+1,1))</f>
        <v>646.50767193970182</v>
      </c>
      <c r="AO65" s="59">
        <f t="shared" si="36"/>
        <v>297.06786598620607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14.26360646222529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14.26360646222529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9.2524999999999977</v>
      </c>
      <c r="N66" s="13">
        <f>IF('Données projet'!$A$36&gt;35,N65+M66-V65,IF(A66&lt;'Données projet'!$A$36,$K$205^A66,IF(A66='Données projet'!$A$36,'Données projet'!$B$36,N65+M66-V65)))</f>
        <v>237.20250000000019</v>
      </c>
      <c r="O66" s="13">
        <f>N66*VLOOKUP('Données projet'!$B$9,Paramètres!$A$1:$I$89,3,0)*VLOOKUP('Données projet'!$B$9,Paramètres!$A$1:$I$89,5,0)</f>
        <v>214.62082200000015</v>
      </c>
      <c r="P66" s="13">
        <f t="shared" si="33"/>
        <v>52.944068896315315</v>
      </c>
      <c r="Q66" s="20">
        <f t="shared" si="53"/>
        <v>466.0088516444161</v>
      </c>
      <c r="R66" s="59">
        <f t="shared" si="0"/>
        <v>759.34218497774941</v>
      </c>
      <c r="S66" s="59">
        <f ca="1">AVERAGE(OFFSET($R$3,0,0,'Données projet'!$E$9+1,1))-AVERAGE(OFFSET($H$3,0,0,'Données projet'!$E$9+1,1))</f>
        <v>581.88778927327667</v>
      </c>
      <c r="T66" s="59">
        <f t="shared" si="34"/>
        <v>269.67340993773422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12.477946749040505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12.477946749040505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9.2524999999999977</v>
      </c>
      <c r="AI66" s="13">
        <f>IF('Données projet'!$A$62&gt;35,AI65+AH66-AQ65,IF(A66&lt;'Données projet'!$A$62,$AF$205^A66,IF(A66='Données projet'!$A$62,'Données projet'!$B$62,AI65+AH66-AQ65)))</f>
        <v>237.20250000000019</v>
      </c>
      <c r="AJ66" s="13">
        <f>AI66*VLOOKUP('Données projet'!$B$10,Paramètres!$A$1:$I$89,3,0)*VLOOKUP('Données projet'!$B$10,Paramètres!$A$1:$I$89,5,0)</f>
        <v>240.52333500000023</v>
      </c>
      <c r="AK66" s="13">
        <f t="shared" si="35"/>
        <v>58.552114278737164</v>
      </c>
      <c r="AL66" s="20">
        <f t="shared" si="4"/>
        <v>520.88974082713423</v>
      </c>
      <c r="AM66" s="59">
        <f t="shared" si="5"/>
        <v>814.2230741604676</v>
      </c>
      <c r="AN66" s="59">
        <f ca="1">AVERAGE(OFFSET($AM$3,0,0,'Données projet'!$E$10+1,1))-AVERAGE(OFFSET($H$3,0,0,'Données projet'!$E$10+1,1))</f>
        <v>646.50767193970182</v>
      </c>
      <c r="AO66" s="59">
        <f t="shared" si="36"/>
        <v>297.06786598620607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13.983905839441947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13.983905839441947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9.2524999999999977</v>
      </c>
      <c r="N67" s="13">
        <f>IF('Données projet'!$A$36&gt;35,N66+M67-V66,IF(A67&lt;'Données projet'!$A$36,$K$205^A67,IF(A67='Données projet'!$A$36,'Données projet'!$B$36,N66+M67-V66)))</f>
        <v>246.45500000000018</v>
      </c>
      <c r="O67" s="13">
        <f>N67*VLOOKUP('Données projet'!$B$9,Paramètres!$A$1:$I$89,3,0)*VLOOKUP('Données projet'!$B$9,Paramètres!$A$1:$I$89,5,0)</f>
        <v>222.99248400000016</v>
      </c>
      <c r="P67" s="13">
        <f t="shared" si="33"/>
        <v>54.764775031234961</v>
      </c>
      <c r="Q67" s="20">
        <f t="shared" ref="Q67:Q98" si="54">(O67+P67)*0.475*44/12</f>
        <v>483.76055947940108</v>
      </c>
      <c r="R67" s="59">
        <f t="shared" ref="R67:R130" si="55">Q67+(I67+J67)*44/12</f>
        <v>777.09389281273434</v>
      </c>
      <c r="S67" s="59">
        <f ca="1">AVERAGE(OFFSET($R$3,0,0,'Données projet'!$E$9+1,1))-AVERAGE(OFFSET($H$3,0,0,'Données projet'!$E$9+1,1))</f>
        <v>581.88778927327667</v>
      </c>
      <c r="T67" s="59">
        <f t="shared" si="34"/>
        <v>269.67340993773422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12.233261824087835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12.233261824087835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9.2524999999999977</v>
      </c>
      <c r="AI67" s="13">
        <f>IF('Données projet'!$A$62&gt;35,AI66+AH67-AQ66,IF(A67&lt;'Données projet'!$A$62,$AF$205^A67,IF(A67='Données projet'!$A$62,'Données projet'!$B$62,AI66+AH67-AQ66)))</f>
        <v>246.45500000000018</v>
      </c>
      <c r="AJ67" s="13">
        <f>AI67*VLOOKUP('Données projet'!$B$10,Paramètres!$A$1:$I$89,3,0)*VLOOKUP('Données projet'!$B$10,Paramètres!$A$1:$I$89,5,0)</f>
        <v>249.9053700000002</v>
      </c>
      <c r="AK67" s="13">
        <f t="shared" si="35"/>
        <v>60.565676815620975</v>
      </c>
      <c r="AL67" s="20">
        <f t="shared" si="4"/>
        <v>540.73707320387359</v>
      </c>
      <c r="AM67" s="59">
        <f t="shared" si="5"/>
        <v>834.07040653720696</v>
      </c>
      <c r="AN67" s="59">
        <f ca="1">AVERAGE(OFFSET($AM$3,0,0,'Données projet'!$E$10+1,1))-AVERAGE(OFFSET($H$3,0,0,'Données projet'!$E$10+1,1))</f>
        <v>646.50767193970182</v>
      </c>
      <c r="AO67" s="59">
        <f t="shared" si="36"/>
        <v>297.06786598620607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13.70968997527085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13.70968997527085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9.2524999999999977</v>
      </c>
      <c r="N68" s="13">
        <f>IF('Données projet'!$A$36&gt;35,N67+M68-V67,IF(A68&lt;'Données projet'!$A$36,$K$205^A68,IF(A68='Données projet'!$A$36,'Données projet'!$B$36,N67+M68-V67)))</f>
        <v>255.70750000000018</v>
      </c>
      <c r="O68" s="13">
        <f>N68*VLOOKUP('Données projet'!$B$9,Paramètres!$A$1:$I$89,3,0)*VLOOKUP('Données projet'!$B$9,Paramètres!$A$1:$I$89,5,0)</f>
        <v>231.36414600000015</v>
      </c>
      <c r="P68" s="13">
        <f t="shared" si="33"/>
        <v>56.57754019728695</v>
      </c>
      <c r="Q68" s="20">
        <f t="shared" si="54"/>
        <v>501.49843679360833</v>
      </c>
      <c r="R68" s="59">
        <f t="shared" si="55"/>
        <v>794.83177012694159</v>
      </c>
      <c r="S68" s="59">
        <f ca="1">AVERAGE(OFFSET($R$3,0,0,'Données projet'!$E$9+1,1))-AVERAGE(OFFSET($H$3,0,0,'Données projet'!$E$9+1,1))</f>
        <v>581.88778927327667</v>
      </c>
      <c r="T68" s="59">
        <f t="shared" si="34"/>
        <v>269.67340993773422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11.993375021270419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11.993375021270419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9.2524999999999977</v>
      </c>
      <c r="AI68" s="13">
        <f>IF('Données projet'!$A$62&gt;35,AI67+AH68-AQ67,IF(A68&lt;'Données projet'!$A$62,$AF$205^A68,IF(A68='Données projet'!$A$62,'Données projet'!$B$62,AI67+AH68-AQ67)))</f>
        <v>255.70750000000018</v>
      </c>
      <c r="AJ68" s="13">
        <f>AI68*VLOOKUP('Données projet'!$B$10,Paramètres!$A$1:$I$89,3,0)*VLOOKUP('Données projet'!$B$10,Paramètres!$A$1:$I$89,5,0)</f>
        <v>259.28740500000021</v>
      </c>
      <c r="AK68" s="13">
        <f t="shared" si="35"/>
        <v>62.570457244776364</v>
      </c>
      <c r="AL68" s="20">
        <f t="shared" ref="AL68:AL131" si="58">(AJ68+AK68)*0.475*44/12</f>
        <v>560.56911007631913</v>
      </c>
      <c r="AM68" s="59">
        <f t="shared" ref="AM68:AM131" si="59">AL68+(AD68+AE68)*44/12</f>
        <v>853.90244340965251</v>
      </c>
      <c r="AN68" s="59">
        <f ca="1">AVERAGE(OFFSET($AM$3,0,0,'Données projet'!$E$10+1,1))-AVERAGE(OFFSET($H$3,0,0,'Données projet'!$E$10+1,1))</f>
        <v>646.50767193970182</v>
      </c>
      <c r="AO68" s="59">
        <f t="shared" si="36"/>
        <v>297.06786598620607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13.440851316940986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13.440851316940986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264.95999999999998</v>
      </c>
      <c r="L69" s="12">
        <f>VLOOKUP(A69,'Données projet'!$A$35:$I$55,9,0)</f>
        <v>9.2524999999999977</v>
      </c>
      <c r="M69" s="12">
        <f t="array" ref="M69">INDEX(L:L,MIN(IF(ISNUMBER(L69:L265),ROW(L69:L265),"")))</f>
        <v>9.2524999999999977</v>
      </c>
      <c r="N69" s="13">
        <f>IF('Données projet'!$A$36&gt;35,N68+M69-V68,IF(A69&lt;'Données projet'!$A$36,$K$205^A69,IF(A69='Données projet'!$A$36,'Données projet'!$B$36,N68+M69-V68)))</f>
        <v>264.96000000000015</v>
      </c>
      <c r="O69" s="13">
        <f>N69*VLOOKUP('Données projet'!$B$9,Paramètres!$A$1:$I$89,3,0)*VLOOKUP('Données projet'!$B$9,Paramètres!$A$1:$I$89,5,0)</f>
        <v>239.73580800000011</v>
      </c>
      <c r="P69" s="13">
        <f t="shared" ref="P69:P132" si="87">EXP(-1.0587+0.8836*LN(O69)+0.284)</f>
        <v>58.38268464325516</v>
      </c>
      <c r="Q69" s="20">
        <f t="shared" si="54"/>
        <v>519.22304135366949</v>
      </c>
      <c r="R69" s="59">
        <f t="shared" si="55"/>
        <v>812.55637468700274</v>
      </c>
      <c r="S69" s="59">
        <f ca="1">AVERAGE(OFFSET($R$3,0,0,'Données projet'!$E$9+1,1))-AVERAGE(OFFSET($H$3,0,0,'Données projet'!$E$9+1,1))</f>
        <v>581.88778927327667</v>
      </c>
      <c r="T69" s="59">
        <f t="shared" ref="T69:T132" si="88">$T$3</f>
        <v>269.67340993773422</v>
      </c>
      <c r="U69" s="15">
        <f>IF(ISNA(VLOOKUP(A69,'Données projet'!$A$35:$I$55,3,0)),0,VLOOKUP(A69,'Données projet'!$A$35:$I$55,3,0))</f>
        <v>4</v>
      </c>
      <c r="V69" s="15">
        <f>IF(ISNA(VLOOKUP(A69,'Données projet'!$A$35:$I$55,4,0)),0,VLOOKUP(A69,'Données projet'!$A$35:$I$55,4,0))</f>
        <v>49.91</v>
      </c>
      <c r="W69" s="16">
        <f>IF(ISNA(VLOOKUP(A69,'Données projet'!$A$35:$I$55,5,0)),0%,VLOOKUP(A69,'Données projet'!$A$35:$I$55,5,0)*VLOOKUP('Données projet'!$B$9,Paramètres!$A$1:$I$89,7,0))</f>
        <v>0.25800000000000001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24.637928753319876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24.637928753319876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264.95999999999998</v>
      </c>
      <c r="AG69" s="12">
        <f>VLOOKUP(A69,'Données projet'!$A$61:$I$81,9,0)</f>
        <v>9.2524999999999977</v>
      </c>
      <c r="AH69" s="12">
        <f t="array" ref="AH69">INDEX(AG:AG,MIN(IF(ISNUMBER(AG69:AG265),ROW(AG69:AG265),"")))</f>
        <v>9.2524999999999977</v>
      </c>
      <c r="AI69" s="13">
        <f>IF('Données projet'!$A$62&gt;35,AI68+AH69-AQ68,IF(A69&lt;'Données projet'!$A$62,$AF$205^A69,IF(A69='Données projet'!$A$62,'Données projet'!$B$62,AI68+AH69-AQ68)))</f>
        <v>264.96000000000015</v>
      </c>
      <c r="AJ69" s="13">
        <f>AI69*VLOOKUP('Données projet'!$B$10,Paramètres!$A$1:$I$89,3,0)*VLOOKUP('Données projet'!$B$10,Paramètres!$A$1:$I$89,5,0)</f>
        <v>268.66944000000018</v>
      </c>
      <c r="AK69" s="13">
        <f t="shared" ref="AK69:AK132" si="89">EXP(-1.0587+0.8836*LN(AJ69)+0.284)</f>
        <v>64.566809737006352</v>
      </c>
      <c r="AL69" s="20">
        <f t="shared" si="58"/>
        <v>580.38646829195295</v>
      </c>
      <c r="AM69" s="59">
        <f t="shared" si="59"/>
        <v>873.71980162528621</v>
      </c>
      <c r="AN69" s="59">
        <f ca="1">AVERAGE(OFFSET($AM$3,0,0,'Données projet'!$E$10+1,1))-AVERAGE(OFFSET($H$3,0,0,'Données projet'!$E$10+1,1))</f>
        <v>646.50767193970182</v>
      </c>
      <c r="AO69" s="59">
        <f t="shared" ref="AO69:AO132" si="90">$AO$3</f>
        <v>297.06786598620607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0.25800000000000001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27.611471878720558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27.611471878720558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8.8662500000000044</v>
      </c>
      <c r="N70" s="13">
        <f>IF('Données projet'!$A$36&gt;35,N69+M70-V69,IF(A70&lt;'Données projet'!$A$36,$K$205^A70,IF(A70='Données projet'!$A$36,'Données projet'!$B$36,N69+M70-V69)))</f>
        <v>223.91625000000013</v>
      </c>
      <c r="O70" s="13">
        <f>N70*VLOOKUP('Données projet'!$B$9,Paramètres!$A$1:$I$89,3,0)*VLOOKUP('Données projet'!$B$9,Paramètres!$A$1:$I$89,5,0)</f>
        <v>202.59942300000012</v>
      </c>
      <c r="P70" s="13">
        <f t="shared" si="87"/>
        <v>50.315012169520465</v>
      </c>
      <c r="Q70" s="20">
        <f t="shared" si="54"/>
        <v>440.49264125358167</v>
      </c>
      <c r="R70" s="59">
        <f t="shared" si="55"/>
        <v>733.82597458691498</v>
      </c>
      <c r="S70" s="59">
        <f ca="1">AVERAGE(OFFSET($R$3,0,0,'Données projet'!$E$9+1,1))-AVERAGE(OFFSET($H$3,0,0,'Données projet'!$E$9+1,1))</f>
        <v>581.88778927327667</v>
      </c>
      <c r="T70" s="59">
        <f t="shared" si="88"/>
        <v>269.67340993773422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24.154793998119956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24.154793998119956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8.8662500000000044</v>
      </c>
      <c r="AI70" s="13">
        <f>IF('Données projet'!$A$62&gt;35,AI69+AH70-AQ69,IF(A70&lt;'Données projet'!$A$62,$AF$205^A70,IF(A70='Données projet'!$A$62,'Données projet'!$B$62,AI69+AH70-AQ69)))</f>
        <v>223.91625000000013</v>
      </c>
      <c r="AJ70" s="13">
        <f>AI70*VLOOKUP('Données projet'!$B$10,Paramètres!$A$1:$I$89,3,0)*VLOOKUP('Données projet'!$B$10,Paramètres!$A$1:$I$89,5,0)</f>
        <v>227.05107750000016</v>
      </c>
      <c r="AK70" s="13">
        <f t="shared" si="89"/>
        <v>55.644577455036639</v>
      </c>
      <c r="AL70" s="20">
        <f t="shared" si="58"/>
        <v>492.36159904668904</v>
      </c>
      <c r="AM70" s="59">
        <f t="shared" si="59"/>
        <v>785.69493238002235</v>
      </c>
      <c r="AN70" s="59">
        <f ca="1">AVERAGE(OFFSET($AM$3,0,0,'Données projet'!$E$10+1,1))-AVERAGE(OFFSET($H$3,0,0,'Données projet'!$E$10+1,1))</f>
        <v>646.50767193970182</v>
      </c>
      <c r="AO70" s="59">
        <f t="shared" si="90"/>
        <v>297.06786598620607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27.070027756513749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27.070027756513749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8.8662500000000044</v>
      </c>
      <c r="N71" s="13">
        <f>IF('Données projet'!$A$36&gt;35,N70+M71-V70,IF(A71&lt;'Données projet'!$A$36,$K$205^A71,IF(A71='Données projet'!$A$36,'Données projet'!$B$36,N70+M71-V70)))</f>
        <v>232.78250000000014</v>
      </c>
      <c r="O71" s="13">
        <f>N71*VLOOKUP('Données projet'!$B$9,Paramètres!$A$1:$I$89,3,0)*VLOOKUP('Données projet'!$B$9,Paramètres!$A$1:$I$89,5,0)</f>
        <v>210.62160600000013</v>
      </c>
      <c r="P71" s="13">
        <f t="shared" si="87"/>
        <v>52.071398873356536</v>
      </c>
      <c r="Q71" s="20">
        <f t="shared" si="54"/>
        <v>457.5236501544295</v>
      </c>
      <c r="R71" s="59">
        <f t="shared" si="55"/>
        <v>750.85698348776282</v>
      </c>
      <c r="S71" s="59">
        <f ca="1">AVERAGE(OFFSET($R$3,0,0,'Données projet'!$E$9+1,1))-AVERAGE(OFFSET($H$3,0,0,'Données projet'!$E$9+1,1))</f>
        <v>581.88778927327667</v>
      </c>
      <c r="T71" s="59">
        <f t="shared" si="88"/>
        <v>269.67340993773422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23.681133220786403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23.681133220786403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8.8662500000000044</v>
      </c>
      <c r="AI71" s="13">
        <f>IF('Données projet'!$A$62&gt;35,AI70+AH71-AQ70,IF(A71&lt;'Données projet'!$A$62,$AF$205^A71,IF(A71='Données projet'!$A$62,'Données projet'!$B$62,AI70+AH71-AQ70)))</f>
        <v>232.78250000000014</v>
      </c>
      <c r="AJ71" s="13">
        <f>AI71*VLOOKUP('Données projet'!$B$10,Paramètres!$A$1:$I$89,3,0)*VLOOKUP('Données projet'!$B$10,Paramètres!$A$1:$I$89,5,0)</f>
        <v>236.04145500000016</v>
      </c>
      <c r="AK71" s="13">
        <f t="shared" si="89"/>
        <v>57.587007592056594</v>
      </c>
      <c r="AL71" s="20">
        <f t="shared" si="58"/>
        <v>511.40290568116535</v>
      </c>
      <c r="AM71" s="59">
        <f t="shared" si="59"/>
        <v>804.73623901449866</v>
      </c>
      <c r="AN71" s="59">
        <f ca="1">AVERAGE(OFFSET($AM$3,0,0,'Données projet'!$E$10+1,1))-AVERAGE(OFFSET($H$3,0,0,'Données projet'!$E$10+1,1))</f>
        <v>646.50767193970182</v>
      </c>
      <c r="AO71" s="59">
        <f t="shared" si="90"/>
        <v>297.06786598620607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26.53920102329511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26.53920102329511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8.8662500000000044</v>
      </c>
      <c r="N72" s="13">
        <f>IF('Données projet'!$A$36&gt;35,N71+M72-V71,IF(A72&lt;'Données projet'!$A$36,$K$205^A72,IF(A72='Données projet'!$A$36,'Données projet'!$B$36,N71+M72-V71)))</f>
        <v>241.64875000000015</v>
      </c>
      <c r="O72" s="13">
        <f>N72*VLOOKUP('Données projet'!$B$9,Paramètres!$A$1:$I$89,3,0)*VLOOKUP('Données projet'!$B$9,Paramètres!$A$1:$I$89,5,0)</f>
        <v>218.64378900000014</v>
      </c>
      <c r="P72" s="13">
        <f t="shared" si="87"/>
        <v>53.820013961218514</v>
      </c>
      <c r="Q72" s="20">
        <f t="shared" si="54"/>
        <v>474.54112349078923</v>
      </c>
      <c r="R72" s="59">
        <f t="shared" si="55"/>
        <v>767.87445682412249</v>
      </c>
      <c r="S72" s="59">
        <f ca="1">AVERAGE(OFFSET($R$3,0,0,'Données projet'!$E$9+1,1))-AVERAGE(OFFSET($H$3,0,0,'Données projet'!$E$9+1,1))</f>
        <v>581.88778927327667</v>
      </c>
      <c r="T72" s="59">
        <f t="shared" si="88"/>
        <v>269.67340993773422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23.216760642391815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23.216760642391815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8.8662500000000044</v>
      </c>
      <c r="AI72" s="13">
        <f>IF('Données projet'!$A$62&gt;35,AI71+AH72-AQ71,IF(A72&lt;'Données projet'!$A$62,$AF$205^A72,IF(A72='Données projet'!$A$62,'Données projet'!$B$62,AI71+AH72-AQ71)))</f>
        <v>241.64875000000015</v>
      </c>
      <c r="AJ72" s="13">
        <f>AI72*VLOOKUP('Données projet'!$B$10,Paramètres!$A$1:$I$89,3,0)*VLOOKUP('Données projet'!$B$10,Paramètres!$A$1:$I$89,5,0)</f>
        <v>245.03183250000018</v>
      </c>
      <c r="AK72" s="13">
        <f t="shared" si="89"/>
        <v>59.520842912770703</v>
      </c>
      <c r="AL72" s="20">
        <f t="shared" si="58"/>
        <v>530.42924301057599</v>
      </c>
      <c r="AM72" s="59">
        <f t="shared" si="59"/>
        <v>823.76257634390936</v>
      </c>
      <c r="AN72" s="59">
        <f ca="1">AVERAGE(OFFSET($AM$3,0,0,'Données projet'!$E$10+1,1))-AVERAGE(OFFSET($H$3,0,0,'Données projet'!$E$10+1,1))</f>
        <v>646.50767193970182</v>
      </c>
      <c r="AO72" s="59">
        <f t="shared" si="90"/>
        <v>297.06786598620607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26.018783478542552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26.018783478542552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8.8662500000000044</v>
      </c>
      <c r="N73" s="13">
        <f>IF('Données projet'!$A$36&gt;35,N72+M73-V72,IF(A73&lt;'Données projet'!$A$36,$K$205^A73,IF(A73='Données projet'!$A$36,'Données projet'!$B$36,N72+M73-V72)))</f>
        <v>250.51500000000016</v>
      </c>
      <c r="O73" s="13">
        <f>N73*VLOOKUP('Données projet'!$B$9,Paramètres!$A$1:$I$89,3,0)*VLOOKUP('Données projet'!$B$9,Paramètres!$A$1:$I$89,5,0)</f>
        <v>226.66597200000012</v>
      </c>
      <c r="P73" s="13">
        <f t="shared" si="87"/>
        <v>55.561175235972904</v>
      </c>
      <c r="Q73" s="20">
        <f t="shared" si="54"/>
        <v>491.54561476931968</v>
      </c>
      <c r="R73" s="59">
        <f t="shared" si="55"/>
        <v>784.878948102653</v>
      </c>
      <c r="S73" s="59">
        <f ca="1">AVERAGE(OFFSET($R$3,0,0,'Données projet'!$E$9+1,1))-AVERAGE(OFFSET($H$3,0,0,'Données projet'!$E$9+1,1))</f>
        <v>581.88778927327667</v>
      </c>
      <c r="T73" s="59">
        <f t="shared" si="88"/>
        <v>269.67340993773422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22.761494127020239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22.761494127020239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8.8662500000000044</v>
      </c>
      <c r="AI73" s="13">
        <f>IF('Données projet'!$A$62&gt;35,AI72+AH73-AQ72,IF(A73&lt;'Données projet'!$A$62,$AF$205^A73,IF(A73='Données projet'!$A$62,'Données projet'!$B$62,AI72+AH73-AQ72)))</f>
        <v>250.51500000000016</v>
      </c>
      <c r="AJ73" s="13">
        <f>AI73*VLOOKUP('Données projet'!$B$10,Paramètres!$A$1:$I$89,3,0)*VLOOKUP('Données projet'!$B$10,Paramètres!$A$1:$I$89,5,0)</f>
        <v>254.02221000000017</v>
      </c>
      <c r="AK73" s="13">
        <f t="shared" si="89"/>
        <v>61.446434882983361</v>
      </c>
      <c r="AL73" s="20">
        <f t="shared" si="58"/>
        <v>549.44122317119627</v>
      </c>
      <c r="AM73" s="59">
        <f t="shared" si="59"/>
        <v>842.77455650452953</v>
      </c>
      <c r="AN73" s="59">
        <f ca="1">AVERAGE(OFFSET($AM$3,0,0,'Données projet'!$E$10+1,1))-AVERAGE(OFFSET($H$3,0,0,'Données projet'!$E$10+1,1))</f>
        <v>646.50767193970182</v>
      </c>
      <c r="AO73" s="59">
        <f t="shared" si="90"/>
        <v>297.06786598620607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25.508571004419235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25.508571004419235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8.8662500000000044</v>
      </c>
      <c r="N74" s="13">
        <f>IF('Données projet'!$A$36&gt;35,N73+M74-V73,IF(A74&lt;'Données projet'!$A$36,$K$205^A74,IF(A74='Données projet'!$A$36,'Données projet'!$B$36,N73+M74-V73)))</f>
        <v>259.38125000000014</v>
      </c>
      <c r="O74" s="13">
        <f>N74*VLOOKUP('Données projet'!$B$9,Paramètres!$A$1:$I$89,3,0)*VLOOKUP('Données projet'!$B$9,Paramètres!$A$1:$I$89,5,0)</f>
        <v>234.68815500000011</v>
      </c>
      <c r="P74" s="13">
        <f t="shared" si="87"/>
        <v>57.295176729679312</v>
      </c>
      <c r="Q74" s="20">
        <f t="shared" si="54"/>
        <v>508.53763609585832</v>
      </c>
      <c r="R74" s="59">
        <f t="shared" si="55"/>
        <v>801.87096942919163</v>
      </c>
      <c r="S74" s="59">
        <f ca="1">AVERAGE(OFFSET($R$3,0,0,'Données projet'!$E$9+1,1))-AVERAGE(OFFSET($H$3,0,0,'Données projet'!$E$9+1,1))</f>
        <v>581.88778927327667</v>
      </c>
      <c r="T74" s="59">
        <f t="shared" si="88"/>
        <v>269.67340993773422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22.315155110329943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22.315155110329943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8.8662500000000044</v>
      </c>
      <c r="AI74" s="13">
        <f>IF('Données projet'!$A$62&gt;35,AI73+AH74-AQ73,IF(A74&lt;'Données projet'!$A$62,$AF$205^A74,IF(A74='Données projet'!$A$62,'Données projet'!$B$62,AI73+AH74-AQ73)))</f>
        <v>259.38125000000014</v>
      </c>
      <c r="AJ74" s="13">
        <f>AI74*VLOOKUP('Données projet'!$B$10,Paramètres!$A$1:$I$89,3,0)*VLOOKUP('Données projet'!$B$10,Paramètres!$A$1:$I$89,5,0)</f>
        <v>263.01258750000017</v>
      </c>
      <c r="AK74" s="13">
        <f t="shared" si="89"/>
        <v>63.364108679793951</v>
      </c>
      <c r="AL74" s="20">
        <f t="shared" si="58"/>
        <v>568.43941251314141</v>
      </c>
      <c r="AM74" s="59">
        <f t="shared" si="59"/>
        <v>861.77274584647466</v>
      </c>
      <c r="AN74" s="59">
        <f ca="1">AVERAGE(OFFSET($AM$3,0,0,'Données projet'!$E$10+1,1))-AVERAGE(OFFSET($H$3,0,0,'Données projet'!$E$10+1,1))</f>
        <v>646.50767193970182</v>
      </c>
      <c r="AO74" s="59">
        <f t="shared" si="90"/>
        <v>297.06786598620607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25.008363485714593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25.008363485714593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8.8662500000000044</v>
      </c>
      <c r="N75" s="13">
        <f>IF('Données projet'!$A$36&gt;35,N74+M75-V74,IF(A75&lt;'Données projet'!$A$36,$K$205^A75,IF(A75='Données projet'!$A$36,'Données projet'!$B$36,N74+M75-V74)))</f>
        <v>268.24750000000012</v>
      </c>
      <c r="O75" s="13">
        <f>N75*VLOOKUP('Données projet'!$B$9,Paramètres!$A$1:$I$89,3,0)*VLOOKUP('Données projet'!$B$9,Paramètres!$A$1:$I$89,5,0)</f>
        <v>242.71033800000009</v>
      </c>
      <c r="P75" s="13">
        <f t="shared" si="87"/>
        <v>59.022291232778812</v>
      </c>
      <c r="Q75" s="20">
        <f t="shared" si="54"/>
        <v>525.51766258042323</v>
      </c>
      <c r="R75" s="59">
        <f t="shared" si="55"/>
        <v>818.85099591375661</v>
      </c>
      <c r="S75" s="59">
        <f ca="1">AVERAGE(OFFSET($R$3,0,0,'Données projet'!$E$9+1,1))-AVERAGE(OFFSET($H$3,0,0,'Données projet'!$E$9+1,1))</f>
        <v>581.88778927327667</v>
      </c>
      <c r="T75" s="59">
        <f t="shared" si="88"/>
        <v>269.67340993773422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21.877568529517024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21.877568529517024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8.8662500000000044</v>
      </c>
      <c r="AI75" s="13">
        <f>IF('Données projet'!$A$62&gt;35,AI74+AH75-AQ74,IF(A75&lt;'Données projet'!$A$62,$AF$205^A75,IF(A75='Données projet'!$A$62,'Données projet'!$B$62,AI74+AH75-AQ74)))</f>
        <v>268.24750000000012</v>
      </c>
      <c r="AJ75" s="13">
        <f>AI75*VLOOKUP('Données projet'!$B$10,Paramètres!$A$1:$I$89,3,0)*VLOOKUP('Données projet'!$B$10,Paramètres!$A$1:$I$89,5,0)</f>
        <v>272.00296500000013</v>
      </c>
      <c r="AK75" s="13">
        <f t="shared" si="89"/>
        <v>65.274165988687102</v>
      </c>
      <c r="AL75" s="20">
        <f t="shared" si="58"/>
        <v>587.42433647196356</v>
      </c>
      <c r="AM75" s="59">
        <f t="shared" si="59"/>
        <v>880.75766980529693</v>
      </c>
      <c r="AN75" s="59">
        <f ca="1">AVERAGE(OFFSET($AM$3,0,0,'Données projet'!$E$10+1,1))-AVERAGE(OFFSET($H$3,0,0,'Données projet'!$E$10+1,1))</f>
        <v>646.50767193970182</v>
      </c>
      <c r="AO75" s="59">
        <f t="shared" si="90"/>
        <v>297.06786598620607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24.517964731355288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24.517964731355288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8.8662500000000044</v>
      </c>
      <c r="N76" s="13">
        <f>IF('Données projet'!$A$36&gt;35,N75+M76-V75,IF(A76&lt;'Données projet'!$A$36,$K$205^A76,IF(A76='Données projet'!$A$36,'Données projet'!$B$36,N75+M76-V75)))</f>
        <v>277.1137500000001</v>
      </c>
      <c r="O76" s="13">
        <f>N76*VLOOKUP('Données projet'!$B$9,Paramètres!$A$1:$I$89,3,0)*VLOOKUP('Données projet'!$B$9,Paramètres!$A$1:$I$89,5,0)</f>
        <v>250.73252100000005</v>
      </c>
      <c r="P76" s="13">
        <f t="shared" si="87"/>
        <v>60.74277247950485</v>
      </c>
      <c r="Q76" s="20">
        <f t="shared" si="54"/>
        <v>542.48613614347107</v>
      </c>
      <c r="R76" s="59">
        <f t="shared" si="55"/>
        <v>835.81946947680444</v>
      </c>
      <c r="S76" s="59">
        <f ca="1">AVERAGE(OFFSET($R$3,0,0,'Données projet'!$E$9+1,1))-AVERAGE(OFFSET($H$3,0,0,'Données projet'!$E$9+1,1))</f>
        <v>581.88778927327667</v>
      </c>
      <c r="T76" s="59">
        <f t="shared" si="88"/>
        <v>269.67340993773422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21.448562754652389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21.448562754652389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8.8662500000000044</v>
      </c>
      <c r="AI76" s="13">
        <f>IF('Données projet'!$A$62&gt;35,AI75+AH76-AQ75,IF(A76&lt;'Données projet'!$A$62,$AF$205^A76,IF(A76='Données projet'!$A$62,'Données projet'!$B$62,AI75+AH76-AQ75)))</f>
        <v>277.1137500000001</v>
      </c>
      <c r="AJ76" s="13">
        <f>AI76*VLOOKUP('Données projet'!$B$10,Paramètres!$A$1:$I$89,3,0)*VLOOKUP('Données projet'!$B$10,Paramètres!$A$1:$I$89,5,0)</f>
        <v>280.9933425000001</v>
      </c>
      <c r="AK76" s="13">
        <f t="shared" si="89"/>
        <v>67.176887420430603</v>
      </c>
      <c r="AL76" s="20">
        <f t="shared" si="58"/>
        <v>606.39648377808339</v>
      </c>
      <c r="AM76" s="59">
        <f t="shared" si="59"/>
        <v>899.72981711141665</v>
      </c>
      <c r="AN76" s="59">
        <f ca="1">AVERAGE(OFFSET($AM$3,0,0,'Données projet'!$E$10+1,1))-AVERAGE(OFFSET($H$3,0,0,'Données projet'!$E$10+1,1))</f>
        <v>646.50767193970182</v>
      </c>
      <c r="AO76" s="59">
        <f t="shared" si="90"/>
        <v>297.06786598620607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24.037182397455265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24.037182397455265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285.98</v>
      </c>
      <c r="L77" s="12">
        <f>VLOOKUP(A77,'Données projet'!$A$35:$I$55,9,0)</f>
        <v>8.8662500000000044</v>
      </c>
      <c r="M77" s="12">
        <f t="array" ref="M77">INDEX(L:L,MIN(IF(ISNUMBER(L77:L273),ROW(L77:L273),"")))</f>
        <v>8.8662500000000044</v>
      </c>
      <c r="N77" s="13">
        <f>IF('Données projet'!$A$36&gt;35,N76+M77-V76,IF(A77&lt;'Données projet'!$A$36,$K$205^A77,IF(A77='Données projet'!$A$36,'Données projet'!$B$36,N76+M77-V76)))</f>
        <v>285.98000000000008</v>
      </c>
      <c r="O77" s="13">
        <f>N77*VLOOKUP('Données projet'!$B$9,Paramètres!$A$1:$I$89,3,0)*VLOOKUP('Données projet'!$B$9,Paramètres!$A$1:$I$89,5,0)</f>
        <v>258.75470400000006</v>
      </c>
      <c r="P77" s="13">
        <f t="shared" si="87"/>
        <v>62.456857045748947</v>
      </c>
      <c r="Q77" s="20">
        <f t="shared" si="54"/>
        <v>559.4434688213463</v>
      </c>
      <c r="R77" s="59">
        <f t="shared" si="55"/>
        <v>852.77680215467967</v>
      </c>
      <c r="S77" s="59">
        <f ca="1">AVERAGE(OFFSET($R$3,0,0,'Données projet'!$E$9+1,1))-AVERAGE(OFFSET($H$3,0,0,'Données projet'!$E$9+1,1))</f>
        <v>581.88778927327667</v>
      </c>
      <c r="T77" s="59">
        <f t="shared" si="88"/>
        <v>269.67340993773422</v>
      </c>
      <c r="U77" s="15">
        <f>IF(ISNA(VLOOKUP(A77,'Données projet'!$A$35:$I$55,3,0)),0,VLOOKUP(A77,'Données projet'!$A$35:$I$55,3,0))</f>
        <v>5</v>
      </c>
      <c r="V77" s="15">
        <f>IF(ISNA(VLOOKUP(A77,'Données projet'!$A$35:$I$55,4,0)),0,VLOOKUP(A77,'Données projet'!$A$35:$I$55,4,0))</f>
        <v>47.4</v>
      </c>
      <c r="W77" s="16">
        <f>IF(ISNA(VLOOKUP(A77,'Données projet'!$A$35:$I$55,5,0)),0%,VLOOKUP(A77,'Données projet'!$A$35:$I$55,5,0)*VLOOKUP('Données projet'!$B$9,Paramètres!$A$1:$I$89,7,0))</f>
        <v>0.25800000000000001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33.259977338364926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33.259977338364926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285.98</v>
      </c>
      <c r="AG77" s="12">
        <f>VLOOKUP(A77,'Données projet'!$A$61:$I$81,9,0)</f>
        <v>8.8662500000000044</v>
      </c>
      <c r="AH77" s="12">
        <f t="array" ref="AH77">INDEX(AG:AG,MIN(IF(ISNUMBER(AG77:AG273),ROW(AG77:AG273),"")))</f>
        <v>8.8662500000000044</v>
      </c>
      <c r="AI77" s="13">
        <f>IF('Données projet'!$A$62&gt;35,AI76+AH77-AQ76,IF(A77&lt;'Données projet'!$A$62,$AF$205^A77,IF(A77='Données projet'!$A$62,'Données projet'!$B$62,AI76+AH77-AQ76)))</f>
        <v>285.98000000000008</v>
      </c>
      <c r="AJ77" s="13">
        <f>AI77*VLOOKUP('Données projet'!$B$10,Paramètres!$A$1:$I$89,3,0)*VLOOKUP('Données projet'!$B$10,Paramètres!$A$1:$I$89,5,0)</f>
        <v>289.98372000000012</v>
      </c>
      <c r="AK77" s="13">
        <f t="shared" si="89"/>
        <v>69.072534609971271</v>
      </c>
      <c r="AL77" s="20">
        <f t="shared" si="58"/>
        <v>625.35631011236683</v>
      </c>
      <c r="AM77" s="59">
        <f t="shared" si="59"/>
        <v>918.68964344570009</v>
      </c>
      <c r="AN77" s="59">
        <f ca="1">AVERAGE(OFFSET($AM$3,0,0,'Données projet'!$E$10+1,1))-AVERAGE(OFFSET($H$3,0,0,'Données projet'!$E$10+1,1))</f>
        <v>646.50767193970182</v>
      </c>
      <c r="AO77" s="59">
        <f t="shared" si="90"/>
        <v>297.06786598620607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0.25800000000000001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37.274112534374488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37.274112534374488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8.6770000000000014</v>
      </c>
      <c r="N78" s="13">
        <f>IF('Données projet'!$A$36&gt;35,N77+M78-V77,IF(A78&lt;'Données projet'!$A$36,$K$205^A78,IF(A78='Données projet'!$A$36,'Données projet'!$B$36,N77+M78-V77)))</f>
        <v>247.25700000000009</v>
      </c>
      <c r="O78" s="13">
        <f>N78*VLOOKUP('Données projet'!$B$9,Paramètres!$A$1:$I$89,3,0)*VLOOKUP('Données projet'!$B$9,Paramètres!$A$1:$I$89,5,0)</f>
        <v>223.71813360000007</v>
      </c>
      <c r="P78" s="13">
        <f t="shared" si="87"/>
        <v>54.92221376571495</v>
      </c>
      <c r="Q78" s="20">
        <f t="shared" si="54"/>
        <v>485.29860499528695</v>
      </c>
      <c r="R78" s="59">
        <f t="shared" si="55"/>
        <v>778.63193832862021</v>
      </c>
      <c r="S78" s="59">
        <f ca="1">AVERAGE(OFFSET($R$3,0,0,'Données projet'!$E$9+1,1))-AVERAGE(OFFSET($H$3,0,0,'Données projet'!$E$9+1,1))</f>
        <v>581.88778927327667</v>
      </c>
      <c r="T78" s="59">
        <f t="shared" si="88"/>
        <v>269.67340993773422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32.607769469342635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32.607769469342635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8.6770000000000014</v>
      </c>
      <c r="AI78" s="13">
        <f>IF('Données projet'!$A$62&gt;35,AI77+AH78-AQ77,IF(A78&lt;'Données projet'!$A$62,$AF$205^A78,IF(A78='Données projet'!$A$62,'Données projet'!$B$62,AI77+AH78-AQ77)))</f>
        <v>247.25700000000009</v>
      </c>
      <c r="AJ78" s="13">
        <f>AI78*VLOOKUP('Données projet'!$B$10,Paramètres!$A$1:$I$89,3,0)*VLOOKUP('Données projet'!$B$10,Paramètres!$A$1:$I$89,5,0)</f>
        <v>250.7185980000001</v>
      </c>
      <c r="AK78" s="13">
        <f t="shared" si="89"/>
        <v>60.739792084155006</v>
      </c>
      <c r="AL78" s="20">
        <f t="shared" si="58"/>
        <v>542.45669606323679</v>
      </c>
      <c r="AM78" s="59">
        <f t="shared" si="59"/>
        <v>835.79002939657016</v>
      </c>
      <c r="AN78" s="59">
        <f ca="1">AVERAGE(OFFSET($AM$3,0,0,'Données projet'!$E$10+1,1))-AVERAGE(OFFSET($H$3,0,0,'Données projet'!$E$10+1,1))</f>
        <v>646.50767193970182</v>
      </c>
      <c r="AO78" s="59">
        <f t="shared" si="90"/>
        <v>297.06786598620607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36.543189922539156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36.543189922539156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8.6770000000000014</v>
      </c>
      <c r="N79" s="13">
        <f>IF('Données projet'!$A$36&gt;35,N78+M79-V78,IF(A79&lt;'Données projet'!$A$36,$K$205^A79,IF(A79='Données projet'!$A$36,'Données projet'!$B$36,N78+M79-V78)))</f>
        <v>255.93400000000008</v>
      </c>
      <c r="O79" s="13">
        <f>N79*VLOOKUP('Données projet'!$B$9,Paramètres!$A$1:$I$89,3,0)*VLOOKUP('Données projet'!$B$9,Paramètres!$A$1:$I$89,5,0)</f>
        <v>231.56908320000005</v>
      </c>
      <c r="P79" s="13">
        <f t="shared" si="87"/>
        <v>56.621819638037671</v>
      </c>
      <c r="Q79" s="20">
        <f t="shared" si="54"/>
        <v>501.93248910958238</v>
      </c>
      <c r="R79" s="59">
        <f t="shared" si="55"/>
        <v>795.26582244291569</v>
      </c>
      <c r="S79" s="59">
        <f ca="1">AVERAGE(OFFSET($R$3,0,0,'Données projet'!$E$9+1,1))-AVERAGE(OFFSET($H$3,0,0,'Données projet'!$E$9+1,1))</f>
        <v>581.88778927327667</v>
      </c>
      <c r="T79" s="59">
        <f t="shared" si="88"/>
        <v>269.67340993773422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31.968350998824349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31.968350998824349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8.6770000000000014</v>
      </c>
      <c r="AI79" s="13">
        <f>IF('Données projet'!$A$62&gt;35,AI78+AH79-AQ78,IF(A79&lt;'Données projet'!$A$62,$AF$205^A79,IF(A79='Données projet'!$A$62,'Données projet'!$B$62,AI78+AH79-AQ78)))</f>
        <v>255.93400000000008</v>
      </c>
      <c r="AJ79" s="13">
        <f>AI79*VLOOKUP('Données projet'!$B$10,Paramètres!$A$1:$I$89,3,0)*VLOOKUP('Données projet'!$B$10,Paramètres!$A$1:$I$89,5,0)</f>
        <v>259.51707600000009</v>
      </c>
      <c r="AK79" s="13">
        <f t="shared" si="89"/>
        <v>62.619426939193161</v>
      </c>
      <c r="AL79" s="20">
        <f t="shared" si="58"/>
        <v>561.05440928576149</v>
      </c>
      <c r="AM79" s="59">
        <f t="shared" si="59"/>
        <v>854.38774261909475</v>
      </c>
      <c r="AN79" s="59">
        <f ca="1">AVERAGE(OFFSET($AM$3,0,0,'Données projet'!$E$10+1,1))-AVERAGE(OFFSET($H$3,0,0,'Données projet'!$E$10+1,1))</f>
        <v>646.50767193970182</v>
      </c>
      <c r="AO79" s="59">
        <f t="shared" si="90"/>
        <v>297.06786598620607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35.826600257303149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35.826600257303149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8.6770000000000014</v>
      </c>
      <c r="N80" s="13">
        <f>IF('Données projet'!$A$36&gt;35,N79+M80-V79,IF(A80&lt;'Données projet'!$A$36,$K$205^A80,IF(A80='Données projet'!$A$36,'Données projet'!$B$36,N79+M80-V79)))</f>
        <v>264.6110000000001</v>
      </c>
      <c r="O80" s="13">
        <f>N80*VLOOKUP('Données projet'!$B$9,Paramètres!$A$1:$I$89,3,0)*VLOOKUP('Données projet'!$B$9,Paramètres!$A$1:$I$89,5,0)</f>
        <v>239.42003280000009</v>
      </c>
      <c r="P80" s="13">
        <f t="shared" si="87"/>
        <v>58.314730148380967</v>
      </c>
      <c r="Q80" s="20">
        <f t="shared" si="54"/>
        <v>518.55471213509702</v>
      </c>
      <c r="R80" s="59">
        <f t="shared" si="55"/>
        <v>811.88804546843039</v>
      </c>
      <c r="S80" s="59">
        <f ca="1">AVERAGE(OFFSET($R$3,0,0,'Données projet'!$E$9+1,1))-AVERAGE(OFFSET($H$3,0,0,'Données projet'!$E$9+1,1))</f>
        <v>581.88778927327667</v>
      </c>
      <c r="T80" s="59">
        <f t="shared" si="88"/>
        <v>269.67340993773422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31.341471134506168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31.341471134506168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8.6770000000000014</v>
      </c>
      <c r="AI80" s="13">
        <f>IF('Données projet'!$A$62&gt;35,AI79+AH80-AQ79,IF(A80&lt;'Données projet'!$A$62,$AF$205^A80,IF(A80='Données projet'!$A$62,'Données projet'!$B$62,AI79+AH80-AQ79)))</f>
        <v>264.6110000000001</v>
      </c>
      <c r="AJ80" s="13">
        <f>AI80*VLOOKUP('Données projet'!$B$10,Paramètres!$A$1:$I$89,3,0)*VLOOKUP('Données projet'!$B$10,Paramètres!$A$1:$I$89,5,0)</f>
        <v>268.31555400000013</v>
      </c>
      <c r="AK80" s="13">
        <f t="shared" si="89"/>
        <v>64.491657233004062</v>
      </c>
      <c r="AL80" s="20">
        <f t="shared" si="58"/>
        <v>579.63922623081567</v>
      </c>
      <c r="AM80" s="59">
        <f t="shared" si="59"/>
        <v>872.97255956414892</v>
      </c>
      <c r="AN80" s="59">
        <f ca="1">AVERAGE(OFFSET($AM$3,0,0,'Données projet'!$E$10+1,1))-AVERAGE(OFFSET($H$3,0,0,'Données projet'!$E$10+1,1))</f>
        <v>646.50767193970182</v>
      </c>
      <c r="AO80" s="59">
        <f t="shared" si="90"/>
        <v>297.06786598620607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35.124062478325875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35.124062478325875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8.6770000000000014</v>
      </c>
      <c r="N81" s="13">
        <f>IF('Données projet'!$A$36&gt;35,N80+M81-V80,IF(A81&lt;'Données projet'!$A$36,$K$205^A81,IF(A81='Données projet'!$A$36,'Données projet'!$B$36,N80+M81-V80)))</f>
        <v>273.28800000000012</v>
      </c>
      <c r="O81" s="13">
        <f>N81*VLOOKUP('Données projet'!$B$9,Paramètres!$A$1:$I$89,3,0)*VLOOKUP('Données projet'!$B$9,Paramètres!$A$1:$I$89,5,0)</f>
        <v>247.27098240000012</v>
      </c>
      <c r="P81" s="13">
        <f t="shared" si="87"/>
        <v>60.001190025553029</v>
      </c>
      <c r="Q81" s="20">
        <f t="shared" si="54"/>
        <v>535.16570030783839</v>
      </c>
      <c r="R81" s="59">
        <f t="shared" si="55"/>
        <v>828.49903364117176</v>
      </c>
      <c r="S81" s="59">
        <f ca="1">AVERAGE(OFFSET($R$3,0,0,'Données projet'!$E$9+1,1))-AVERAGE(OFFSET($H$3,0,0,'Données projet'!$E$9+1,1))</f>
        <v>581.88778927327667</v>
      </c>
      <c r="T81" s="59">
        <f t="shared" si="88"/>
        <v>269.67340993773422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30.726884001968305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30.726884001968305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8.6770000000000014</v>
      </c>
      <c r="AI81" s="13">
        <f>IF('Données projet'!$A$62&gt;35,AI80+AH81-AQ80,IF(A81&lt;'Données projet'!$A$62,$AF$205^A81,IF(A81='Données projet'!$A$62,'Données projet'!$B$62,AI80+AH81-AQ80)))</f>
        <v>273.28800000000012</v>
      </c>
      <c r="AJ81" s="13">
        <f>AI81*VLOOKUP('Données projet'!$B$10,Paramètres!$A$1:$I$89,3,0)*VLOOKUP('Données projet'!$B$10,Paramètres!$A$1:$I$89,5,0)</f>
        <v>277.11403200000018</v>
      </c>
      <c r="AK81" s="13">
        <f t="shared" si="89"/>
        <v>66.356753617040368</v>
      </c>
      <c r="AL81" s="20">
        <f t="shared" si="58"/>
        <v>598.21161828301217</v>
      </c>
      <c r="AM81" s="59">
        <f t="shared" si="59"/>
        <v>891.54495161634554</v>
      </c>
      <c r="AN81" s="59">
        <f ca="1">AVERAGE(OFFSET($AM$3,0,0,'Données projet'!$E$10+1,1))-AVERAGE(OFFSET($H$3,0,0,'Données projet'!$E$10+1,1))</f>
        <v>646.50767193970182</v>
      </c>
      <c r="AO81" s="59">
        <f t="shared" si="90"/>
        <v>297.06786598620607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34.435301036688614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34.435301036688614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8.6770000000000014</v>
      </c>
      <c r="N82" s="13">
        <f>IF('Données projet'!$A$36&gt;35,N81+M82-V81,IF(A82&lt;'Données projet'!$A$36,$K$205^A82,IF(A82='Données projet'!$A$36,'Données projet'!$B$36,N81+M82-V81)))</f>
        <v>281.96500000000015</v>
      </c>
      <c r="O82" s="13">
        <f>N82*VLOOKUP('Données projet'!$B$9,Paramètres!$A$1:$I$89,3,0)*VLOOKUP('Données projet'!$B$9,Paramètres!$A$1:$I$89,5,0)</f>
        <v>255.1219320000001</v>
      </c>
      <c r="P82" s="13">
        <f t="shared" si="87"/>
        <v>61.681427575411924</v>
      </c>
      <c r="Q82" s="20">
        <f t="shared" si="54"/>
        <v>551.76585126050918</v>
      </c>
      <c r="R82" s="59">
        <f t="shared" si="55"/>
        <v>845.09918459384244</v>
      </c>
      <c r="S82" s="59">
        <f ca="1">AVERAGE(OFFSET($R$3,0,0,'Données projet'!$E$9+1,1))-AVERAGE(OFFSET($H$3,0,0,'Données projet'!$E$9+1,1))</f>
        <v>581.88778927327667</v>
      </c>
      <c r="T82" s="59">
        <f t="shared" si="88"/>
        <v>269.67340993773422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30.124348548238373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30.124348548238373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8.6770000000000014</v>
      </c>
      <c r="AI82" s="13">
        <f>IF('Données projet'!$A$62&gt;35,AI81+AH82-AQ81,IF(A82&lt;'Données projet'!$A$62,$AF$205^A82,IF(A82='Données projet'!$A$62,'Données projet'!$B$62,AI81+AH82-AQ81)))</f>
        <v>281.96500000000015</v>
      </c>
      <c r="AJ82" s="13">
        <f>AI82*VLOOKUP('Données projet'!$B$10,Paramètres!$A$1:$I$89,3,0)*VLOOKUP('Données projet'!$B$10,Paramètres!$A$1:$I$89,5,0)</f>
        <v>285.91251000000017</v>
      </c>
      <c r="AK82" s="13">
        <f t="shared" si="89"/>
        <v>68.214968580220258</v>
      </c>
      <c r="AL82" s="20">
        <f t="shared" si="58"/>
        <v>616.77202519388391</v>
      </c>
      <c r="AM82" s="59">
        <f t="shared" si="59"/>
        <v>910.10535852721728</v>
      </c>
      <c r="AN82" s="59">
        <f ca="1">AVERAGE(OFFSET($AM$3,0,0,'Données projet'!$E$10+1,1))-AVERAGE(OFFSET($H$3,0,0,'Données projet'!$E$10+1,1))</f>
        <v>646.50767193970182</v>
      </c>
      <c r="AO82" s="59">
        <f t="shared" si="90"/>
        <v>297.06786598620607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33.760045786818864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33.760045786818864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8.6770000000000014</v>
      </c>
      <c r="N83" s="13">
        <f>IF('Données projet'!$A$36&gt;35,N82+M83-V82,IF(A83&lt;'Données projet'!$A$36,$K$205^A83,IF(A83='Données projet'!$A$36,'Données projet'!$B$36,N82+M83-V82)))</f>
        <v>290.64200000000017</v>
      </c>
      <c r="O83" s="13">
        <f>N83*VLOOKUP('Données projet'!$B$9,Paramètres!$A$1:$I$89,3,0)*VLOOKUP('Données projet'!$B$9,Paramètres!$A$1:$I$89,5,0)</f>
        <v>262.97288160000016</v>
      </c>
      <c r="P83" s="13">
        <f t="shared" si="87"/>
        <v>63.355656254051972</v>
      </c>
      <c r="Q83" s="20">
        <f t="shared" si="54"/>
        <v>568.35553676247412</v>
      </c>
      <c r="R83" s="59">
        <f t="shared" si="55"/>
        <v>861.68887009580749</v>
      </c>
      <c r="S83" s="59">
        <f ca="1">AVERAGE(OFFSET($R$3,0,0,'Données projet'!$E$9+1,1))-AVERAGE(OFFSET($H$3,0,0,'Données projet'!$E$9+1,1))</f>
        <v>581.88778927327667</v>
      </c>
      <c r="T83" s="59">
        <f t="shared" si="88"/>
        <v>269.67340993773422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29.533628447245746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29.533628447245746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8.6770000000000014</v>
      </c>
      <c r="AI83" s="13">
        <f>IF('Données projet'!$A$62&gt;35,AI82+AH83-AQ82,IF(A83&lt;'Données projet'!$A$62,$AF$205^A83,IF(A83='Données projet'!$A$62,'Données projet'!$B$62,AI82+AH83-AQ82)))</f>
        <v>290.64200000000017</v>
      </c>
      <c r="AJ83" s="13">
        <f>AI83*VLOOKUP('Données projet'!$B$10,Paramètres!$A$1:$I$89,3,0)*VLOOKUP('Données projet'!$B$10,Paramètres!$A$1:$I$89,5,0)</f>
        <v>294.71098800000021</v>
      </c>
      <c r="AK83" s="13">
        <f t="shared" si="89"/>
        <v>70.066538188752801</v>
      </c>
      <c r="AL83" s="20">
        <f t="shared" si="58"/>
        <v>635.3208581120781</v>
      </c>
      <c r="AM83" s="59">
        <f t="shared" si="59"/>
        <v>928.65419144541147</v>
      </c>
      <c r="AN83" s="59">
        <f ca="1">AVERAGE(OFFSET($AM$3,0,0,'Données projet'!$E$10+1,1))-AVERAGE(OFFSET($H$3,0,0,'Données projet'!$E$10+1,1))</f>
        <v>646.50767193970182</v>
      </c>
      <c r="AO83" s="59">
        <f t="shared" si="90"/>
        <v>297.06786598620607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33.098031880534023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33.098031880534023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8.6770000000000014</v>
      </c>
      <c r="N84" s="13">
        <f>IF('Données projet'!$A$36&gt;35,N83+M84-V83,IF(A84&lt;'Données projet'!$A$36,$K$205^A84,IF(A84='Données projet'!$A$36,'Données projet'!$B$36,N83+M84-V83)))</f>
        <v>299.31900000000019</v>
      </c>
      <c r="O84" s="13">
        <f>N84*VLOOKUP('Données projet'!$B$9,Paramètres!$A$1:$I$89,3,0)*VLOOKUP('Données projet'!$B$9,Paramètres!$A$1:$I$89,5,0)</f>
        <v>270.8238312000002</v>
      </c>
      <c r="P84" s="13">
        <f t="shared" si="87"/>
        <v>65.024076047844915</v>
      </c>
      <c r="Q84" s="20">
        <f t="shared" si="54"/>
        <v>584.93510512333023</v>
      </c>
      <c r="R84" s="59">
        <f t="shared" si="55"/>
        <v>878.26843845666349</v>
      </c>
      <c r="S84" s="59">
        <f ca="1">AVERAGE(OFFSET($R$3,0,0,'Données projet'!$E$9+1,1))-AVERAGE(OFFSET($H$3,0,0,'Données projet'!$E$9+1,1))</f>
        <v>581.88778927327667</v>
      </c>
      <c r="T84" s="59">
        <f t="shared" si="88"/>
        <v>269.67340993773422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28.9544920071299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28.9544920071299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8.6770000000000014</v>
      </c>
      <c r="AI84" s="13">
        <f>IF('Données projet'!$A$62&gt;35,AI83+AH84-AQ83,IF(A84&lt;'Données projet'!$A$62,$AF$205^A84,IF(A84='Données projet'!$A$62,'Données projet'!$B$62,AI83+AH84-AQ83)))</f>
        <v>299.31900000000019</v>
      </c>
      <c r="AJ84" s="13">
        <f>AI84*VLOOKUP('Données projet'!$B$10,Paramètres!$A$1:$I$89,3,0)*VLOOKUP('Données projet'!$B$10,Paramètres!$A$1:$I$89,5,0)</f>
        <v>303.5094660000002</v>
      </c>
      <c r="AK84" s="13">
        <f t="shared" si="89"/>
        <v>71.911683612358004</v>
      </c>
      <c r="AL84" s="20">
        <f t="shared" si="58"/>
        <v>653.85850224152387</v>
      </c>
      <c r="AM84" s="59">
        <f t="shared" si="59"/>
        <v>947.19183557485712</v>
      </c>
      <c r="AN84" s="59">
        <f ca="1">AVERAGE(OFFSET($AM$3,0,0,'Données projet'!$E$10+1,1))-AVERAGE(OFFSET($H$3,0,0,'Données projet'!$E$10+1,1))</f>
        <v>646.50767193970182</v>
      </c>
      <c r="AO84" s="59">
        <f t="shared" si="90"/>
        <v>297.06786598620607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32.448999663162816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32.448999663162816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8.6770000000000014</v>
      </c>
      <c r="N85" s="13">
        <f>IF('Données projet'!$A$36&gt;35,N84+M85-V84,IF(A85&lt;'Données projet'!$A$36,$K$205^A85,IF(A85='Données projet'!$A$36,'Données projet'!$B$36,N84+M85-V84)))</f>
        <v>307.99600000000021</v>
      </c>
      <c r="O85" s="13">
        <f>N85*VLOOKUP('Données projet'!$B$9,Paramètres!$A$1:$I$89,3,0)*VLOOKUP('Données projet'!$B$9,Paramètres!$A$1:$I$89,5,0)</f>
        <v>278.67478080000018</v>
      </c>
      <c r="P85" s="13">
        <f t="shared" si="87"/>
        <v>66.686874688958113</v>
      </c>
      <c r="Q85" s="20">
        <f t="shared" si="54"/>
        <v>601.50488330993562</v>
      </c>
      <c r="R85" s="59">
        <f t="shared" si="55"/>
        <v>894.83821664326888</v>
      </c>
      <c r="S85" s="59">
        <f ca="1">AVERAGE(OFFSET($R$3,0,0,'Données projet'!$E$9+1,1))-AVERAGE(OFFSET($H$3,0,0,'Données projet'!$E$9+1,1))</f>
        <v>581.88778927327667</v>
      </c>
      <c r="T85" s="59">
        <f t="shared" si="88"/>
        <v>269.67340993773422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28.386712079366379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28.386712079366379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8.6770000000000014</v>
      </c>
      <c r="AI85" s="13">
        <f>IF('Données projet'!$A$62&gt;35,AI84+AH85-AQ84,IF(A85&lt;'Données projet'!$A$62,$AF$205^A85,IF(A85='Données projet'!$A$62,'Données projet'!$B$62,AI84+AH85-AQ84)))</f>
        <v>307.99600000000021</v>
      </c>
      <c r="AJ85" s="13">
        <f>AI85*VLOOKUP('Données projet'!$B$10,Paramètres!$A$1:$I$89,3,0)*VLOOKUP('Données projet'!$B$10,Paramètres!$A$1:$I$89,5,0)</f>
        <v>312.30794400000019</v>
      </c>
      <c r="AK85" s="13">
        <f t="shared" si="89"/>
        <v>73.750612468537497</v>
      </c>
      <c r="AL85" s="20">
        <f t="shared" si="58"/>
        <v>672.38531918270314</v>
      </c>
      <c r="AM85" s="59">
        <f t="shared" si="59"/>
        <v>965.7186525160364</v>
      </c>
      <c r="AN85" s="59">
        <f ca="1">AVERAGE(OFFSET($AM$3,0,0,'Données projet'!$E$10+1,1))-AVERAGE(OFFSET($H$3,0,0,'Données projet'!$E$10+1,1))</f>
        <v>646.50767193970182</v>
      </c>
      <c r="AO85" s="59">
        <f t="shared" si="90"/>
        <v>297.06786598620607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31.812694571703695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31.812694571703695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8.6770000000000014</v>
      </c>
      <c r="N86" s="13">
        <f>IF('Données projet'!$A$36&gt;35,N85+M86-V85,IF(A86&lt;'Données projet'!$A$36,$K$205^A86,IF(A86='Données projet'!$A$36,'Données projet'!$B$36,N85+M86-V85)))</f>
        <v>316.67300000000023</v>
      </c>
      <c r="O86" s="13">
        <f>N86*VLOOKUP('Données projet'!$B$9,Paramètres!$A$1:$I$89,3,0)*VLOOKUP('Données projet'!$B$9,Paramètres!$A$1:$I$89,5,0)</f>
        <v>286.52573040000021</v>
      </c>
      <c r="P86" s="13">
        <f t="shared" si="87"/>
        <v>68.344228730046424</v>
      </c>
      <c r="Q86" s="20">
        <f t="shared" si="54"/>
        <v>618.06517881816455</v>
      </c>
      <c r="R86" s="59">
        <f t="shared" si="55"/>
        <v>911.39851215149793</v>
      </c>
      <c r="S86" s="59">
        <f ca="1">AVERAGE(OFFSET($R$3,0,0,'Données projet'!$E$9+1,1))-AVERAGE(OFFSET($H$3,0,0,'Données projet'!$E$9+1,1))</f>
        <v>581.88778927327667</v>
      </c>
      <c r="T86" s="59">
        <f t="shared" si="88"/>
        <v>269.67340993773422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27.830065969674738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27.830065969674738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8.6770000000000014</v>
      </c>
      <c r="AI86" s="13">
        <f>IF('Données projet'!$A$62&gt;35,AI85+AH86-AQ85,IF(A86&lt;'Données projet'!$A$62,$AF$205^A86,IF(A86='Données projet'!$A$62,'Données projet'!$B$62,AI85+AH86-AQ85)))</f>
        <v>316.67300000000023</v>
      </c>
      <c r="AJ86" s="13">
        <f>AI86*VLOOKUP('Données projet'!$B$10,Paramètres!$A$1:$I$89,3,0)*VLOOKUP('Données projet'!$B$10,Paramètres!$A$1:$I$89,5,0)</f>
        <v>321.10642200000024</v>
      </c>
      <c r="AK86" s="13">
        <f t="shared" si="89"/>
        <v>75.58352001110228</v>
      </c>
      <c r="AL86" s="20">
        <f t="shared" si="58"/>
        <v>690.90164900267018</v>
      </c>
      <c r="AM86" s="59">
        <f t="shared" si="59"/>
        <v>984.23498233600344</v>
      </c>
      <c r="AN86" s="59">
        <f ca="1">AVERAGE(OFFSET($AM$3,0,0,'Données projet'!$E$10+1,1))-AVERAGE(OFFSET($H$3,0,0,'Données projet'!$E$10+1,1))</f>
        <v>646.50767193970182</v>
      </c>
      <c r="AO86" s="59">
        <f t="shared" si="90"/>
        <v>297.06786598620607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31.188867034980305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31.188867034980305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>
        <f>VLOOKUP(A87,'Données projet'!$A$35:$I$55,2,0)</f>
        <v>325.35000000000002</v>
      </c>
      <c r="L87" s="12">
        <f>VLOOKUP(A87,'Données projet'!$A$35:$I$55,9,0)</f>
        <v>8.6770000000000014</v>
      </c>
      <c r="M87" s="12">
        <f t="array" ref="M87">INDEX(L:L,MIN(IF(ISNUMBER(L87:L283),ROW(L87:L283),"")))</f>
        <v>8.6770000000000014</v>
      </c>
      <c r="N87" s="13">
        <f>IF('Données projet'!$A$36&gt;35,N86+M87-V86,IF(A87&lt;'Données projet'!$A$36,$K$205^A87,IF(A87='Données projet'!$A$36,'Données projet'!$B$36,N86+M87-V86)))</f>
        <v>325.35000000000025</v>
      </c>
      <c r="O87" s="13">
        <f>N87*VLOOKUP('Données projet'!$B$9,Paramètres!$A$1:$I$89,3,0)*VLOOKUP('Données projet'!$B$9,Paramètres!$A$1:$I$89,5,0)</f>
        <v>294.37668000000025</v>
      </c>
      <c r="P87" s="13">
        <f t="shared" si="87"/>
        <v>69.99630449784344</v>
      </c>
      <c r="Q87" s="20">
        <f t="shared" si="54"/>
        <v>634.61628133374438</v>
      </c>
      <c r="R87" s="59">
        <f t="shared" si="55"/>
        <v>927.94961466707764</v>
      </c>
      <c r="S87" s="59">
        <f ca="1">AVERAGE(OFFSET($R$3,0,0,'Données projet'!$E$9+1,1))-AVERAGE(OFFSET($H$3,0,0,'Données projet'!$E$9+1,1))</f>
        <v>581.88778927327667</v>
      </c>
      <c r="T87" s="59">
        <f t="shared" si="88"/>
        <v>269.67340993773422</v>
      </c>
      <c r="U87" s="15">
        <f>IF(ISNA(VLOOKUP(A87,'Données projet'!$A$35:$I$55,3,0)),0,VLOOKUP(A87,'Données projet'!$A$35:$I$55,3,0))</f>
        <v>6</v>
      </c>
      <c r="V87" s="15">
        <f>IF(ISNA(VLOOKUP(A87,'Données projet'!$A$35:$I$55,4,0)),0,VLOOKUP(A87,'Données projet'!$A$35:$I$55,4,0))</f>
        <v>61.47</v>
      </c>
      <c r="W87" s="16">
        <f>IF(ISNA(VLOOKUP(A87,'Données projet'!$A$35:$I$55,5,0)),0%,VLOOKUP(A87,'Données projet'!$A$35:$I$55,5,0)*VLOOKUP('Données projet'!$B$9,Paramètres!$A$1:$I$89,7,0))</f>
        <v>0.25800000000000001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43.147236627276406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43.147236627276406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325.35000000000002</v>
      </c>
      <c r="AG87" s="12">
        <f>VLOOKUP(A87,'Données projet'!$A$61:$I$81,9,0)</f>
        <v>8.6770000000000014</v>
      </c>
      <c r="AH87" s="12">
        <f t="array" ref="AH87">INDEX(AG:AG,MIN(IF(ISNUMBER(AG87:AG283),ROW(AG87:AG283),"")))</f>
        <v>8.6770000000000014</v>
      </c>
      <c r="AI87" s="13">
        <f>IF('Données projet'!$A$62&gt;35,AI86+AH87-AQ86,IF(A87&lt;'Données projet'!$A$62,$AF$205^A87,IF(A87='Données projet'!$A$62,'Données projet'!$B$62,AI86+AH87-AQ86)))</f>
        <v>325.35000000000025</v>
      </c>
      <c r="AJ87" s="13">
        <f>AI87*VLOOKUP('Données projet'!$B$10,Paramètres!$A$1:$I$89,3,0)*VLOOKUP('Données projet'!$B$10,Paramètres!$A$1:$I$89,5,0)</f>
        <v>329.90490000000028</v>
      </c>
      <c r="AK87" s="13">
        <f t="shared" si="89"/>
        <v>77.410590184772218</v>
      </c>
      <c r="AL87" s="20">
        <f t="shared" si="58"/>
        <v>709.40781207181215</v>
      </c>
      <c r="AM87" s="59">
        <f t="shared" si="59"/>
        <v>1002.7411454051455</v>
      </c>
      <c r="AN87" s="59">
        <f ca="1">AVERAGE(OFFSET($AM$3,0,0,'Données projet'!$E$10+1,1))-AVERAGE(OFFSET($H$3,0,0,'Données projet'!$E$10+1,1))</f>
        <v>646.50767193970182</v>
      </c>
      <c r="AO87" s="59">
        <f t="shared" si="90"/>
        <v>297.06786598620607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0.25800000000000001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48.354661737464937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48.354661737464937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8.2910000000000021</v>
      </c>
      <c r="N88" s="13">
        <f>IF('Données projet'!$A$36&gt;35,N87+M88-V87,IF(A88&lt;'Données projet'!$A$36,$K$205^A88,IF(A88='Données projet'!$A$36,'Données projet'!$B$36,N87+M88-V87)))</f>
        <v>272.17100000000028</v>
      </c>
      <c r="O88" s="13">
        <f>N88*VLOOKUP('Données projet'!$B$9,Paramètres!$A$1:$I$89,3,0)*VLOOKUP('Données projet'!$B$9,Paramètres!$A$1:$I$89,5,0)</f>
        <v>246.26032080000024</v>
      </c>
      <c r="P88" s="13">
        <f t="shared" si="87"/>
        <v>59.784443753506842</v>
      </c>
      <c r="Q88" s="20">
        <f t="shared" si="54"/>
        <v>533.02796493069138</v>
      </c>
      <c r="R88" s="59">
        <f t="shared" si="55"/>
        <v>826.36129826402475</v>
      </c>
      <c r="S88" s="59">
        <f ca="1">AVERAGE(OFFSET($R$3,0,0,'Données projet'!$E$9+1,1))-AVERAGE(OFFSET($H$3,0,0,'Données projet'!$E$9+1,1))</f>
        <v>581.88778927327667</v>
      </c>
      <c r="T88" s="59">
        <f t="shared" si="88"/>
        <v>269.67340993773422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42.301145634231247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42.301145634231247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8.2910000000000021</v>
      </c>
      <c r="AI88" s="13">
        <f>IF('Données projet'!$A$62&gt;35,AI87+AH88-AQ87,IF(A88&lt;'Données projet'!$A$62,$AF$205^A88,IF(A88='Données projet'!$A$62,'Données projet'!$B$62,AI87+AH88-AQ87)))</f>
        <v>272.17100000000028</v>
      </c>
      <c r="AJ88" s="13">
        <f>AI88*VLOOKUP('Données projet'!$B$10,Paramètres!$A$1:$I$89,3,0)*VLOOKUP('Données projet'!$B$10,Paramètres!$A$1:$I$89,5,0)</f>
        <v>275.98139400000031</v>
      </c>
      <c r="AK88" s="13">
        <f t="shared" si="89"/>
        <v>66.117048721763197</v>
      </c>
      <c r="AL88" s="20">
        <f t="shared" si="58"/>
        <v>595.82145440707143</v>
      </c>
      <c r="AM88" s="59">
        <f t="shared" si="59"/>
        <v>889.1547877404048</v>
      </c>
      <c r="AN88" s="59">
        <f ca="1">AVERAGE(OFFSET($AM$3,0,0,'Données projet'!$E$10+1,1))-AVERAGE(OFFSET($H$3,0,0,'Données projet'!$E$10+1,1))</f>
        <v>646.50767193970182</v>
      </c>
      <c r="AO88" s="59">
        <f t="shared" si="90"/>
        <v>297.06786598620607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47.406456314224677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47.406456314224677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8.2910000000000021</v>
      </c>
      <c r="N89" s="13">
        <f>IF('Données projet'!$A$36&gt;35,N88+M89-V88,IF(A89&lt;'Données projet'!$A$36,$K$205^A89,IF(A89='Données projet'!$A$36,'Données projet'!$B$36,N88+M89-V88)))</f>
        <v>280.46200000000027</v>
      </c>
      <c r="O89" s="13">
        <f>N89*VLOOKUP('Données projet'!$B$9,Paramètres!$A$1:$I$89,3,0)*VLOOKUP('Données projet'!$B$9,Paramètres!$A$1:$I$89,5,0)</f>
        <v>253.76201760000023</v>
      </c>
      <c r="P89" s="13">
        <f t="shared" si="87"/>
        <v>61.390818695638195</v>
      </c>
      <c r="Q89" s="20">
        <f t="shared" si="54"/>
        <v>548.89118988157031</v>
      </c>
      <c r="R89" s="59">
        <f t="shared" si="55"/>
        <v>842.22452321490368</v>
      </c>
      <c r="S89" s="59">
        <f ca="1">AVERAGE(OFFSET($R$3,0,0,'Données projet'!$E$9+1,1))-AVERAGE(OFFSET($H$3,0,0,'Données projet'!$E$9+1,1))</f>
        <v>581.88778927327667</v>
      </c>
      <c r="T89" s="59">
        <f t="shared" si="88"/>
        <v>269.67340993773422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41.471645969495157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41.471645969495157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8.2910000000000021</v>
      </c>
      <c r="AI89" s="13">
        <f>IF('Données projet'!$A$62&gt;35,AI88+AH89-AQ88,IF(A89&lt;'Données projet'!$A$62,$AF$205^A89,IF(A89='Données projet'!$A$62,'Données projet'!$B$62,AI88+AH89-AQ88)))</f>
        <v>280.46200000000027</v>
      </c>
      <c r="AJ89" s="13">
        <f>AI89*VLOOKUP('Données projet'!$B$10,Paramètres!$A$1:$I$89,3,0)*VLOOKUP('Données projet'!$B$10,Paramètres!$A$1:$I$89,5,0)</f>
        <v>284.38846800000033</v>
      </c>
      <c r="AK89" s="13">
        <f t="shared" si="89"/>
        <v>67.893577257383939</v>
      </c>
      <c r="AL89" s="20">
        <f t="shared" si="58"/>
        <v>613.55789548994426</v>
      </c>
      <c r="AM89" s="59">
        <f t="shared" si="59"/>
        <v>906.89122882327752</v>
      </c>
      <c r="AN89" s="59">
        <f ca="1">AVERAGE(OFFSET($AM$3,0,0,'Données projet'!$E$10+1,1))-AVERAGE(OFFSET($H$3,0,0,'Données projet'!$E$10+1,1))</f>
        <v>646.50767193970182</v>
      </c>
      <c r="AO89" s="59">
        <f t="shared" si="90"/>
        <v>297.06786598620607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46.476844620985958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46.476844620985958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8.2910000000000021</v>
      </c>
      <c r="N90" s="13">
        <f>IF('Données projet'!$A$36&gt;35,N89+M90-V89,IF(A90&lt;'Données projet'!$A$36,$K$205^A90,IF(A90='Données projet'!$A$36,'Données projet'!$B$36,N89+M90-V89)))</f>
        <v>288.75300000000027</v>
      </c>
      <c r="O90" s="13">
        <f>N90*VLOOKUP('Données projet'!$B$9,Paramètres!$A$1:$I$89,3,0)*VLOOKUP('Données projet'!$B$9,Paramètres!$A$1:$I$89,5,0)</f>
        <v>261.26371440000025</v>
      </c>
      <c r="P90" s="13">
        <f t="shared" si="87"/>
        <v>62.991674736313257</v>
      </c>
      <c r="Q90" s="20">
        <f t="shared" si="54"/>
        <v>564.74480274574603</v>
      </c>
      <c r="R90" s="59">
        <f t="shared" si="55"/>
        <v>858.07813607907929</v>
      </c>
      <c r="S90" s="59">
        <f ca="1">AVERAGE(OFFSET($R$3,0,0,'Données projet'!$E$9+1,1))-AVERAGE(OFFSET($H$3,0,0,'Données projet'!$E$9+1,1))</f>
        <v>581.88778927327667</v>
      </c>
      <c r="T90" s="59">
        <f t="shared" si="88"/>
        <v>269.67340993773422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40.658412287239706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40.658412287239706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8.2910000000000021</v>
      </c>
      <c r="AI90" s="13">
        <f>IF('Données projet'!$A$62&gt;35,AI89+AH90-AQ89,IF(A90&lt;'Données projet'!$A$62,$AF$205^A90,IF(A90='Données projet'!$A$62,'Données projet'!$B$62,AI89+AH90-AQ89)))</f>
        <v>288.75300000000027</v>
      </c>
      <c r="AJ90" s="13">
        <f>AI90*VLOOKUP('Données projet'!$B$10,Paramètres!$A$1:$I$89,3,0)*VLOOKUP('Données projet'!$B$10,Paramètres!$A$1:$I$89,5,0)</f>
        <v>292.7955420000003</v>
      </c>
      <c r="AK90" s="13">
        <f t="shared" si="89"/>
        <v>69.664002307656872</v>
      </c>
      <c r="AL90" s="20">
        <f t="shared" si="58"/>
        <v>631.2837063358362</v>
      </c>
      <c r="AM90" s="59">
        <f t="shared" si="59"/>
        <v>924.61703966916957</v>
      </c>
      <c r="AN90" s="59">
        <f ca="1">AVERAGE(OFFSET($AM$3,0,0,'Données projet'!$E$10+1,1))-AVERAGE(OFFSET($H$3,0,0,'Données projet'!$E$10+1,1))</f>
        <v>646.50767193970182</v>
      </c>
      <c r="AO90" s="59">
        <f t="shared" si="90"/>
        <v>297.06786598620607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45.565462046044502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45.565462046044502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8.2910000000000021</v>
      </c>
      <c r="N91" s="13">
        <f>IF('Données projet'!$A$36&gt;35,N90+M91-V90,IF(A91&lt;'Données projet'!$A$36,$K$205^A91,IF(A91='Données projet'!$A$36,'Données projet'!$B$36,N90+M91-V90)))</f>
        <v>297.04400000000027</v>
      </c>
      <c r="O91" s="13">
        <f>N91*VLOOKUP('Données projet'!$B$9,Paramètres!$A$1:$I$89,3,0)*VLOOKUP('Données projet'!$B$9,Paramètres!$A$1:$I$89,5,0)</f>
        <v>268.76541120000024</v>
      </c>
      <c r="P91" s="13">
        <f t="shared" si="87"/>
        <v>64.587188539623412</v>
      </c>
      <c r="Q91" s="20">
        <f t="shared" si="54"/>
        <v>580.58911121317794</v>
      </c>
      <c r="R91" s="59">
        <f t="shared" si="55"/>
        <v>873.92244454651131</v>
      </c>
      <c r="S91" s="59">
        <f ca="1">AVERAGE(OFFSET($R$3,0,0,'Données projet'!$E$9+1,1))-AVERAGE(OFFSET($H$3,0,0,'Données projet'!$E$9+1,1))</f>
        <v>581.88778927327667</v>
      </c>
      <c r="T91" s="59">
        <f t="shared" si="88"/>
        <v>269.67340993773422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39.861125621469718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39.861125621469718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8.2910000000000021</v>
      </c>
      <c r="AI91" s="13">
        <f>IF('Données projet'!$A$62&gt;35,AI90+AH91-AQ90,IF(A91&lt;'Données projet'!$A$62,$AF$205^A91,IF(A91='Données projet'!$A$62,'Données projet'!$B$62,AI90+AH91-AQ90)))</f>
        <v>297.04400000000027</v>
      </c>
      <c r="AJ91" s="13">
        <f>AI91*VLOOKUP('Données projet'!$B$10,Paramètres!$A$1:$I$89,3,0)*VLOOKUP('Données projet'!$B$10,Paramètres!$A$1:$I$89,5,0)</f>
        <v>301.20261600000032</v>
      </c>
      <c r="AK91" s="13">
        <f t="shared" si="89"/>
        <v>71.428519249633297</v>
      </c>
      <c r="AL91" s="20">
        <f t="shared" si="58"/>
        <v>648.99922722644521</v>
      </c>
      <c r="AM91" s="59">
        <f t="shared" si="59"/>
        <v>942.33256055977859</v>
      </c>
      <c r="AN91" s="59">
        <f ca="1">AVERAGE(OFFSET($AM$3,0,0,'Données projet'!$E$10+1,1))-AVERAGE(OFFSET($H$3,0,0,'Données projet'!$E$10+1,1))</f>
        <v>646.50767193970182</v>
      </c>
      <c r="AO91" s="59">
        <f t="shared" si="90"/>
        <v>297.06786598620607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44.671951127509168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44.671951127509168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8.2910000000000021</v>
      </c>
      <c r="N92" s="13">
        <f>IF('Données projet'!$A$36&gt;35,N91+M92-V91,IF(A92&lt;'Données projet'!$A$36,$K$205^A92,IF(A92='Données projet'!$A$36,'Données projet'!$B$36,N91+M92-V91)))</f>
        <v>305.33500000000026</v>
      </c>
      <c r="O92" s="13">
        <f>N92*VLOOKUP('Données projet'!$B$9,Paramètres!$A$1:$I$89,3,0)*VLOOKUP('Données projet'!$B$9,Paramètres!$A$1:$I$89,5,0)</f>
        <v>276.26710800000023</v>
      </c>
      <c r="P92" s="13">
        <f t="shared" si="87"/>
        <v>66.177526346547864</v>
      </c>
      <c r="Q92" s="20">
        <f t="shared" si="54"/>
        <v>596.42440482023801</v>
      </c>
      <c r="R92" s="59">
        <f t="shared" si="55"/>
        <v>889.75773815357138</v>
      </c>
      <c r="S92" s="59">
        <f ca="1">AVERAGE(OFFSET($R$3,0,0,'Données projet'!$E$9+1,1))-AVERAGE(OFFSET($H$3,0,0,'Données projet'!$E$9+1,1))</f>
        <v>581.88778927327667</v>
      </c>
      <c r="T92" s="59">
        <f t="shared" si="88"/>
        <v>269.67340993773422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39.079473260918625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39.079473260918625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8.2910000000000021</v>
      </c>
      <c r="AI92" s="13">
        <f>IF('Données projet'!$A$62&gt;35,AI91+AH92-AQ91,IF(A92&lt;'Données projet'!$A$62,$AF$205^A92,IF(A92='Données projet'!$A$62,'Données projet'!$B$62,AI91+AH92-AQ91)))</f>
        <v>305.33500000000026</v>
      </c>
      <c r="AJ92" s="13">
        <f>AI92*VLOOKUP('Données projet'!$B$10,Paramètres!$A$1:$I$89,3,0)*VLOOKUP('Données projet'!$B$10,Paramètres!$A$1:$I$89,5,0)</f>
        <v>309.60969000000028</v>
      </c>
      <c r="AK92" s="13">
        <f t="shared" si="89"/>
        <v>73.187311933195204</v>
      </c>
      <c r="AL92" s="20">
        <f t="shared" si="58"/>
        <v>666.70477836698205</v>
      </c>
      <c r="AM92" s="59">
        <f t="shared" si="59"/>
        <v>960.03811170031531</v>
      </c>
      <c r="AN92" s="59">
        <f ca="1">AVERAGE(OFFSET($AM$3,0,0,'Données projet'!$E$10+1,1))-AVERAGE(OFFSET($H$3,0,0,'Données projet'!$E$10+1,1))</f>
        <v>646.50767193970182</v>
      </c>
      <c r="AO92" s="59">
        <f t="shared" si="90"/>
        <v>297.06786598620607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43.79596141309846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43.79596141309846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8.2910000000000021</v>
      </c>
      <c r="N93" s="13">
        <f>IF('Données projet'!$A$36&gt;35,N92+M93-V92,IF(A93&lt;'Données projet'!$A$36,$K$205^A93,IF(A93='Données projet'!$A$36,'Données projet'!$B$36,N92+M93-V92)))</f>
        <v>313.62600000000026</v>
      </c>
      <c r="O93" s="13">
        <f>N93*VLOOKUP('Données projet'!$B$9,Paramètres!$A$1:$I$89,3,0)*VLOOKUP('Données projet'!$B$9,Paramètres!$A$1:$I$89,5,0)</f>
        <v>283.76880480000023</v>
      </c>
      <c r="P93" s="13">
        <f t="shared" si="87"/>
        <v>67.762844856024827</v>
      </c>
      <c r="Q93" s="20">
        <f t="shared" si="54"/>
        <v>612.2509564842436</v>
      </c>
      <c r="R93" s="59">
        <f t="shared" si="55"/>
        <v>905.58428981757697</v>
      </c>
      <c r="S93" s="59">
        <f ca="1">AVERAGE(OFFSET($R$3,0,0,'Données projet'!$E$9+1,1))-AVERAGE(OFFSET($H$3,0,0,'Données projet'!$E$9+1,1))</f>
        <v>581.88778927327667</v>
      </c>
      <c r="T93" s="59">
        <f t="shared" si="88"/>
        <v>269.67340993773422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38.31314862639708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38.31314862639708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8.2910000000000021</v>
      </c>
      <c r="AI93" s="13">
        <f>IF('Données projet'!$A$62&gt;35,AI92+AH93-AQ92,IF(A93&lt;'Données projet'!$A$62,$AF$205^A93,IF(A93='Données projet'!$A$62,'Données projet'!$B$62,AI92+AH93-AQ92)))</f>
        <v>313.62600000000026</v>
      </c>
      <c r="AJ93" s="13">
        <f>AI93*VLOOKUP('Données projet'!$B$10,Paramètres!$A$1:$I$89,3,0)*VLOOKUP('Données projet'!$B$10,Paramètres!$A$1:$I$89,5,0)</f>
        <v>318.01676400000025</v>
      </c>
      <c r="AK93" s="13">
        <f t="shared" si="89"/>
        <v>74.940553655452632</v>
      </c>
      <c r="AL93" s="20">
        <f t="shared" si="58"/>
        <v>684.40066158324714</v>
      </c>
      <c r="AM93" s="59">
        <f t="shared" si="59"/>
        <v>977.73399491658051</v>
      </c>
      <c r="AN93" s="59">
        <f ca="1">AVERAGE(OFFSET($AM$3,0,0,'Données projet'!$E$10+1,1))-AVERAGE(OFFSET($H$3,0,0,'Données projet'!$E$10+1,1))</f>
        <v>646.50767193970182</v>
      </c>
      <c r="AO93" s="59">
        <f t="shared" si="90"/>
        <v>297.06786598620607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42.937149322686381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42.937149322686381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8.2910000000000021</v>
      </c>
      <c r="N94" s="13">
        <f>IF('Données projet'!$A$36&gt;35,N93+M94-V93,IF(A94&lt;'Données projet'!$A$36,$K$205^A94,IF(A94='Données projet'!$A$36,'Données projet'!$B$36,N93+M94-V93)))</f>
        <v>321.91700000000026</v>
      </c>
      <c r="O94" s="13">
        <f>N94*VLOOKUP('Données projet'!$B$9,Paramètres!$A$1:$I$89,3,0)*VLOOKUP('Données projet'!$B$9,Paramètres!$A$1:$I$89,5,0)</f>
        <v>291.27050160000022</v>
      </c>
      <c r="P94" s="13">
        <f t="shared" si="87"/>
        <v>69.343292010233441</v>
      </c>
      <c r="Q94" s="20">
        <f t="shared" si="54"/>
        <v>628.0690238711569</v>
      </c>
      <c r="R94" s="59">
        <f t="shared" si="55"/>
        <v>921.40235720449027</v>
      </c>
      <c r="S94" s="59">
        <f ca="1">AVERAGE(OFFSET($R$3,0,0,'Données projet'!$E$9+1,1))-AVERAGE(OFFSET($H$3,0,0,'Données projet'!$E$9+1,1))</f>
        <v>581.88778927327667</v>
      </c>
      <c r="T94" s="59">
        <f t="shared" si="88"/>
        <v>269.67340993773422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37.561851150546623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37.561851150546623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8.2910000000000021</v>
      </c>
      <c r="AI94" s="13">
        <f>IF('Données projet'!$A$62&gt;35,AI93+AH94-AQ93,IF(A94&lt;'Données projet'!$A$62,$AF$205^A94,IF(A94='Données projet'!$A$62,'Données projet'!$B$62,AI93+AH94-AQ93)))</f>
        <v>321.91700000000026</v>
      </c>
      <c r="AJ94" s="13">
        <f>AI94*VLOOKUP('Données projet'!$B$10,Paramètres!$A$1:$I$89,3,0)*VLOOKUP('Données projet'!$B$10,Paramètres!$A$1:$I$89,5,0)</f>
        <v>326.42383800000027</v>
      </c>
      <c r="AK94" s="13">
        <f t="shared" si="89"/>
        <v>76.688408029206073</v>
      </c>
      <c r="AL94" s="20">
        <f t="shared" si="58"/>
        <v>702.08716183420108</v>
      </c>
      <c r="AM94" s="59">
        <f t="shared" si="59"/>
        <v>995.42049516753445</v>
      </c>
      <c r="AN94" s="59">
        <f ca="1">AVERAGE(OFFSET($AM$3,0,0,'Données projet'!$E$10+1,1))-AVERAGE(OFFSET($H$3,0,0,'Données projet'!$E$10+1,1))</f>
        <v>646.50767193970182</v>
      </c>
      <c r="AO94" s="59">
        <f t="shared" si="90"/>
        <v>297.06786598620607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42.095178013543631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42.095178013543631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8.2910000000000021</v>
      </c>
      <c r="N95" s="13">
        <f>IF('Données projet'!$A$36&gt;35,N94+M95-V94,IF(A95&lt;'Données projet'!$A$36,$K$205^A95,IF(A95='Données projet'!$A$36,'Données projet'!$B$36,N94+M95-V94)))</f>
        <v>330.20800000000025</v>
      </c>
      <c r="O95" s="13">
        <f>N95*VLOOKUP('Données projet'!$B$9,Paramètres!$A$1:$I$89,3,0)*VLOOKUP('Données projet'!$B$9,Paramètres!$A$1:$I$89,5,0)</f>
        <v>298.77219840000021</v>
      </c>
      <c r="P95" s="13">
        <f t="shared" si="87"/>
        <v>70.919007696700163</v>
      </c>
      <c r="Q95" s="20">
        <f t="shared" si="54"/>
        <v>643.87885061841985</v>
      </c>
      <c r="R95" s="59">
        <f t="shared" si="55"/>
        <v>937.2121839517531</v>
      </c>
      <c r="S95" s="59">
        <f ca="1">AVERAGE(OFFSET($R$3,0,0,'Données projet'!$E$9+1,1))-AVERAGE(OFFSET($H$3,0,0,'Données projet'!$E$9+1,1))</f>
        <v>581.88778927327667</v>
      </c>
      <c r="T95" s="59">
        <f t="shared" si="88"/>
        <v>269.67340993773422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36.825286159951382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36.825286159951382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8.2910000000000021</v>
      </c>
      <c r="AI95" s="13">
        <f>IF('Données projet'!$A$62&gt;35,AI94+AH95-AQ94,IF(A95&lt;'Données projet'!$A$62,$AF$205^A95,IF(A95='Données projet'!$A$62,'Données projet'!$B$62,AI94+AH95-AQ94)))</f>
        <v>330.20800000000025</v>
      </c>
      <c r="AJ95" s="13">
        <f>AI95*VLOOKUP('Données projet'!$B$10,Paramètres!$A$1:$I$89,3,0)*VLOOKUP('Données projet'!$B$10,Paramètres!$A$1:$I$89,5,0)</f>
        <v>334.8309120000003</v>
      </c>
      <c r="AK95" s="13">
        <f t="shared" si="89"/>
        <v>78.431029759422557</v>
      </c>
      <c r="AL95" s="20">
        <f t="shared" si="58"/>
        <v>719.76454856432804</v>
      </c>
      <c r="AM95" s="59">
        <f t="shared" si="59"/>
        <v>1013.0978818976614</v>
      </c>
      <c r="AN95" s="59">
        <f ca="1">AVERAGE(OFFSET($AM$3,0,0,'Données projet'!$E$10+1,1))-AVERAGE(OFFSET($H$3,0,0,'Données projet'!$E$10+1,1))</f>
        <v>646.50767193970182</v>
      </c>
      <c r="AO95" s="59">
        <f t="shared" si="90"/>
        <v>297.06786598620607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41.269717248221383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41.269717248221383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8.2910000000000021</v>
      </c>
      <c r="N96" s="13">
        <f>IF('Données projet'!$A$36&gt;35,N95+M96-V95,IF(A96&lt;'Données projet'!$A$36,$K$205^A96,IF(A96='Données projet'!$A$36,'Données projet'!$B$36,N95+M96-V95)))</f>
        <v>338.49900000000025</v>
      </c>
      <c r="O96" s="13">
        <f>N96*VLOOKUP('Données projet'!$B$9,Paramètres!$A$1:$I$89,3,0)*VLOOKUP('Données projet'!$B$9,Paramètres!$A$1:$I$89,5,0)</f>
        <v>306.27389520000025</v>
      </c>
      <c r="P96" s="13">
        <f t="shared" si="87"/>
        <v>72.490124377904692</v>
      </c>
      <c r="Q96" s="20">
        <f t="shared" si="54"/>
        <v>659.68066743151769</v>
      </c>
      <c r="R96" s="59">
        <f t="shared" si="55"/>
        <v>953.01400076485106</v>
      </c>
      <c r="S96" s="59">
        <f ca="1">AVERAGE(OFFSET($R$3,0,0,'Données projet'!$E$9+1,1))-AVERAGE(OFFSET($H$3,0,0,'Données projet'!$E$9+1,1))</f>
        <v>581.88778927327667</v>
      </c>
      <c r="T96" s="59">
        <f t="shared" si="88"/>
        <v>269.67340993773422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36.10316475956143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36.10316475956143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8.2910000000000021</v>
      </c>
      <c r="AI96" s="13">
        <f>IF('Données projet'!$A$62&gt;35,AI95+AH96-AQ95,IF(A96&lt;'Données projet'!$A$62,$AF$205^A96,IF(A96='Données projet'!$A$62,'Données projet'!$B$62,AI95+AH96-AQ95)))</f>
        <v>338.49900000000025</v>
      </c>
      <c r="AJ96" s="13">
        <f>AI96*VLOOKUP('Données projet'!$B$10,Paramètres!$A$1:$I$89,3,0)*VLOOKUP('Données projet'!$B$10,Paramètres!$A$1:$I$89,5,0)</f>
        <v>343.23798600000026</v>
      </c>
      <c r="AK96" s="13">
        <f t="shared" si="89"/>
        <v>80.16856533953208</v>
      </c>
      <c r="AL96" s="20">
        <f t="shared" si="58"/>
        <v>737.43307691635209</v>
      </c>
      <c r="AM96" s="59">
        <f t="shared" si="59"/>
        <v>1030.7664102496854</v>
      </c>
      <c r="AN96" s="59">
        <f ca="1">AVERAGE(OFFSET($AM$3,0,0,'Données projet'!$E$10+1,1))-AVERAGE(OFFSET($H$3,0,0,'Données projet'!$E$10+1,1))</f>
        <v>646.50767193970182</v>
      </c>
      <c r="AO96" s="59">
        <f t="shared" si="90"/>
        <v>297.06786598620607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40.460443265025752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40.460443265025752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>
        <f>VLOOKUP(A97,'Données projet'!$A$35:$I$55,2,0)</f>
        <v>346.79</v>
      </c>
      <c r="L97" s="12">
        <f>VLOOKUP(A97,'Données projet'!$A$35:$I$55,9,0)</f>
        <v>8.2910000000000021</v>
      </c>
      <c r="M97" s="12">
        <f t="array" ref="M97">INDEX(L:L,MIN(IF(ISNUMBER(L97:L293),ROW(L97:L293),"")))</f>
        <v>8.2910000000000021</v>
      </c>
      <c r="N97" s="13">
        <f>IF('Données projet'!$A$36&gt;35,N96+M97-V96,IF(A97&lt;'Données projet'!$A$36,$K$205^A97,IF(A97='Données projet'!$A$36,'Données projet'!$B$36,N96+M97-V96)))</f>
        <v>346.79000000000025</v>
      </c>
      <c r="O97" s="13">
        <f>N97*VLOOKUP('Données projet'!$B$9,Paramètres!$A$1:$I$89,3,0)*VLOOKUP('Données projet'!$B$9,Paramètres!$A$1:$I$89,5,0)</f>
        <v>313.77559200000019</v>
      </c>
      <c r="P97" s="13">
        <f t="shared" si="87"/>
        <v>74.056767657464533</v>
      </c>
      <c r="Q97" s="20">
        <f t="shared" si="54"/>
        <v>675.47469307008441</v>
      </c>
      <c r="R97" s="59">
        <f t="shared" si="55"/>
        <v>968.80802640341767</v>
      </c>
      <c r="S97" s="59">
        <f ca="1">AVERAGE(OFFSET($R$3,0,0,'Données projet'!$E$9+1,1))-AVERAGE(OFFSET($H$3,0,0,'Données projet'!$E$9+1,1))</f>
        <v>581.88778927327667</v>
      </c>
      <c r="T97" s="59">
        <f t="shared" si="88"/>
        <v>269.67340993773422</v>
      </c>
      <c r="U97" s="15">
        <f>IF(ISNA(VLOOKUP(A97,'Données projet'!$A$35:$I$55,3,0)),0,VLOOKUP(A97,'Données projet'!$A$35:$I$55,3,0))</f>
        <v>7</v>
      </c>
      <c r="V97" s="15">
        <f>IF(ISNA(VLOOKUP(A97,'Données projet'!$A$35:$I$55,4,0)),0,VLOOKUP(A97,'Données projet'!$A$35:$I$55,4,0))</f>
        <v>61.85</v>
      </c>
      <c r="W97" s="16">
        <f>IF(ISNA(VLOOKUP(A97,'Données projet'!$A$35:$I$55,5,0)),0%,VLOOKUP(A97,'Données projet'!$A$35:$I$55,5,0)*VLOOKUP('Données projet'!$B$9,Paramètres!$A$1:$I$89,7,0))</f>
        <v>0.25800000000000001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51.356167505910733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51.356167505910733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346.79</v>
      </c>
      <c r="AG97" s="12">
        <f>VLOOKUP(A97,'Données projet'!$A$61:$I$81,9,0)</f>
        <v>8.2910000000000021</v>
      </c>
      <c r="AH97" s="12">
        <f t="array" ref="AH97">INDEX(AG:AG,MIN(IF(ISNUMBER(AG97:AG293),ROW(AG97:AG293),"")))</f>
        <v>8.2910000000000021</v>
      </c>
      <c r="AI97" s="13">
        <f>IF('Données projet'!$A$62&gt;35,AI96+AH97-AQ96,IF(A97&lt;'Données projet'!$A$62,$AF$205^A97,IF(A97='Données projet'!$A$62,'Données projet'!$B$62,AI96+AH97-AQ96)))</f>
        <v>346.79000000000025</v>
      </c>
      <c r="AJ97" s="13">
        <f>AI97*VLOOKUP('Données projet'!$B$10,Paramètres!$A$1:$I$89,3,0)*VLOOKUP('Données projet'!$B$10,Paramètres!$A$1:$I$89,5,0)</f>
        <v>351.64506000000029</v>
      </c>
      <c r="AK97" s="13">
        <f t="shared" si="89"/>
        <v>81.901153677584574</v>
      </c>
      <c r="AL97" s="20">
        <f t="shared" si="58"/>
        <v>755.09298882179371</v>
      </c>
      <c r="AM97" s="59">
        <f t="shared" si="59"/>
        <v>1048.4263221551271</v>
      </c>
      <c r="AN97" s="59">
        <f ca="1">AVERAGE(OFFSET($AM$3,0,0,'Données projet'!$E$10+1,1))-AVERAGE(OFFSET($H$3,0,0,'Données projet'!$E$10+1,1))</f>
        <v>646.50767193970182</v>
      </c>
      <c r="AO97" s="59">
        <f t="shared" si="90"/>
        <v>297.06786598620607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0.25800000000000001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57.554325653175837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57.554325653175837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8.0470000000000024</v>
      </c>
      <c r="N98" s="13">
        <f>IF('Données projet'!$A$36&gt;35,N97+M98-V97,IF(A98&lt;'Données projet'!$A$36,$K$205^A98,IF(A98='Données projet'!$A$36,'Données projet'!$B$36,N97+M98-V97)))</f>
        <v>292.98700000000025</v>
      </c>
      <c r="O98" s="13">
        <f>N98*VLOOKUP('Données projet'!$B$9,Paramètres!$A$1:$I$89,3,0)*VLOOKUP('Données projet'!$B$9,Paramètres!$A$1:$I$89,5,0)</f>
        <v>265.09463760000023</v>
      </c>
      <c r="P98" s="13">
        <f t="shared" si="87"/>
        <v>63.807119294189917</v>
      </c>
      <c r="Q98" s="20">
        <f t="shared" si="54"/>
        <v>572.83722659071452</v>
      </c>
      <c r="R98" s="59">
        <f t="shared" si="55"/>
        <v>866.17055992404789</v>
      </c>
      <c r="S98" s="59">
        <f ca="1">AVERAGE(OFFSET($R$3,0,0,'Données projet'!$E$9+1,1))-AVERAGE(OFFSET($H$3,0,0,'Données projet'!$E$9+1,1))</f>
        <v>581.88778927327667</v>
      </c>
      <c r="T98" s="59">
        <f t="shared" si="88"/>
        <v>269.67340993773422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50.349104385288996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50.349104385288996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8.0470000000000024</v>
      </c>
      <c r="AI98" s="13">
        <f>IF('Données projet'!$A$62&gt;35,AI97+AH98-AQ97,IF(A98&lt;'Données projet'!$A$62,$AF$205^A98,IF(A98='Données projet'!$A$62,'Données projet'!$B$62,AI97+AH98-AQ97)))</f>
        <v>292.98700000000025</v>
      </c>
      <c r="AJ98" s="13">
        <f>AI98*VLOOKUP('Données projet'!$B$10,Paramètres!$A$1:$I$89,3,0)*VLOOKUP('Données projet'!$B$10,Paramètres!$A$1:$I$89,5,0)</f>
        <v>297.08881800000029</v>
      </c>
      <c r="AK98" s="13">
        <f t="shared" si="89"/>
        <v>70.565821981438845</v>
      </c>
      <c r="AL98" s="20">
        <f t="shared" si="58"/>
        <v>640.33183130100645</v>
      </c>
      <c r="AM98" s="59">
        <f t="shared" si="59"/>
        <v>933.66516463433982</v>
      </c>
      <c r="AN98" s="59">
        <f ca="1">AVERAGE(OFFSET($AM$3,0,0,'Données projet'!$E$10+1,1))-AVERAGE(OFFSET($H$3,0,0,'Données projet'!$E$10+1,1))</f>
        <v>646.50767193970182</v>
      </c>
      <c r="AO98" s="59">
        <f t="shared" si="90"/>
        <v>297.06786598620607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56.425720431789408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56.425720431789408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8.0470000000000024</v>
      </c>
      <c r="N99" s="13">
        <f>IF('Données projet'!$A$36&gt;35,N98+M99-V98,IF(A99&lt;'Données projet'!$A$36,$K$205^A99,IF(A99='Données projet'!$A$36,'Données projet'!$B$36,N98+M99-V98)))</f>
        <v>301.03400000000028</v>
      </c>
      <c r="O99" s="13">
        <f>N99*VLOOKUP('Données projet'!$B$9,Paramètres!$A$1:$I$89,3,0)*VLOOKUP('Données projet'!$B$9,Paramètres!$A$1:$I$89,5,0)</f>
        <v>272.37556320000027</v>
      </c>
      <c r="P99" s="13">
        <f t="shared" si="87"/>
        <v>65.35316643513535</v>
      </c>
      <c r="Q99" s="20">
        <f t="shared" ref="Q99:Q130" si="107">(O99+P99)*0.475*44/12</f>
        <v>588.21087078119456</v>
      </c>
      <c r="R99" s="59">
        <f t="shared" si="55"/>
        <v>881.54420411452793</v>
      </c>
      <c r="S99" s="59">
        <f ca="1">AVERAGE(OFFSET($R$3,0,0,'Données projet'!$E$9+1,1))-AVERAGE(OFFSET($H$3,0,0,'Données projet'!$E$9+1,1))</f>
        <v>581.88778927327667</v>
      </c>
      <c r="T99" s="59">
        <f t="shared" si="88"/>
        <v>269.67340993773422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49.361789158214798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49.361789158214798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8.0470000000000024</v>
      </c>
      <c r="AI99" s="13">
        <f>IF('Données projet'!$A$62&gt;35,AI98+AH99-AQ98,IF(A99&lt;'Données projet'!$A$62,$AF$205^A99,IF(A99='Données projet'!$A$62,'Données projet'!$B$62,AI98+AH99-AQ98)))</f>
        <v>301.03400000000028</v>
      </c>
      <c r="AJ99" s="13">
        <f>AI99*VLOOKUP('Données projet'!$B$10,Paramètres!$A$1:$I$89,3,0)*VLOOKUP('Données projet'!$B$10,Paramètres!$A$1:$I$89,5,0)</f>
        <v>305.24847600000032</v>
      </c>
      <c r="AK99" s="13">
        <f t="shared" si="89"/>
        <v>72.275632556335026</v>
      </c>
      <c r="AL99" s="20">
        <f t="shared" si="58"/>
        <v>657.52115573561741</v>
      </c>
      <c r="AM99" s="59">
        <f t="shared" si="59"/>
        <v>950.85448906895067</v>
      </c>
      <c r="AN99" s="59">
        <f ca="1">AVERAGE(OFFSET($AM$3,0,0,'Données projet'!$E$10+1,1))-AVERAGE(OFFSET($H$3,0,0,'Données projet'!$E$10+1,1))</f>
        <v>646.50767193970182</v>
      </c>
      <c r="AO99" s="59">
        <f t="shared" si="90"/>
        <v>297.06786598620607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55.319246470413155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55.319246470413155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8.0470000000000024</v>
      </c>
      <c r="N100" s="13">
        <f>IF('Données projet'!$A$36&gt;35,N99+M100-V99,IF(A100&lt;'Données projet'!$A$36,$K$205^A100,IF(A100='Données projet'!$A$36,'Données projet'!$B$36,N99+M100-V99)))</f>
        <v>309.0810000000003</v>
      </c>
      <c r="O100" s="13">
        <f>N100*VLOOKUP('Données projet'!$B$9,Paramètres!$A$1:$I$89,3,0)*VLOOKUP('Données projet'!$B$9,Paramètres!$A$1:$I$89,5,0)</f>
        <v>279.65648880000026</v>
      </c>
      <c r="P100" s="13">
        <f t="shared" si="87"/>
        <v>66.894409904113928</v>
      </c>
      <c r="Q100" s="20">
        <f t="shared" si="107"/>
        <v>603.57614857633223</v>
      </c>
      <c r="R100" s="59">
        <f t="shared" si="55"/>
        <v>896.9094819096656</v>
      </c>
      <c r="S100" s="59">
        <f ca="1">AVERAGE(OFFSET($R$3,0,0,'Données projet'!$E$9+1,1))-AVERAGE(OFFSET($H$3,0,0,'Données projet'!$E$9+1,1))</f>
        <v>581.88778927327667</v>
      </c>
      <c r="T100" s="59">
        <f t="shared" si="88"/>
        <v>269.67340993773422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48.393834580540698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48.393834580540698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8.0470000000000024</v>
      </c>
      <c r="AI100" s="13">
        <f>IF('Données projet'!$A$62&gt;35,AI99+AH100-AQ99,IF(A100&lt;'Données projet'!$A$62,$AF$205^A100,IF(A100='Données projet'!$A$62,'Données projet'!$B$62,AI99+AH100-AQ99)))</f>
        <v>309.0810000000003</v>
      </c>
      <c r="AJ100" s="13">
        <f>AI100*VLOOKUP('Données projet'!$B$10,Paramètres!$A$1:$I$89,3,0)*VLOOKUP('Données projet'!$B$10,Paramètres!$A$1:$I$89,5,0)</f>
        <v>313.4081340000003</v>
      </c>
      <c r="AK100" s="13">
        <f t="shared" si="89"/>
        <v>73.980130635311994</v>
      </c>
      <c r="AL100" s="20">
        <f t="shared" si="58"/>
        <v>674.70122757316892</v>
      </c>
      <c r="AM100" s="59">
        <f t="shared" si="59"/>
        <v>968.03456090650229</v>
      </c>
      <c r="AN100" s="59">
        <f ca="1">AVERAGE(OFFSET($AM$3,0,0,'Données projet'!$E$10+1,1))-AVERAGE(OFFSET($H$3,0,0,'Données projet'!$E$10+1,1))</f>
        <v>646.50767193970182</v>
      </c>
      <c r="AO100" s="59">
        <f t="shared" si="90"/>
        <v>297.06786598620607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54.234469788537012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54.234469788537012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8.0470000000000024</v>
      </c>
      <c r="N101" s="13">
        <f>IF('Données projet'!$A$36&gt;35,N100+M101-V100,IF(A101&lt;'Données projet'!$A$36,$K$205^A101,IF(A101='Données projet'!$A$36,'Données projet'!$B$36,N100+M101-V100)))</f>
        <v>317.12800000000033</v>
      </c>
      <c r="O101" s="13">
        <f>N101*VLOOKUP('Données projet'!$B$9,Paramètres!$A$1:$I$89,3,0)*VLOOKUP('Données projet'!$B$9,Paramètres!$A$1:$I$89,5,0)</f>
        <v>286.93741440000031</v>
      </c>
      <c r="P101" s="13">
        <f t="shared" si="87"/>
        <v>68.430989143985158</v>
      </c>
      <c r="Q101" s="20">
        <f t="shared" si="107"/>
        <v>618.93330283910791</v>
      </c>
      <c r="R101" s="59">
        <f t="shared" si="55"/>
        <v>912.26663617244117</v>
      </c>
      <c r="S101" s="59">
        <f ca="1">AVERAGE(OFFSET($R$3,0,0,'Données projet'!$E$9+1,1))-AVERAGE(OFFSET($H$3,0,0,'Données projet'!$E$9+1,1))</f>
        <v>581.88778927327667</v>
      </c>
      <c r="T101" s="59">
        <f t="shared" si="88"/>
        <v>269.67340993773422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47.444861001740797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47.444861001740797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8.0470000000000024</v>
      </c>
      <c r="AI101" s="13">
        <f>IF('Données projet'!$A$62&gt;35,AI100+AH101-AQ100,IF(A101&lt;'Données projet'!$A$62,$AF$205^A101,IF(A101='Données projet'!$A$62,'Données projet'!$B$62,AI100+AH101-AQ100)))</f>
        <v>317.12800000000033</v>
      </c>
      <c r="AJ101" s="13">
        <f>AI101*VLOOKUP('Données projet'!$B$10,Paramètres!$A$1:$I$89,3,0)*VLOOKUP('Données projet'!$B$10,Paramètres!$A$1:$I$89,5,0)</f>
        <v>321.56779200000034</v>
      </c>
      <c r="AK101" s="13">
        <f t="shared" si="89"/>
        <v>75.679470431568902</v>
      </c>
      <c r="AL101" s="20">
        <f t="shared" si="58"/>
        <v>691.87231540164976</v>
      </c>
      <c r="AM101" s="59">
        <f t="shared" si="59"/>
        <v>985.20564873498301</v>
      </c>
      <c r="AN101" s="59">
        <f ca="1">AVERAGE(OFFSET($AM$3,0,0,'Données projet'!$E$10+1,1))-AVERAGE(OFFSET($H$3,0,0,'Données projet'!$E$10+1,1))</f>
        <v>646.50767193970182</v>
      </c>
      <c r="AO101" s="59">
        <f t="shared" si="90"/>
        <v>297.06786598620607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53.170964915744015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53.170964915744015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8.0470000000000024</v>
      </c>
      <c r="N102" s="13">
        <f>IF('Données projet'!$A$36&gt;35,N101+M102-V101,IF(A102&lt;'Données projet'!$A$36,$K$205^A102,IF(A102='Données projet'!$A$36,'Données projet'!$B$36,N101+M102-V101)))</f>
        <v>325.17500000000035</v>
      </c>
      <c r="O102" s="13">
        <f>N102*VLOOKUP('Données projet'!$B$9,Paramètres!$A$1:$I$89,3,0)*VLOOKUP('Données projet'!$B$9,Paramètres!$A$1:$I$89,5,0)</f>
        <v>294.2183400000003</v>
      </c>
      <c r="P102" s="13">
        <f t="shared" si="87"/>
        <v>69.963036117759913</v>
      </c>
      <c r="Q102" s="20">
        <f t="shared" si="107"/>
        <v>634.28256340509904</v>
      </c>
      <c r="R102" s="59">
        <f t="shared" si="55"/>
        <v>927.61589673843241</v>
      </c>
      <c r="S102" s="59">
        <f ca="1">AVERAGE(OFFSET($R$3,0,0,'Données projet'!$E$9+1,1))-AVERAGE(OFFSET($H$3,0,0,'Données projet'!$E$9+1,1))</f>
        <v>581.88778927327667</v>
      </c>
      <c r="T102" s="59">
        <f t="shared" si="88"/>
        <v>269.67340993773422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46.514496216004432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46.514496216004432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8.0470000000000024</v>
      </c>
      <c r="AI102" s="13">
        <f>IF('Données projet'!$A$62&gt;35,AI101+AH102-AQ101,IF(A102&lt;'Données projet'!$A$62,$AF$205^A102,IF(A102='Données projet'!$A$62,'Données projet'!$B$62,AI101+AH102-AQ101)))</f>
        <v>325.17500000000035</v>
      </c>
      <c r="AJ102" s="13">
        <f>AI102*VLOOKUP('Données projet'!$B$10,Paramètres!$A$1:$I$89,3,0)*VLOOKUP('Données projet'!$B$10,Paramètres!$A$1:$I$89,5,0)</f>
        <v>329.72745000000037</v>
      </c>
      <c r="AK102" s="13">
        <f t="shared" si="89"/>
        <v>77.373797886161128</v>
      </c>
      <c r="AL102" s="20">
        <f t="shared" si="58"/>
        <v>709.0346734017312</v>
      </c>
      <c r="AM102" s="59">
        <f t="shared" si="59"/>
        <v>1002.3680067350645</v>
      </c>
      <c r="AN102" s="59">
        <f ca="1">AVERAGE(OFFSET($AM$3,0,0,'Données projet'!$E$10+1,1))-AVERAGE(OFFSET($H$3,0,0,'Données projet'!$E$10+1,1))</f>
        <v>646.50767193970182</v>
      </c>
      <c r="AO102" s="59">
        <f t="shared" si="90"/>
        <v>297.06786598620607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52.12831472483257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52.12831472483257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8.0470000000000024</v>
      </c>
      <c r="N103" s="13">
        <f>IF('Données projet'!$A$36&gt;35,N102+M103-V102,IF(A103&lt;'Données projet'!$A$36,$K$205^A103,IF(A103='Données projet'!$A$36,'Données projet'!$B$36,N102+M103-V102)))</f>
        <v>333.22200000000038</v>
      </c>
      <c r="O103" s="13">
        <f>N103*VLOOKUP('Données projet'!$B$9,Paramètres!$A$1:$I$89,3,0)*VLOOKUP('Données projet'!$B$9,Paramètres!$A$1:$I$89,5,0)</f>
        <v>301.49926560000034</v>
      </c>
      <c r="P103" s="13">
        <f t="shared" si="87"/>
        <v>71.490675884857296</v>
      </c>
      <c r="Q103" s="20">
        <f t="shared" si="107"/>
        <v>649.62414808612709</v>
      </c>
      <c r="R103" s="59">
        <f t="shared" si="55"/>
        <v>942.95748141946046</v>
      </c>
      <c r="S103" s="59">
        <f ca="1">AVERAGE(OFFSET($R$3,0,0,'Données projet'!$E$9+1,1))-AVERAGE(OFFSET($H$3,0,0,'Données projet'!$E$9+1,1))</f>
        <v>581.88778927327667</v>
      </c>
      <c r="T103" s="59">
        <f t="shared" si="88"/>
        <v>269.67340993773422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45.602375316249869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45.602375316249869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8.0470000000000024</v>
      </c>
      <c r="AI103" s="13">
        <f>IF('Données projet'!$A$62&gt;35,AI102+AH103-AQ102,IF(A103&lt;'Données projet'!$A$62,$AF$205^A103,IF(A103='Données projet'!$A$62,'Données projet'!$B$62,AI102+AH103-AQ102)))</f>
        <v>333.22200000000038</v>
      </c>
      <c r="AJ103" s="13">
        <f>AI103*VLOOKUP('Données projet'!$B$10,Paramètres!$A$1:$I$89,3,0)*VLOOKUP('Données projet'!$B$10,Paramètres!$A$1:$I$89,5,0)</f>
        <v>337.88710800000041</v>
      </c>
      <c r="AK103" s="13">
        <f t="shared" si="89"/>
        <v>79.063251305296689</v>
      </c>
      <c r="AL103" s="20">
        <f t="shared" si="58"/>
        <v>726.18854245672571</v>
      </c>
      <c r="AM103" s="59">
        <f t="shared" si="59"/>
        <v>1019.5218757900591</v>
      </c>
      <c r="AN103" s="59">
        <f ca="1">AVERAGE(OFFSET($AM$3,0,0,'Données projet'!$E$10+1,1))-AVERAGE(OFFSET($H$3,0,0,'Données projet'!$E$10+1,1))</f>
        <v>646.50767193970182</v>
      </c>
      <c r="AO103" s="59">
        <f t="shared" si="90"/>
        <v>297.06786598620607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51.106110268211076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51.106110268211076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8.0470000000000024</v>
      </c>
      <c r="N104" s="13">
        <f>IF('Données projet'!$A$36&gt;35,N103+M104-V103,IF(A104&lt;'Données projet'!$A$36,$K$205^A104,IF(A104='Données projet'!$A$36,'Données projet'!$B$36,N103+M104-V103)))</f>
        <v>341.2690000000004</v>
      </c>
      <c r="O104" s="13">
        <f>N104*VLOOKUP('Données projet'!$B$9,Paramètres!$A$1:$I$89,3,0)*VLOOKUP('Données projet'!$B$9,Paramètres!$A$1:$I$89,5,0)</f>
        <v>308.78019120000033</v>
      </c>
      <c r="P104" s="13">
        <f t="shared" si="87"/>
        <v>73.014027120130123</v>
      </c>
      <c r="Q104" s="20">
        <f t="shared" si="107"/>
        <v>664.95826357422709</v>
      </c>
      <c r="R104" s="59">
        <f t="shared" si="55"/>
        <v>958.29159690756046</v>
      </c>
      <c r="S104" s="59">
        <f ca="1">AVERAGE(OFFSET($R$3,0,0,'Données projet'!$E$9+1,1))-AVERAGE(OFFSET($H$3,0,0,'Données projet'!$E$9+1,1))</f>
        <v>581.88778927327667</v>
      </c>
      <c r="T104" s="59">
        <f t="shared" si="88"/>
        <v>269.67340993773422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44.708140551000682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44.708140551000682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8.0470000000000024</v>
      </c>
      <c r="AI104" s="13">
        <f>IF('Données projet'!$A$62&gt;35,AI103+AH104-AQ103,IF(A104&lt;'Données projet'!$A$62,$AF$205^A104,IF(A104='Données projet'!$A$62,'Données projet'!$B$62,AI103+AH104-AQ103)))</f>
        <v>341.2690000000004</v>
      </c>
      <c r="AJ104" s="13">
        <f>AI104*VLOOKUP('Données projet'!$B$10,Paramètres!$A$1:$I$89,3,0)*VLOOKUP('Données projet'!$B$10,Paramètres!$A$1:$I$89,5,0)</f>
        <v>346.04676600000045</v>
      </c>
      <c r="AK104" s="13">
        <f t="shared" si="89"/>
        <v>80.747961934338676</v>
      </c>
      <c r="AL104" s="20">
        <f t="shared" si="58"/>
        <v>743.33415115230719</v>
      </c>
      <c r="AM104" s="59">
        <f t="shared" si="59"/>
        <v>1036.6674844856404</v>
      </c>
      <c r="AN104" s="59">
        <f ca="1">AVERAGE(OFFSET($AM$3,0,0,'Données projet'!$E$10+1,1))-AVERAGE(OFFSET($H$3,0,0,'Données projet'!$E$10+1,1))</f>
        <v>646.50767193970182</v>
      </c>
      <c r="AO104" s="59">
        <f t="shared" si="90"/>
        <v>297.06786598620607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50.103950617500779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50.103950617500779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8.0470000000000024</v>
      </c>
      <c r="N105" s="13">
        <f>IF('Données projet'!$A$36&gt;35,N104+M105-V104,IF(A105&lt;'Données projet'!$A$36,$K$205^A105,IF(A105='Données projet'!$A$36,'Données projet'!$B$36,N104+M105-V104)))</f>
        <v>349.31600000000043</v>
      </c>
      <c r="O105" s="13">
        <f>N105*VLOOKUP('Données projet'!$B$9,Paramètres!$A$1:$I$89,3,0)*VLOOKUP('Données projet'!$B$9,Paramètres!$A$1:$I$89,5,0)</f>
        <v>316.06111680000038</v>
      </c>
      <c r="P105" s="13">
        <f t="shared" si="87"/>
        <v>74.533202582557081</v>
      </c>
      <c r="Q105" s="20">
        <f t="shared" si="107"/>
        <v>680.28510625795423</v>
      </c>
      <c r="R105" s="59">
        <f t="shared" si="55"/>
        <v>973.6184395912876</v>
      </c>
      <c r="S105" s="59">
        <f ca="1">AVERAGE(OFFSET($R$3,0,0,'Données projet'!$E$9+1,1))-AVERAGE(OFFSET($H$3,0,0,'Données projet'!$E$9+1,1))</f>
        <v>581.88778927327667</v>
      </c>
      <c r="T105" s="59">
        <f t="shared" si="88"/>
        <v>269.67340993773422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43.83144118406868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43.83144118406868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8.0470000000000024</v>
      </c>
      <c r="AI105" s="13">
        <f>IF('Données projet'!$A$62&gt;35,AI104+AH105-AQ104,IF(A105&lt;'Données projet'!$A$62,$AF$205^A105,IF(A105='Données projet'!$A$62,'Données projet'!$B$62,AI104+AH105-AQ104)))</f>
        <v>349.31600000000043</v>
      </c>
      <c r="AJ105" s="13">
        <f>AI105*VLOOKUP('Données projet'!$B$10,Paramètres!$A$1:$I$89,3,0)*VLOOKUP('Données projet'!$B$10,Paramètres!$A$1:$I$89,5,0)</f>
        <v>354.20642400000042</v>
      </c>
      <c r="AK105" s="13">
        <f t="shared" si="89"/>
        <v>82.42805447614306</v>
      </c>
      <c r="AL105" s="20">
        <f t="shared" si="58"/>
        <v>760.4717166792833</v>
      </c>
      <c r="AM105" s="59">
        <f t="shared" si="59"/>
        <v>1053.8050500126167</v>
      </c>
      <c r="AN105" s="59">
        <f ca="1">AVERAGE(OFFSET($AM$3,0,0,'Données projet'!$E$10+1,1))-AVERAGE(OFFSET($H$3,0,0,'Données projet'!$E$10+1,1))</f>
        <v>646.50767193970182</v>
      </c>
      <c r="AO105" s="59">
        <f t="shared" si="90"/>
        <v>297.06786598620607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49.121442706283879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49.121442706283879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8.0470000000000024</v>
      </c>
      <c r="N106" s="13">
        <f>IF('Données projet'!$A$36&gt;35,N105+M106-V105,IF(A106&lt;'Données projet'!$A$36,$K$205^A106,IF(A106='Données projet'!$A$36,'Données projet'!$B$36,N105+M106-V105)))</f>
        <v>357.36300000000045</v>
      </c>
      <c r="O106" s="13">
        <f>N106*VLOOKUP('Données projet'!$B$9,Paramètres!$A$1:$I$89,3,0)*VLOOKUP('Données projet'!$B$9,Paramètres!$A$1:$I$89,5,0)</f>
        <v>323.34204240000037</v>
      </c>
      <c r="P106" s="13">
        <f t="shared" si="87"/>
        <v>76.048309539529996</v>
      </c>
      <c r="Q106" s="20">
        <f t="shared" si="107"/>
        <v>695.60486296134877</v>
      </c>
      <c r="R106" s="59">
        <f t="shared" si="55"/>
        <v>988.93819629468203</v>
      </c>
      <c r="S106" s="59">
        <f ca="1">AVERAGE(OFFSET($R$3,0,0,'Données projet'!$E$9+1,1))-AVERAGE(OFFSET($H$3,0,0,'Données projet'!$E$9+1,1))</f>
        <v>581.88778927327667</v>
      </c>
      <c r="T106" s="59">
        <f t="shared" si="88"/>
        <v>269.67340993773422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42.971933356988401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42.971933356988401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8.0470000000000024</v>
      </c>
      <c r="AI106" s="13">
        <f>IF('Données projet'!$A$62&gt;35,AI105+AH106-AQ105,IF(A106&lt;'Données projet'!$A$62,$AF$205^A106,IF(A106='Données projet'!$A$62,'Données projet'!$B$62,AI105+AH106-AQ105)))</f>
        <v>357.36300000000045</v>
      </c>
      <c r="AJ106" s="13">
        <f>AI106*VLOOKUP('Données projet'!$B$10,Paramètres!$A$1:$I$89,3,0)*VLOOKUP('Données projet'!$B$10,Paramètres!$A$1:$I$89,5,0)</f>
        <v>362.36608200000046</v>
      </c>
      <c r="AK106" s="13">
        <f t="shared" si="89"/>
        <v>84.103647560288479</v>
      </c>
      <c r="AL106" s="20">
        <f t="shared" si="58"/>
        <v>777.60144565083658</v>
      </c>
      <c r="AM106" s="59">
        <f t="shared" si="59"/>
        <v>1070.93477898417</v>
      </c>
      <c r="AN106" s="59">
        <f ca="1">AVERAGE(OFFSET($AM$3,0,0,'Données projet'!$E$10+1,1))-AVERAGE(OFFSET($H$3,0,0,'Données projet'!$E$10+1,1))</f>
        <v>646.50767193970182</v>
      </c>
      <c r="AO106" s="59">
        <f t="shared" si="90"/>
        <v>297.06786598620607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48.158201175935289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48.158201175935289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>
        <f>VLOOKUP(A107,'Données projet'!$A$35:$I$55,2,0)</f>
        <v>365.41</v>
      </c>
      <c r="L107" s="12">
        <f>VLOOKUP(A107,'Données projet'!$A$35:$I$55,9,0)</f>
        <v>8.0470000000000024</v>
      </c>
      <c r="M107" s="12">
        <f t="array" ref="M107">INDEX(L:L,MIN(IF(ISNUMBER(L107:L303),ROW(L107:L303),"")))</f>
        <v>8.0470000000000024</v>
      </c>
      <c r="N107" s="13">
        <f>IF('Données projet'!$A$36&gt;35,N106+M107-V106,IF(A107&lt;'Données projet'!$A$36,$K$205^A107,IF(A107='Données projet'!$A$36,'Données projet'!$B$36,N106+M107-V106)))</f>
        <v>365.41000000000048</v>
      </c>
      <c r="O107" s="13">
        <f>N107*VLOOKUP('Données projet'!$B$9,Paramètres!$A$1:$I$89,3,0)*VLOOKUP('Données projet'!$B$9,Paramètres!$A$1:$I$89,5,0)</f>
        <v>330.62296800000041</v>
      </c>
      <c r="P107" s="13">
        <f t="shared" si="87"/>
        <v>77.559450151847827</v>
      </c>
      <c r="Q107" s="20">
        <f t="shared" si="107"/>
        <v>710.91771161446911</v>
      </c>
      <c r="R107" s="59">
        <f t="shared" si="55"/>
        <v>1004.2510449478025</v>
      </c>
      <c r="S107" s="59">
        <f ca="1">AVERAGE(OFFSET($R$3,0,0,'Données projet'!$E$9+1,1))-AVERAGE(OFFSET($H$3,0,0,'Données projet'!$E$9+1,1))</f>
        <v>581.88778927327667</v>
      </c>
      <c r="T107" s="59">
        <f t="shared" si="88"/>
        <v>269.67340993773422</v>
      </c>
      <c r="U107" s="15">
        <f>IF(ISNA(VLOOKUP(A107,'Données projet'!$A$35:$I$55,3,0)),0,VLOOKUP(A107,'Données projet'!$A$35:$I$55,3,0))</f>
        <v>8</v>
      </c>
      <c r="V107" s="15">
        <f>IF(ISNA(VLOOKUP(A107,'Données projet'!$A$35:$I$55,4,0)),0,VLOOKUP(A107,'Données projet'!$A$35:$I$55,4,0))</f>
        <v>60.19</v>
      </c>
      <c r="W107" s="16">
        <f>IF(ISNA(VLOOKUP(A107,'Données projet'!$A$35:$I$55,5,0)),0%,VLOOKUP(A107,'Données projet'!$A$35:$I$55,5,0)*VLOOKUP('Données projet'!$B$9,Paramètres!$A$1:$I$89,7,0))</f>
        <v>0.25800000000000001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57.661865407845688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57.661865407845688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365.41</v>
      </c>
      <c r="AG107" s="12">
        <f>VLOOKUP(A107,'Données projet'!$A$61:$I$81,9,0)</f>
        <v>8.0470000000000024</v>
      </c>
      <c r="AH107" s="12">
        <f t="array" ref="AH107">INDEX(AG:AG,MIN(IF(ISNUMBER(AG107:AG303),ROW(AG107:AG303),"")))</f>
        <v>8.0470000000000024</v>
      </c>
      <c r="AI107" s="13">
        <f>IF('Données projet'!$A$62&gt;35,AI106+AH107-AQ106,IF(A107&lt;'Données projet'!$A$62,$AF$205^A107,IF(A107='Données projet'!$A$62,'Données projet'!$B$62,AI106+AH107-AQ106)))</f>
        <v>365.41000000000048</v>
      </c>
      <c r="AJ107" s="13">
        <f>AI107*VLOOKUP('Données projet'!$B$10,Paramètres!$A$1:$I$89,3,0)*VLOOKUP('Données projet'!$B$10,Paramètres!$A$1:$I$89,5,0)</f>
        <v>370.5257400000005</v>
      </c>
      <c r="AK107" s="13">
        <f t="shared" si="89"/>
        <v>85.774854168850283</v>
      </c>
      <c r="AL107" s="20">
        <f t="shared" si="58"/>
        <v>794.72353484408177</v>
      </c>
      <c r="AM107" s="59">
        <f t="shared" si="59"/>
        <v>1088.056868177415</v>
      </c>
      <c r="AN107" s="59">
        <f ca="1">AVERAGE(OFFSET($AM$3,0,0,'Données projet'!$E$10+1,1))-AVERAGE(OFFSET($H$3,0,0,'Données projet'!$E$10+1,1))</f>
        <v>646.50767193970182</v>
      </c>
      <c r="AO107" s="59">
        <f t="shared" si="90"/>
        <v>297.06786598620607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0.25800000000000001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64.621056060516736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64.621056060516736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7.9349999999999969</v>
      </c>
      <c r="N108" s="13">
        <f>IF('Données projet'!$A$36&gt;35,N107+M108-V107,IF(A108&lt;'Données projet'!$A$36,$K$205^A108,IF(A108='Données projet'!$A$36,'Données projet'!$B$36,N107+M108-V107)))</f>
        <v>313.15500000000048</v>
      </c>
      <c r="O108" s="13">
        <f>N108*VLOOKUP('Données projet'!$B$9,Paramètres!$A$1:$I$89,3,0)*VLOOKUP('Données projet'!$B$9,Paramètres!$A$1:$I$89,5,0)</f>
        <v>283.34264400000046</v>
      </c>
      <c r="P108" s="13">
        <f t="shared" si="87"/>
        <v>67.672917015543916</v>
      </c>
      <c r="Q108" s="20">
        <f t="shared" si="107"/>
        <v>611.3521021020731</v>
      </c>
      <c r="R108" s="59">
        <f t="shared" si="55"/>
        <v>904.68543543540636</v>
      </c>
      <c r="S108" s="59">
        <f ca="1">AVERAGE(OFFSET($R$3,0,0,'Données projet'!$E$9+1,1))-AVERAGE(OFFSET($H$3,0,0,'Données projet'!$E$9+1,1))</f>
        <v>581.88778927327667</v>
      </c>
      <c r="T108" s="59">
        <f t="shared" si="88"/>
        <v>269.67340993773422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56.531151397462956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56.531151397462956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7.9349999999999969</v>
      </c>
      <c r="AI108" s="13">
        <f>IF('Données projet'!$A$62&gt;35,AI107+AH108-AQ107,IF(A108&lt;'Données projet'!$A$62,$AF$205^A108,IF(A108='Données projet'!$A$62,'Données projet'!$B$62,AI107+AH108-AQ107)))</f>
        <v>313.15500000000048</v>
      </c>
      <c r="AJ108" s="13">
        <f>AI108*VLOOKUP('Données projet'!$B$10,Paramètres!$A$1:$I$89,3,0)*VLOOKUP('Données projet'!$B$10,Paramètres!$A$1:$I$89,5,0)</f>
        <v>317.53917000000052</v>
      </c>
      <c r="AK108" s="13">
        <f t="shared" si="89"/>
        <v>74.841100302084755</v>
      </c>
      <c r="AL108" s="20">
        <f t="shared" si="58"/>
        <v>683.39563744279849</v>
      </c>
      <c r="AM108" s="59">
        <f t="shared" si="59"/>
        <v>976.72897077613175</v>
      </c>
      <c r="AN108" s="59">
        <f ca="1">AVERAGE(OFFSET($AM$3,0,0,'Données projet'!$E$10+1,1))-AVERAGE(OFFSET($H$3,0,0,'Données projet'!$E$10+1,1))</f>
        <v>646.50767193970182</v>
      </c>
      <c r="AO108" s="59">
        <f t="shared" si="90"/>
        <v>297.06786598620607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63.353876566122295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63.353876566122295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7.9349999999999969</v>
      </c>
      <c r="N109" s="13">
        <f>IF('Données projet'!$A$36&gt;35,N108+M109-V108,IF(A109&lt;'Données projet'!$A$36,$K$205^A109,IF(A109='Données projet'!$A$36,'Données projet'!$B$36,N108+M109-V108)))</f>
        <v>321.09000000000049</v>
      </c>
      <c r="O109" s="13">
        <f>N109*VLOOKUP('Données projet'!$B$9,Paramètres!$A$1:$I$89,3,0)*VLOOKUP('Données projet'!$B$9,Paramètres!$A$1:$I$89,5,0)</f>
        <v>290.52223200000043</v>
      </c>
      <c r="P109" s="13">
        <f t="shared" si="87"/>
        <v>69.185862279978352</v>
      </c>
      <c r="Q109" s="20">
        <f t="shared" si="107"/>
        <v>626.49159753762979</v>
      </c>
      <c r="R109" s="59">
        <f t="shared" si="55"/>
        <v>919.82493087096304</v>
      </c>
      <c r="S109" s="59">
        <f ca="1">AVERAGE(OFFSET($R$3,0,0,'Données projet'!$E$9+1,1))-AVERAGE(OFFSET($H$3,0,0,'Données projet'!$E$9+1,1))</f>
        <v>581.88778927327667</v>
      </c>
      <c r="T109" s="59">
        <f t="shared" si="88"/>
        <v>269.67340993773422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55.422609999156386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55.422609999156386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7.9349999999999969</v>
      </c>
      <c r="AI109" s="13">
        <f>IF('Données projet'!$A$62&gt;35,AI108+AH109-AQ108,IF(A109&lt;'Données projet'!$A$62,$AF$205^A109,IF(A109='Données projet'!$A$62,'Données projet'!$B$62,AI108+AH109-AQ108)))</f>
        <v>321.09000000000049</v>
      </c>
      <c r="AJ109" s="13">
        <f>AI109*VLOOKUP('Données projet'!$B$10,Paramètres!$A$1:$I$89,3,0)*VLOOKUP('Données projet'!$B$10,Paramètres!$A$1:$I$89,5,0)</f>
        <v>325.58526000000052</v>
      </c>
      <c r="AK109" s="13">
        <f t="shared" si="89"/>
        <v>76.514302718659977</v>
      </c>
      <c r="AL109" s="20">
        <f t="shared" si="58"/>
        <v>700.32340506833361</v>
      </c>
      <c r="AM109" s="59">
        <f t="shared" si="59"/>
        <v>993.65673840166687</v>
      </c>
      <c r="AN109" s="59">
        <f ca="1">AVERAGE(OFFSET($AM$3,0,0,'Données projet'!$E$10+1,1))-AVERAGE(OFFSET($H$3,0,0,'Données projet'!$E$10+1,1))</f>
        <v>646.50767193970182</v>
      </c>
      <c r="AO109" s="59">
        <f t="shared" si="90"/>
        <v>297.06786598620607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62.111545688709754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62.111545688709754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7.9349999999999969</v>
      </c>
      <c r="N110" s="13">
        <f>IF('Données projet'!$A$36&gt;35,N109+M110-V109,IF(A110&lt;'Données projet'!$A$36,$K$205^A110,IF(A110='Données projet'!$A$36,'Données projet'!$B$36,N109+M110-V109)))</f>
        <v>329.02500000000049</v>
      </c>
      <c r="O110" s="13">
        <f>N110*VLOOKUP('Données projet'!$B$9,Paramètres!$A$1:$I$89,3,0)*VLOOKUP('Données projet'!$B$9,Paramètres!$A$1:$I$89,5,0)</f>
        <v>297.70182000000045</v>
      </c>
      <c r="P110" s="13">
        <f t="shared" si="87"/>
        <v>70.69446125561177</v>
      </c>
      <c r="Q110" s="20">
        <f t="shared" si="107"/>
        <v>641.62352318685794</v>
      </c>
      <c r="R110" s="59">
        <f t="shared" si="55"/>
        <v>934.9568565201912</v>
      </c>
      <c r="S110" s="59">
        <f ca="1">AVERAGE(OFFSET($R$3,0,0,'Données projet'!$E$9+1,1))-AVERAGE(OFFSET($H$3,0,0,'Données projet'!$E$9+1,1))</f>
        <v>581.88778927327667</v>
      </c>
      <c r="T110" s="59">
        <f t="shared" si="88"/>
        <v>269.67340993773422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54.335806421527117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54.335806421527117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7.9349999999999969</v>
      </c>
      <c r="AI110" s="13">
        <f>IF('Données projet'!$A$62&gt;35,AI109+AH110-AQ109,IF(A110&lt;'Données projet'!$A$62,$AF$205^A110,IF(A110='Données projet'!$A$62,'Données projet'!$B$62,AI109+AH110-AQ109)))</f>
        <v>329.02500000000049</v>
      </c>
      <c r="AJ110" s="13">
        <f>AI110*VLOOKUP('Données projet'!$B$10,Paramètres!$A$1:$I$89,3,0)*VLOOKUP('Données projet'!$B$10,Paramètres!$A$1:$I$89,5,0)</f>
        <v>333.63135000000051</v>
      </c>
      <c r="AK110" s="13">
        <f t="shared" si="89"/>
        <v>78.182698470317533</v>
      </c>
      <c r="AL110" s="20">
        <f t="shared" si="58"/>
        <v>717.24280108580388</v>
      </c>
      <c r="AM110" s="59">
        <f t="shared" si="59"/>
        <v>1010.5761344191371</v>
      </c>
      <c r="AN110" s="59">
        <f ca="1">AVERAGE(OFFSET($AM$3,0,0,'Données projet'!$E$10+1,1))-AVERAGE(OFFSET($H$3,0,0,'Données projet'!$E$10+1,1))</f>
        <v>646.50767193970182</v>
      </c>
      <c r="AO110" s="59">
        <f t="shared" si="90"/>
        <v>297.06786598620607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60.893576162056263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60.893576162056263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7.9349999999999969</v>
      </c>
      <c r="N111" s="13">
        <f>IF('Données projet'!$A$36&gt;35,N110+M111-V110,IF(A111&lt;'Données projet'!$A$36,$K$205^A111,IF(A111='Données projet'!$A$36,'Données projet'!$B$36,N110+M111-V110)))</f>
        <v>336.96000000000049</v>
      </c>
      <c r="O111" s="13">
        <f>N111*VLOOKUP('Données projet'!$B$9,Paramètres!$A$1:$I$89,3,0)*VLOOKUP('Données projet'!$B$9,Paramètres!$A$1:$I$89,5,0)</f>
        <v>304.88140800000042</v>
      </c>
      <c r="P111" s="13">
        <f t="shared" si="87"/>
        <v>72.198830820277394</v>
      </c>
      <c r="Q111" s="20">
        <f t="shared" si="107"/>
        <v>656.74808261198393</v>
      </c>
      <c r="R111" s="59">
        <f t="shared" si="55"/>
        <v>950.0814159453173</v>
      </c>
      <c r="S111" s="59">
        <f ca="1">AVERAGE(OFFSET($R$3,0,0,'Données projet'!$E$9+1,1))-AVERAGE(OFFSET($H$3,0,0,'Données projet'!$E$9+1,1))</f>
        <v>581.88778927327667</v>
      </c>
      <c r="T111" s="59">
        <f t="shared" si="88"/>
        <v>269.67340993773422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53.270314399170431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53.270314399170431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7.9349999999999969</v>
      </c>
      <c r="AI111" s="13">
        <f>IF('Données projet'!$A$62&gt;35,AI110+AH111-AQ110,IF(A111&lt;'Données projet'!$A$62,$AF$205^A111,IF(A111='Données projet'!$A$62,'Données projet'!$B$62,AI110+AH111-AQ110)))</f>
        <v>336.96000000000049</v>
      </c>
      <c r="AJ111" s="13">
        <f>AI111*VLOOKUP('Données projet'!$B$10,Paramètres!$A$1:$I$89,3,0)*VLOOKUP('Données projet'!$B$10,Paramètres!$A$1:$I$89,5,0)</f>
        <v>341.6774400000005</v>
      </c>
      <c r="AK111" s="13">
        <f t="shared" si="89"/>
        <v>79.846416815053246</v>
      </c>
      <c r="AL111" s="20">
        <f t="shared" si="58"/>
        <v>734.15405061955198</v>
      </c>
      <c r="AM111" s="59">
        <f t="shared" si="59"/>
        <v>1027.4873839528852</v>
      </c>
      <c r="AN111" s="59">
        <f ca="1">AVERAGE(OFFSET($AM$3,0,0,'Données projet'!$E$10+1,1))-AVERAGE(OFFSET($H$3,0,0,'Données projet'!$E$10+1,1))</f>
        <v>646.50767193970182</v>
      </c>
      <c r="AO111" s="59">
        <f t="shared" si="90"/>
        <v>297.06786598620607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59.699490274932387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59.699490274932387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7.9349999999999969</v>
      </c>
      <c r="N112" s="13">
        <f>IF('Données projet'!$A$36&gt;35,N111+M112-V111,IF(A112&lt;'Données projet'!$A$36,$K$205^A112,IF(A112='Données projet'!$A$36,'Données projet'!$B$36,N111+M112-V111)))</f>
        <v>344.89500000000049</v>
      </c>
      <c r="O112" s="13">
        <f>N112*VLOOKUP('Données projet'!$B$9,Paramètres!$A$1:$I$89,3,0)*VLOOKUP('Données projet'!$B$9,Paramètres!$A$1:$I$89,5,0)</f>
        <v>312.06099600000044</v>
      </c>
      <c r="P112" s="13">
        <f t="shared" si="87"/>
        <v>73.699082033131035</v>
      </c>
      <c r="Q112" s="20">
        <f t="shared" si="107"/>
        <v>671.86546924103743</v>
      </c>
      <c r="R112" s="59">
        <f t="shared" si="55"/>
        <v>965.1988025743708</v>
      </c>
      <c r="S112" s="59">
        <f ca="1">AVERAGE(OFFSET($R$3,0,0,'Données projet'!$E$9+1,1))-AVERAGE(OFFSET($H$3,0,0,'Données projet'!$E$9+1,1))</f>
        <v>581.88778927327667</v>
      </c>
      <c r="T112" s="59">
        <f t="shared" si="88"/>
        <v>269.67340993773422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52.225716025486193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52.225716025486193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7.9349999999999969</v>
      </c>
      <c r="AI112" s="13">
        <f>IF('Données projet'!$A$62&gt;35,AI111+AH112-AQ111,IF(A112&lt;'Données projet'!$A$62,$AF$205^A112,IF(A112='Données projet'!$A$62,'Données projet'!$B$62,AI111+AH112-AQ111)))</f>
        <v>344.89500000000049</v>
      </c>
      <c r="AJ112" s="13">
        <f>AI112*VLOOKUP('Données projet'!$B$10,Paramètres!$A$1:$I$89,3,0)*VLOOKUP('Données projet'!$B$10,Paramètres!$A$1:$I$89,5,0)</f>
        <v>349.72353000000055</v>
      </c>
      <c r="AK112" s="13">
        <f t="shared" si="89"/>
        <v>81.505580575848711</v>
      </c>
      <c r="AL112" s="20">
        <f t="shared" si="58"/>
        <v>751.05736758627074</v>
      </c>
      <c r="AM112" s="59">
        <f t="shared" si="59"/>
        <v>1044.3907009196041</v>
      </c>
      <c r="AN112" s="59">
        <f ca="1">AVERAGE(OFFSET($AM$3,0,0,'Données projet'!$E$10+1,1))-AVERAGE(OFFSET($H$3,0,0,'Données projet'!$E$10+1,1))</f>
        <v>646.50767193970182</v>
      </c>
      <c r="AO112" s="59">
        <f t="shared" si="90"/>
        <v>297.06786598620607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58.52881968373454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58.52881968373454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7.9349999999999969</v>
      </c>
      <c r="N113" s="13">
        <f>IF('Données projet'!$A$36&gt;35,N112+M113-V112,IF(A113&lt;'Données projet'!$A$36,$K$205^A113,IF(A113='Données projet'!$A$36,'Données projet'!$B$36,N112+M113-V112)))</f>
        <v>352.8300000000005</v>
      </c>
      <c r="O113" s="13">
        <f>N113*VLOOKUP('Données projet'!$B$9,Paramètres!$A$1:$I$89,3,0)*VLOOKUP('Données projet'!$B$9,Paramètres!$A$1:$I$89,5,0)</f>
        <v>319.24058400000041</v>
      </c>
      <c r="P113" s="13">
        <f t="shared" si="87"/>
        <v>75.195320551435159</v>
      </c>
      <c r="Q113" s="20">
        <f t="shared" si="107"/>
        <v>686.97586709375025</v>
      </c>
      <c r="R113" s="59">
        <f t="shared" si="55"/>
        <v>980.30920042708362</v>
      </c>
      <c r="S113" s="59">
        <f ca="1">AVERAGE(OFFSET($R$3,0,0,'Données projet'!$E$9+1,1))-AVERAGE(OFFSET($H$3,0,0,'Données projet'!$E$9+1,1))</f>
        <v>581.88778927327667</v>
      </c>
      <c r="T113" s="59">
        <f t="shared" si="88"/>
        <v>269.67340993773422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51.201601588767808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51.201601588767808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7.9349999999999969</v>
      </c>
      <c r="AI113" s="13">
        <f>IF('Données projet'!$A$62&gt;35,AI112+AH113-AQ112,IF(A113&lt;'Données projet'!$A$62,$AF$205^A113,IF(A113='Données projet'!$A$62,'Données projet'!$B$62,AI112+AH113-AQ112)))</f>
        <v>352.8300000000005</v>
      </c>
      <c r="AJ113" s="13">
        <f>AI113*VLOOKUP('Données projet'!$B$10,Paramètres!$A$1:$I$89,3,0)*VLOOKUP('Données projet'!$B$10,Paramètres!$A$1:$I$89,5,0)</f>
        <v>357.76962000000054</v>
      </c>
      <c r="AK113" s="13">
        <f t="shared" si="89"/>
        <v>83.160306601601619</v>
      </c>
      <c r="AL113" s="20">
        <f t="shared" si="58"/>
        <v>767.95295549779041</v>
      </c>
      <c r="AM113" s="59">
        <f t="shared" si="59"/>
        <v>1061.2862888311238</v>
      </c>
      <c r="AN113" s="59">
        <f ca="1">AVERAGE(OFFSET($AM$3,0,0,'Données projet'!$E$10+1,1))-AVERAGE(OFFSET($H$3,0,0,'Données projet'!$E$10+1,1))</f>
        <v>646.50767193970182</v>
      </c>
      <c r="AO113" s="59">
        <f t="shared" si="90"/>
        <v>297.06786598620607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57.381105228791526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57.381105228791526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7.9349999999999969</v>
      </c>
      <c r="N114" s="13">
        <f>IF('Données projet'!$A$36&gt;35,N113+M114-V113,IF(A114&lt;'Données projet'!$A$36,$K$205^A114,IF(A114='Données projet'!$A$36,'Données projet'!$B$36,N113+M114-V113)))</f>
        <v>360.7650000000005</v>
      </c>
      <c r="O114" s="13">
        <f>N114*VLOOKUP('Données projet'!$B$9,Paramètres!$A$1:$I$89,3,0)*VLOOKUP('Données projet'!$B$9,Paramètres!$A$1:$I$89,5,0)</f>
        <v>326.42017200000043</v>
      </c>
      <c r="P114" s="13">
        <f t="shared" si="87"/>
        <v>76.687647008791089</v>
      </c>
      <c r="Q114" s="20">
        <f t="shared" si="107"/>
        <v>702.07945144031191</v>
      </c>
      <c r="R114" s="59">
        <f t="shared" si="55"/>
        <v>995.41278477364517</v>
      </c>
      <c r="S114" s="59">
        <f ca="1">AVERAGE(OFFSET($R$3,0,0,'Données projet'!$E$9+1,1))-AVERAGE(OFFSET($H$3,0,0,'Données projet'!$E$9+1,1))</f>
        <v>581.88778927327667</v>
      </c>
      <c r="T114" s="59">
        <f t="shared" si="88"/>
        <v>269.67340993773422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50.197569411505341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50.197569411505341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7.9349999999999969</v>
      </c>
      <c r="AI114" s="13">
        <f>IF('Données projet'!$A$62&gt;35,AI113+AH114-AQ113,IF(A114&lt;'Données projet'!$A$62,$AF$205^A114,IF(A114='Données projet'!$A$62,'Données projet'!$B$62,AI113+AH114-AQ113)))</f>
        <v>360.7650000000005</v>
      </c>
      <c r="AJ114" s="13">
        <f>AI114*VLOOKUP('Données projet'!$B$10,Paramètres!$A$1:$I$89,3,0)*VLOOKUP('Données projet'!$B$10,Paramètres!$A$1:$I$89,5,0)</f>
        <v>365.81571000000054</v>
      </c>
      <c r="AK114" s="13">
        <f t="shared" si="89"/>
        <v>84.810706185422944</v>
      </c>
      <c r="AL114" s="20">
        <f t="shared" si="58"/>
        <v>784.84100818961235</v>
      </c>
      <c r="AM114" s="59">
        <f t="shared" si="59"/>
        <v>1078.1743415229457</v>
      </c>
      <c r="AN114" s="59">
        <f ca="1">AVERAGE(OFFSET($AM$3,0,0,'Données projet'!$E$10+1,1))-AVERAGE(OFFSET($H$3,0,0,'Données projet'!$E$10+1,1))</f>
        <v>646.50767193970182</v>
      </c>
      <c r="AO114" s="59">
        <f t="shared" si="90"/>
        <v>297.06786598620607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56.255896754273245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56.255896754273245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7.9349999999999969</v>
      </c>
      <c r="N115" s="13">
        <f>IF('Données projet'!$A$36&gt;35,N114+M115-V114,IF(A115&lt;'Données projet'!$A$36,$K$205^A115,IF(A115='Données projet'!$A$36,'Données projet'!$B$36,N114+M115-V114)))</f>
        <v>368.7000000000005</v>
      </c>
      <c r="O115" s="13">
        <f>N115*VLOOKUP('Données projet'!$B$9,Paramètres!$A$1:$I$89,3,0)*VLOOKUP('Données projet'!$B$9,Paramètres!$A$1:$I$89,5,0)</f>
        <v>333.59976000000046</v>
      </c>
      <c r="P115" s="13">
        <f t="shared" si="87"/>
        <v>78.17615735915706</v>
      </c>
      <c r="Q115" s="20">
        <f t="shared" si="107"/>
        <v>717.17638940053257</v>
      </c>
      <c r="R115" s="59">
        <f t="shared" si="55"/>
        <v>1010.5097227338658</v>
      </c>
      <c r="S115" s="59">
        <f ca="1">AVERAGE(OFFSET($R$3,0,0,'Données projet'!$E$9+1,1))-AVERAGE(OFFSET($H$3,0,0,'Données projet'!$E$9+1,1))</f>
        <v>581.88778927327667</v>
      </c>
      <c r="T115" s="59">
        <f t="shared" si="88"/>
        <v>269.67340993773422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49.213225692839835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49.213225692839835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7.9349999999999969</v>
      </c>
      <c r="AI115" s="13">
        <f>IF('Données projet'!$A$62&gt;35,AI114+AH115-AQ114,IF(A115&lt;'Données projet'!$A$62,$AF$205^A115,IF(A115='Données projet'!$A$62,'Données projet'!$B$62,AI114+AH115-AQ114)))</f>
        <v>368.7000000000005</v>
      </c>
      <c r="AJ115" s="13">
        <f>AI115*VLOOKUP('Données projet'!$B$10,Paramètres!$A$1:$I$89,3,0)*VLOOKUP('Données projet'!$B$10,Paramètres!$A$1:$I$89,5,0)</f>
        <v>373.86180000000053</v>
      </c>
      <c r="AK115" s="13">
        <f t="shared" si="89"/>
        <v>86.456885445094045</v>
      </c>
      <c r="AL115" s="20">
        <f t="shared" si="58"/>
        <v>801.7217104835396</v>
      </c>
      <c r="AM115" s="59">
        <f t="shared" si="59"/>
        <v>1095.055043816873</v>
      </c>
      <c r="AN115" s="59">
        <f ca="1">AVERAGE(OFFSET($AM$3,0,0,'Données projet'!$E$10+1,1))-AVERAGE(OFFSET($H$3,0,0,'Données projet'!$E$10+1,1))</f>
        <v>646.50767193970182</v>
      </c>
      <c r="AO115" s="59">
        <f t="shared" si="90"/>
        <v>297.06786598620607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55.152752931630864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55.152752931630864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7.9349999999999969</v>
      </c>
      <c r="N116" s="13">
        <f>IF('Données projet'!$A$36&gt;35,N115+M116-V115,IF(A116&lt;'Données projet'!$A$36,$K$205^A116,IF(A116='Données projet'!$A$36,'Données projet'!$B$36,N115+M116-V115)))</f>
        <v>376.6350000000005</v>
      </c>
      <c r="O116" s="13">
        <f>N116*VLOOKUP('Données projet'!$B$9,Paramètres!$A$1:$I$89,3,0)*VLOOKUP('Données projet'!$B$9,Paramètres!$A$1:$I$89,5,0)</f>
        <v>340.77934800000043</v>
      </c>
      <c r="P116" s="13">
        <f t="shared" si="87"/>
        <v>79.660943190415296</v>
      </c>
      <c r="Q116" s="20">
        <f t="shared" si="107"/>
        <v>732.26684048997402</v>
      </c>
      <c r="R116" s="59">
        <f t="shared" si="55"/>
        <v>1025.6001738233074</v>
      </c>
      <c r="S116" s="59">
        <f ca="1">AVERAGE(OFFSET($R$3,0,0,'Données projet'!$E$9+1,1))-AVERAGE(OFFSET($H$3,0,0,'Données projet'!$E$9+1,1))</f>
        <v>581.88778927327667</v>
      </c>
      <c r="T116" s="59">
        <f t="shared" si="88"/>
        <v>269.67340993773422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48.248184354106975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48.248184354106975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7.9349999999999969</v>
      </c>
      <c r="AI116" s="13">
        <f>IF('Données projet'!$A$62&gt;35,AI115+AH116-AQ115,IF(A116&lt;'Données projet'!$A$62,$AF$205^A116,IF(A116='Données projet'!$A$62,'Données projet'!$B$62,AI115+AH116-AQ115)))</f>
        <v>376.6350000000005</v>
      </c>
      <c r="AJ116" s="13">
        <f>AI116*VLOOKUP('Données projet'!$B$10,Paramètres!$A$1:$I$89,3,0)*VLOOKUP('Données projet'!$B$10,Paramètres!$A$1:$I$89,5,0)</f>
        <v>381.90789000000052</v>
      </c>
      <c r="AK116" s="13">
        <f t="shared" si="89"/>
        <v>88.098945669848248</v>
      </c>
      <c r="AL116" s="20">
        <f t="shared" si="58"/>
        <v>818.59523879165329</v>
      </c>
      <c r="AM116" s="59">
        <f t="shared" si="59"/>
        <v>1111.9285721249867</v>
      </c>
      <c r="AN116" s="59">
        <f ca="1">AVERAGE(OFFSET($AM$3,0,0,'Données projet'!$E$10+1,1))-AVERAGE(OFFSET($H$3,0,0,'Données projet'!$E$10+1,1))</f>
        <v>646.50767193970182</v>
      </c>
      <c r="AO116" s="59">
        <f t="shared" si="90"/>
        <v>297.06786598620607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54.071241086499214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54.071241086499214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>
        <f>VLOOKUP(A117,'Données projet'!$A$35:$I$55,2,0)</f>
        <v>384.57</v>
      </c>
      <c r="L117" s="12">
        <f>VLOOKUP(A117,'Données projet'!$A$35:$I$55,9,0)</f>
        <v>7.9349999999999969</v>
      </c>
      <c r="M117" s="12">
        <f t="array" ref="M117">INDEX(L:L,MIN(IF(ISNUMBER(L117:L313),ROW(L117:L313),"")))</f>
        <v>7.9349999999999969</v>
      </c>
      <c r="N117" s="13">
        <f>IF('Données projet'!$A$36&gt;35,N116+M117-V116,IF(A117&lt;'Données projet'!$A$36,$K$205^A117,IF(A117='Données projet'!$A$36,'Données projet'!$B$36,N116+M117-V116)))</f>
        <v>384.5700000000005</v>
      </c>
      <c r="O117" s="13">
        <f>N117*VLOOKUP('Données projet'!$B$9,Paramètres!$A$1:$I$89,3,0)*VLOOKUP('Données projet'!$B$9,Paramètres!$A$1:$I$89,5,0)</f>
        <v>347.95893600000045</v>
      </c>
      <c r="P117" s="13">
        <f t="shared" si="87"/>
        <v>81.142092010767954</v>
      </c>
      <c r="Q117" s="20">
        <f t="shared" si="107"/>
        <v>747.35095711875499</v>
      </c>
      <c r="R117" s="59">
        <f t="shared" si="55"/>
        <v>1040.6842904520884</v>
      </c>
      <c r="S117" s="59">
        <f ca="1">AVERAGE(OFFSET($R$3,0,0,'Données projet'!$E$9+1,1))-AVERAGE(OFFSET($H$3,0,0,'Données projet'!$E$9+1,1))</f>
        <v>581.88778927327667</v>
      </c>
      <c r="T117" s="59">
        <f t="shared" si="88"/>
        <v>269.67340993773422</v>
      </c>
      <c r="U117" s="15">
        <f>IF(ISNA(VLOOKUP(A117,'Données projet'!$A$35:$I$55,3,0)),0,VLOOKUP(A117,'Données projet'!$A$35:$I$55,3,0))</f>
        <v>9</v>
      </c>
      <c r="V117" s="15">
        <f>IF(ISNA(VLOOKUP(A117,'Données projet'!$A$35:$I$55,4,0)),0,VLOOKUP(A117,'Données projet'!$A$35:$I$55,4,0))</f>
        <v>56.07</v>
      </c>
      <c r="W117" s="16">
        <f>IF(ISNA(VLOOKUP(A117,'Données projet'!$A$35:$I$55,5,0)),0%,VLOOKUP(A117,'Données projet'!$A$35:$I$55,5,0)*VLOOKUP('Données projet'!$B$9,Paramètres!$A$1:$I$89,7,0))</f>
        <v>0.25800000000000001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61.771448286126386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61.771448286126386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384.57</v>
      </c>
      <c r="AG117" s="12">
        <f>VLOOKUP(A117,'Données projet'!$A$61:$I$81,9,0)</f>
        <v>7.9349999999999969</v>
      </c>
      <c r="AH117" s="12">
        <f t="array" ref="AH117">INDEX(AG:AG,MIN(IF(ISNUMBER(AG117:AG313),ROW(AG117:AG313),"")))</f>
        <v>7.9349999999999969</v>
      </c>
      <c r="AI117" s="13">
        <f>IF('Données projet'!$A$62&gt;35,AI116+AH117-AQ116,IF(A117&lt;'Données projet'!$A$62,$AF$205^A117,IF(A117='Données projet'!$A$62,'Données projet'!$B$62,AI116+AH117-AQ116)))</f>
        <v>384.5700000000005</v>
      </c>
      <c r="AJ117" s="13">
        <f>AI117*VLOOKUP('Données projet'!$B$10,Paramètres!$A$1:$I$89,3,0)*VLOOKUP('Données projet'!$B$10,Paramètres!$A$1:$I$89,5,0)</f>
        <v>389.95398000000051</v>
      </c>
      <c r="AK117" s="13">
        <f t="shared" si="89"/>
        <v>89.736983637102725</v>
      </c>
      <c r="AL117" s="20">
        <f t="shared" si="58"/>
        <v>835.46176166795476</v>
      </c>
      <c r="AM117" s="59">
        <f t="shared" si="59"/>
        <v>1128.795095001288</v>
      </c>
      <c r="AN117" s="59">
        <f ca="1">AVERAGE(OFFSET($AM$3,0,0,'Données projet'!$E$10+1,1))-AVERAGE(OFFSET($H$3,0,0,'Données projet'!$E$10+1,1))</f>
        <v>646.50767193970182</v>
      </c>
      <c r="AO117" s="59">
        <f t="shared" si="90"/>
        <v>297.06786598620607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0.25800000000000001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69.226623079279591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69.226623079279591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7.9920000000000018</v>
      </c>
      <c r="N118" s="13">
        <f>IF('Données projet'!$A$36&gt;35,N117+M118-V117,IF(A118&lt;'Données projet'!$A$36,$K$205^A118,IF(A118='Données projet'!$A$36,'Données projet'!$B$36,N117+M118-V117)))</f>
        <v>336.49200000000053</v>
      </c>
      <c r="O118" s="13">
        <f>N118*VLOOKUP('Données projet'!$B$9,Paramètres!$A$1:$I$89,3,0)*VLOOKUP('Données projet'!$B$9,Paramètres!$A$1:$I$89,5,0)</f>
        <v>304.45796160000049</v>
      </c>
      <c r="P118" s="13">
        <f t="shared" si="87"/>
        <v>72.11021964481435</v>
      </c>
      <c r="Q118" s="20">
        <f t="shared" si="107"/>
        <v>655.85624900138566</v>
      </c>
      <c r="R118" s="59">
        <f t="shared" si="55"/>
        <v>949.18958233471903</v>
      </c>
      <c r="S118" s="59">
        <f ca="1">AVERAGE(OFFSET($R$3,0,0,'Données projet'!$E$9+1,1))-AVERAGE(OFFSET($H$3,0,0,'Données projet'!$E$9+1,1))</f>
        <v>581.88778927327667</v>
      </c>
      <c r="T118" s="59">
        <f t="shared" si="88"/>
        <v>269.67340993773422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60.560147862098624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60.560147862098624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7.9920000000000018</v>
      </c>
      <c r="AI118" s="13">
        <f>IF('Données projet'!$A$62&gt;35,AI117+AH118-AQ117,IF(A118&lt;'Données projet'!$A$62,$AF$205^A118,IF(A118='Données projet'!$A$62,'Données projet'!$B$62,AI117+AH118-AQ117)))</f>
        <v>336.49200000000053</v>
      </c>
      <c r="AJ118" s="13">
        <f>AI118*VLOOKUP('Données projet'!$B$10,Paramètres!$A$1:$I$89,3,0)*VLOOKUP('Données projet'!$B$10,Paramètres!$A$1:$I$89,5,0)</f>
        <v>341.2028880000006</v>
      </c>
      <c r="AK118" s="13">
        <f t="shared" si="89"/>
        <v>79.748419593074587</v>
      </c>
      <c r="AL118" s="20">
        <f t="shared" si="58"/>
        <v>733.15686072460585</v>
      </c>
      <c r="AM118" s="59">
        <f t="shared" si="59"/>
        <v>1026.4901940579391</v>
      </c>
      <c r="AN118" s="59">
        <f ca="1">AVERAGE(OFFSET($AM$3,0,0,'Données projet'!$E$10+1,1))-AVERAGE(OFFSET($H$3,0,0,'Données projet'!$E$10+1,1))</f>
        <v>646.50767193970182</v>
      </c>
      <c r="AO118" s="59">
        <f t="shared" si="90"/>
        <v>297.06786598620607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67.869131224765709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67.869131224765709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7.9920000000000018</v>
      </c>
      <c r="N119" s="13">
        <f>IF('Données projet'!$A$36&gt;35,N118+M119-V118,IF(A119&lt;'Données projet'!$A$36,$K$205^A119,IF(A119='Données projet'!$A$36,'Données projet'!$B$36,N118+M119-V118)))</f>
        <v>344.48400000000055</v>
      </c>
      <c r="O119" s="13">
        <f>N119*VLOOKUP('Données projet'!$B$9,Paramètres!$A$1:$I$89,3,0)*VLOOKUP('Données projet'!$B$9,Paramètres!$A$1:$I$89,5,0)</f>
        <v>311.68912320000049</v>
      </c>
      <c r="P119" s="13">
        <f t="shared" si="87"/>
        <v>73.621474685301479</v>
      </c>
      <c r="Q119" s="20">
        <f t="shared" si="107"/>
        <v>671.08262465023415</v>
      </c>
      <c r="R119" s="59">
        <f t="shared" si="55"/>
        <v>964.41595798356752</v>
      </c>
      <c r="S119" s="59">
        <f ca="1">AVERAGE(OFFSET($R$3,0,0,'Données projet'!$E$9+1,1))-AVERAGE(OFFSET($H$3,0,0,'Données projet'!$E$9+1,1))</f>
        <v>581.88778927327667</v>
      </c>
      <c r="T119" s="59">
        <f t="shared" si="88"/>
        <v>269.67340993773422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59.372600300565736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59.372600300565736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7.9920000000000018</v>
      </c>
      <c r="AI119" s="13">
        <f>IF('Données projet'!$A$62&gt;35,AI118+AH119-AQ118,IF(A119&lt;'Données projet'!$A$62,$AF$205^A119,IF(A119='Données projet'!$A$62,'Données projet'!$B$62,AI118+AH119-AQ118)))</f>
        <v>344.48400000000055</v>
      </c>
      <c r="AJ119" s="13">
        <f>AI119*VLOOKUP('Données projet'!$B$10,Paramètres!$A$1:$I$89,3,0)*VLOOKUP('Données projet'!$B$10,Paramètres!$A$1:$I$89,5,0)</f>
        <v>349.30677600000058</v>
      </c>
      <c r="AK119" s="13">
        <f t="shared" si="89"/>
        <v>81.419752750490431</v>
      </c>
      <c r="AL119" s="20">
        <f t="shared" si="58"/>
        <v>750.18203757377194</v>
      </c>
      <c r="AM119" s="59">
        <f t="shared" si="59"/>
        <v>1043.5153709071053</v>
      </c>
      <c r="AN119" s="59">
        <f ca="1">AVERAGE(OFFSET($AM$3,0,0,'Données projet'!$E$10+1,1))-AVERAGE(OFFSET($H$3,0,0,'Données projet'!$E$10+1,1))</f>
        <v>646.50767193970182</v>
      </c>
      <c r="AO119" s="59">
        <f t="shared" si="90"/>
        <v>297.06786598620607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66.538258957530573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66.538258957530573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7.9920000000000018</v>
      </c>
      <c r="N120" s="13">
        <f>IF('Données projet'!$A$36&gt;35,N119+M120-V119,IF(A120&lt;'Données projet'!$A$36,$K$205^A120,IF(A120='Données projet'!$A$36,'Données projet'!$B$36,N119+M120-V119)))</f>
        <v>352.47600000000057</v>
      </c>
      <c r="O120" s="13">
        <f>N120*VLOOKUP('Données projet'!$B$9,Paramètres!$A$1:$I$89,3,0)*VLOOKUP('Données projet'!$B$9,Paramètres!$A$1:$I$89,5,0)</f>
        <v>318.9202848000005</v>
      </c>
      <c r="P120" s="13">
        <f t="shared" si="87"/>
        <v>75.128653745521831</v>
      </c>
      <c r="Q120" s="20">
        <f t="shared" si="107"/>
        <v>686.30190130011806</v>
      </c>
      <c r="R120" s="59">
        <f t="shared" si="55"/>
        <v>979.63523463345132</v>
      </c>
      <c r="S120" s="59">
        <f ca="1">AVERAGE(OFFSET($R$3,0,0,'Données projet'!$E$9+1,1))-AVERAGE(OFFSET($H$3,0,0,'Données projet'!$E$9+1,1))</f>
        <v>581.88778927327667</v>
      </c>
      <c r="T120" s="59">
        <f t="shared" si="88"/>
        <v>269.67340993773422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58.208339822382015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58.208339822382015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7.9920000000000018</v>
      </c>
      <c r="AI120" s="13">
        <f>IF('Données projet'!$A$62&gt;35,AI119+AH120-AQ119,IF(A120&lt;'Données projet'!$A$62,$AF$205^A120,IF(A120='Données projet'!$A$62,'Données projet'!$B$62,AI119+AH120-AQ119)))</f>
        <v>352.47600000000057</v>
      </c>
      <c r="AJ120" s="13">
        <f>AI120*VLOOKUP('Données projet'!$B$10,Paramètres!$A$1:$I$89,3,0)*VLOOKUP('Données projet'!$B$10,Paramètres!$A$1:$I$89,5,0)</f>
        <v>357.41066400000057</v>
      </c>
      <c r="AK120" s="13">
        <f t="shared" si="89"/>
        <v>83.086578183672941</v>
      </c>
      <c r="AL120" s="20">
        <f t="shared" si="58"/>
        <v>767.199363469898</v>
      </c>
      <c r="AM120" s="59">
        <f t="shared" si="59"/>
        <v>1060.5326968032314</v>
      </c>
      <c r="AN120" s="59">
        <f ca="1">AVERAGE(OFFSET($AM$3,0,0,'Données projet'!$E$10+1,1))-AVERAGE(OFFSET($H$3,0,0,'Données projet'!$E$10+1,1))</f>
        <v>646.50767193970182</v>
      </c>
      <c r="AO120" s="59">
        <f t="shared" si="90"/>
        <v>297.06786598620607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65.233484283703987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65.233484283703987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7.9920000000000018</v>
      </c>
      <c r="N121" s="13">
        <f>IF('Données projet'!$A$36&gt;35,N120+M121-V120,IF(A121&lt;'Données projet'!$A$36,$K$205^A121,IF(A121='Données projet'!$A$36,'Données projet'!$B$36,N120+M121-V120)))</f>
        <v>360.46800000000059</v>
      </c>
      <c r="O121" s="13">
        <f>N121*VLOOKUP('Données projet'!$B$9,Paramètres!$A$1:$I$89,3,0)*VLOOKUP('Données projet'!$B$9,Paramètres!$A$1:$I$89,5,0)</f>
        <v>326.15144640000051</v>
      </c>
      <c r="P121" s="13">
        <f t="shared" si="87"/>
        <v>76.631859883081802</v>
      </c>
      <c r="Q121" s="20">
        <f t="shared" si="107"/>
        <v>701.51425844303503</v>
      </c>
      <c r="R121" s="59">
        <f t="shared" si="55"/>
        <v>994.84759177636829</v>
      </c>
      <c r="S121" s="59">
        <f ca="1">AVERAGE(OFFSET($R$3,0,0,'Données projet'!$E$9+1,1))-AVERAGE(OFFSET($H$3,0,0,'Données projet'!$E$9+1,1))</f>
        <v>581.88778927327667</v>
      </c>
      <c r="T121" s="59">
        <f t="shared" si="88"/>
        <v>269.67340993773422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57.066909782046707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57.066909782046707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7.9920000000000018</v>
      </c>
      <c r="AI121" s="13">
        <f>IF('Données projet'!$A$62&gt;35,AI120+AH121-AQ120,IF(A121&lt;'Données projet'!$A$62,$AF$205^A121,IF(A121='Données projet'!$A$62,'Données projet'!$B$62,AI120+AH121-AQ120)))</f>
        <v>360.46800000000059</v>
      </c>
      <c r="AJ121" s="13">
        <f>AI121*VLOOKUP('Données projet'!$B$10,Paramètres!$A$1:$I$89,3,0)*VLOOKUP('Données projet'!$B$10,Paramètres!$A$1:$I$89,5,0)</f>
        <v>365.51455200000061</v>
      </c>
      <c r="AK121" s="13">
        <f t="shared" si="89"/>
        <v>84.749009866498071</v>
      </c>
      <c r="AL121" s="20">
        <f t="shared" si="58"/>
        <v>784.20903691748515</v>
      </c>
      <c r="AM121" s="59">
        <f t="shared" si="59"/>
        <v>1077.5423702508185</v>
      </c>
      <c r="AN121" s="59">
        <f ca="1">AVERAGE(OFFSET($AM$3,0,0,'Données projet'!$E$10+1,1))-AVERAGE(OFFSET($H$3,0,0,'Données projet'!$E$10+1,1))</f>
        <v>646.50767193970182</v>
      </c>
      <c r="AO121" s="59">
        <f t="shared" si="90"/>
        <v>297.06786598620607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63.954295445397179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63.954295445397179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7.9920000000000018</v>
      </c>
      <c r="N122" s="13">
        <f>IF('Données projet'!$A$36&gt;35,N121+M122-V121,IF(A122&lt;'Données projet'!$A$36,$K$205^A122,IF(A122='Données projet'!$A$36,'Données projet'!$B$36,N121+M122-V121)))</f>
        <v>368.4600000000006</v>
      </c>
      <c r="O122" s="13">
        <f>N122*VLOOKUP('Données projet'!$B$9,Paramètres!$A$1:$I$89,3,0)*VLOOKUP('Données projet'!$B$9,Paramètres!$A$1:$I$89,5,0)</f>
        <v>333.38260800000052</v>
      </c>
      <c r="P122" s="13">
        <f t="shared" si="87"/>
        <v>78.13119132485231</v>
      </c>
      <c r="Q122" s="20">
        <f t="shared" si="107"/>
        <v>716.71986715745197</v>
      </c>
      <c r="R122" s="59">
        <f t="shared" si="55"/>
        <v>1010.0532004907852</v>
      </c>
      <c r="S122" s="59">
        <f ca="1">AVERAGE(OFFSET($R$3,0,0,'Données projet'!$E$9+1,1))-AVERAGE(OFFSET($H$3,0,0,'Données projet'!$E$9+1,1))</f>
        <v>581.88778927327667</v>
      </c>
      <c r="T122" s="59">
        <f t="shared" si="88"/>
        <v>269.67340993773422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55.947862488598794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55.947862488598794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7.9920000000000018</v>
      </c>
      <c r="AI122" s="13">
        <f>IF('Données projet'!$A$62&gt;35,AI121+AH122-AQ121,IF(A122&lt;'Données projet'!$A$62,$AF$205^A122,IF(A122='Données projet'!$A$62,'Données projet'!$B$62,AI121+AH122-AQ121)))</f>
        <v>368.4600000000006</v>
      </c>
      <c r="AJ122" s="13">
        <f>AI122*VLOOKUP('Données projet'!$B$10,Paramètres!$A$1:$I$89,3,0)*VLOOKUP('Données projet'!$B$10,Paramètres!$A$1:$I$89,5,0)</f>
        <v>373.61844000000065</v>
      </c>
      <c r="AK122" s="13">
        <f t="shared" si="89"/>
        <v>86.407156430415824</v>
      </c>
      <c r="AL122" s="20">
        <f t="shared" si="58"/>
        <v>801.21124711630875</v>
      </c>
      <c r="AM122" s="59">
        <f t="shared" si="59"/>
        <v>1094.5445804496421</v>
      </c>
      <c r="AN122" s="59">
        <f ca="1">AVERAGE(OFFSET($AM$3,0,0,'Données projet'!$E$10+1,1))-AVERAGE(OFFSET($H$3,0,0,'Données projet'!$E$10+1,1))</f>
        <v>646.50767193970182</v>
      </c>
      <c r="AO122" s="59">
        <f t="shared" si="90"/>
        <v>297.06786598620607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62.700190719981414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62.700190719981414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7.9920000000000018</v>
      </c>
      <c r="N123" s="13">
        <f>IF('Données projet'!$A$36&gt;35,N122+M123-V122,IF(A123&lt;'Données projet'!$A$36,$K$205^A123,IF(A123='Données projet'!$A$36,'Données projet'!$B$36,N122+M123-V122)))</f>
        <v>376.45200000000062</v>
      </c>
      <c r="O123" s="13">
        <f>N123*VLOOKUP('Données projet'!$B$9,Paramètres!$A$1:$I$89,3,0)*VLOOKUP('Données projet'!$B$9,Paramètres!$A$1:$I$89,5,0)</f>
        <v>340.61376960000058</v>
      </c>
      <c r="P123" s="13">
        <f t="shared" si="87"/>
        <v>79.626741793195919</v>
      </c>
      <c r="Q123" s="20">
        <f t="shared" si="107"/>
        <v>731.9188906764839</v>
      </c>
      <c r="R123" s="59">
        <f t="shared" si="55"/>
        <v>1025.2522240098172</v>
      </c>
      <c r="S123" s="59">
        <f ca="1">AVERAGE(OFFSET($R$3,0,0,'Données projet'!$E$9+1,1))-AVERAGE(OFFSET($H$3,0,0,'Données projet'!$E$9+1,1))</f>
        <v>581.88778927327667</v>
      </c>
      <c r="T123" s="59">
        <f t="shared" si="88"/>
        <v>269.67340993773422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54.850759030023944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54.850759030023944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7.9920000000000018</v>
      </c>
      <c r="AI123" s="13">
        <f>IF('Données projet'!$A$62&gt;35,AI122+AH123-AQ122,IF(A123&lt;'Données projet'!$A$62,$AF$205^A123,IF(A123='Données projet'!$A$62,'Données projet'!$B$62,AI122+AH123-AQ122)))</f>
        <v>376.45200000000062</v>
      </c>
      <c r="AJ123" s="13">
        <f>AI123*VLOOKUP('Données projet'!$B$10,Paramètres!$A$1:$I$89,3,0)*VLOOKUP('Données projet'!$B$10,Paramètres!$A$1:$I$89,5,0)</f>
        <v>381.72232800000063</v>
      </c>
      <c r="AK123" s="13">
        <f t="shared" si="89"/>
        <v>88.061121525232409</v>
      </c>
      <c r="AL123" s="20">
        <f t="shared" si="58"/>
        <v>818.20617458978086</v>
      </c>
      <c r="AM123" s="59">
        <f t="shared" si="59"/>
        <v>1111.5395079231141</v>
      </c>
      <c r="AN123" s="59">
        <f ca="1">AVERAGE(OFFSET($AM$3,0,0,'Données projet'!$E$10+1,1))-AVERAGE(OFFSET($H$3,0,0,'Données projet'!$E$10+1,1))</f>
        <v>646.50767193970182</v>
      </c>
      <c r="AO123" s="59">
        <f t="shared" si="90"/>
        <v>297.06786598620607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61.470678223302698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61.470678223302698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7.9920000000000018</v>
      </c>
      <c r="N124" s="13">
        <f>IF('Données projet'!$A$36&gt;35,N123+M124-V123,IF(A124&lt;'Données projet'!$A$36,$K$205^A124,IF(A124='Données projet'!$A$36,'Données projet'!$B$36,N123+M124-V123)))</f>
        <v>384.44400000000064</v>
      </c>
      <c r="O124" s="13">
        <f>N124*VLOOKUP('Données projet'!$B$9,Paramètres!$A$1:$I$89,3,0)*VLOOKUP('Données projet'!$B$9,Paramètres!$A$1:$I$89,5,0)</f>
        <v>347.84493120000059</v>
      </c>
      <c r="P124" s="13">
        <f t="shared" si="87"/>
        <v>81.11860080370937</v>
      </c>
      <c r="Q124" s="20">
        <f t="shared" si="107"/>
        <v>747.11148490646144</v>
      </c>
      <c r="R124" s="59">
        <f t="shared" si="55"/>
        <v>1040.4448182397948</v>
      </c>
      <c r="S124" s="59">
        <f ca="1">AVERAGE(OFFSET($R$3,0,0,'Données projet'!$E$9+1,1))-AVERAGE(OFFSET($H$3,0,0,'Données projet'!$E$9+1,1))</f>
        <v>581.88778927327667</v>
      </c>
      <c r="T124" s="59">
        <f t="shared" si="88"/>
        <v>269.67340993773422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53.775169101104709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53.775169101104709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7.9920000000000018</v>
      </c>
      <c r="AI124" s="13">
        <f>IF('Données projet'!$A$62&gt;35,AI123+AH124-AQ123,IF(A124&lt;'Données projet'!$A$62,$AF$205^A124,IF(A124='Données projet'!$A$62,'Données projet'!$B$62,AI123+AH124-AQ123)))</f>
        <v>384.44400000000064</v>
      </c>
      <c r="AJ124" s="13">
        <f>AI124*VLOOKUP('Données projet'!$B$10,Paramètres!$A$1:$I$89,3,0)*VLOOKUP('Données projet'!$B$10,Paramètres!$A$1:$I$89,5,0)</f>
        <v>389.82621600000067</v>
      </c>
      <c r="AK124" s="13">
        <f t="shared" si="89"/>
        <v>89.711004148391098</v>
      </c>
      <c r="AL124" s="20">
        <f t="shared" si="58"/>
        <v>835.19399175844899</v>
      </c>
      <c r="AM124" s="59">
        <f t="shared" si="59"/>
        <v>1128.5273250917824</v>
      </c>
      <c r="AN124" s="59">
        <f ca="1">AVERAGE(OFFSET($AM$3,0,0,'Données projet'!$E$10+1,1))-AVERAGE(OFFSET($H$3,0,0,'Données projet'!$E$10+1,1))</f>
        <v>646.50767193970182</v>
      </c>
      <c r="AO124" s="59">
        <f t="shared" si="90"/>
        <v>297.06786598620607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60.265275716755283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60.265275716755283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7.9920000000000018</v>
      </c>
      <c r="N125" s="13">
        <f>IF('Données projet'!$A$36&gt;35,N124+M125-V124,IF(A125&lt;'Données projet'!$A$36,$K$205^A125,IF(A125='Données projet'!$A$36,'Données projet'!$B$36,N124+M125-V124)))</f>
        <v>392.43600000000066</v>
      </c>
      <c r="O125" s="13">
        <f>N125*VLOOKUP('Données projet'!$B$9,Paramètres!$A$1:$I$89,3,0)*VLOOKUP('Données projet'!$B$9,Paramètres!$A$1:$I$89,5,0)</f>
        <v>355.07609280000059</v>
      </c>
      <c r="P125" s="13">
        <f t="shared" si="87"/>
        <v>82.606853937508674</v>
      </c>
      <c r="Q125" s="20">
        <f t="shared" si="107"/>
        <v>762.29779890116197</v>
      </c>
      <c r="R125" s="59">
        <f t="shared" si="55"/>
        <v>1055.6311322344952</v>
      </c>
      <c r="S125" s="59">
        <f ca="1">AVERAGE(OFFSET($R$3,0,0,'Données projet'!$E$9+1,1))-AVERAGE(OFFSET($H$3,0,0,'Données projet'!$E$9+1,1))</f>
        <v>581.88778927327667</v>
      </c>
      <c r="T125" s="59">
        <f t="shared" si="88"/>
        <v>269.67340993773422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52.720670834646505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52.720670834646505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7.9920000000000018</v>
      </c>
      <c r="AI125" s="13">
        <f>IF('Données projet'!$A$62&gt;35,AI124+AH125-AQ124,IF(A125&lt;'Données projet'!$A$62,$AF$205^A125,IF(A125='Données projet'!$A$62,'Données projet'!$B$62,AI124+AH125-AQ124)))</f>
        <v>392.43600000000066</v>
      </c>
      <c r="AJ125" s="13">
        <f>AI125*VLOOKUP('Données projet'!$B$10,Paramètres!$A$1:$I$89,3,0)*VLOOKUP('Données projet'!$B$10,Paramètres!$A$1:$I$89,5,0)</f>
        <v>397.93010400000071</v>
      </c>
      <c r="AK125" s="13">
        <f t="shared" si="89"/>
        <v>91.356898946098624</v>
      </c>
      <c r="AL125" s="20">
        <f t="shared" si="58"/>
        <v>852.17486346445639</v>
      </c>
      <c r="AM125" s="59">
        <f t="shared" si="59"/>
        <v>1145.5081967977897</v>
      </c>
      <c r="AN125" s="59">
        <f ca="1">AVERAGE(OFFSET($AM$3,0,0,'Données projet'!$E$10+1,1))-AVERAGE(OFFSET($H$3,0,0,'Données projet'!$E$10+1,1))</f>
        <v>646.50767193970182</v>
      </c>
      <c r="AO125" s="59">
        <f t="shared" si="90"/>
        <v>297.06786598620607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59.083510418138331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59.083510418138331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7.9920000000000018</v>
      </c>
      <c r="N126" s="13">
        <f>IF('Données projet'!$A$36&gt;35,N125+M126-V125,IF(A126&lt;'Données projet'!$A$36,$K$205^A126,IF(A126='Données projet'!$A$36,'Données projet'!$B$36,N125+M126-V125)))</f>
        <v>400.42800000000068</v>
      </c>
      <c r="O126" s="13">
        <f>N126*VLOOKUP('Données projet'!$B$9,Paramètres!$A$1:$I$89,3,0)*VLOOKUP('Données projet'!$B$9,Paramètres!$A$1:$I$89,5,0)</f>
        <v>362.3072544000006</v>
      </c>
      <c r="P126" s="13">
        <f t="shared" si="87"/>
        <v>84.09158309070763</v>
      </c>
      <c r="Q126" s="20">
        <f t="shared" si="107"/>
        <v>777.4779752963168</v>
      </c>
      <c r="R126" s="59">
        <f t="shared" si="55"/>
        <v>1070.8113086296501</v>
      </c>
      <c r="S126" s="59">
        <f ca="1">AVERAGE(OFFSET($R$3,0,0,'Données projet'!$E$9+1,1))-AVERAGE(OFFSET($H$3,0,0,'Données projet'!$E$9+1,1))</f>
        <v>581.88778927327667</v>
      </c>
      <c r="T126" s="59">
        <f t="shared" si="88"/>
        <v>269.67340993773422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51.686850636013112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51.686850636013112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7.9920000000000018</v>
      </c>
      <c r="AI126" s="13">
        <f>IF('Données projet'!$A$62&gt;35,AI125+AH126-AQ125,IF(A126&lt;'Données projet'!$A$62,$AF$205^A126,IF(A126='Données projet'!$A$62,'Données projet'!$B$62,AI125+AH126-AQ125)))</f>
        <v>400.42800000000068</v>
      </c>
      <c r="AJ126" s="13">
        <f>AI126*VLOOKUP('Données projet'!$B$10,Paramètres!$A$1:$I$89,3,0)*VLOOKUP('Données projet'!$B$10,Paramètres!$A$1:$I$89,5,0)</f>
        <v>406.03399200000069</v>
      </c>
      <c r="AK126" s="13">
        <f t="shared" si="89"/>
        <v>92.998896489228883</v>
      </c>
      <c r="AL126" s="20">
        <f t="shared" si="58"/>
        <v>869.14894745207482</v>
      </c>
      <c r="AM126" s="59">
        <f t="shared" si="59"/>
        <v>1162.4822807854082</v>
      </c>
      <c r="AN126" s="59">
        <f ca="1">AVERAGE(OFFSET($AM$3,0,0,'Données projet'!$E$10+1,1))-AVERAGE(OFFSET($H$3,0,0,'Données projet'!$E$10+1,1))</f>
        <v>646.50767193970182</v>
      </c>
      <c r="AO126" s="59">
        <f t="shared" si="90"/>
        <v>297.06786598620607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57.924918816221599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57.924918816221599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>
        <f>VLOOKUP(A127,'Données projet'!$A$35:$I$55,2,0)</f>
        <v>408.42</v>
      </c>
      <c r="L127" s="12">
        <f>VLOOKUP(A127,'Données projet'!$A$35:$I$55,9,0)</f>
        <v>7.9920000000000018</v>
      </c>
      <c r="M127" s="12">
        <f t="array" ref="M127">INDEX(L:L,MIN(IF(ISNUMBER(L127:L323),ROW(L127:L323),"")))</f>
        <v>7.9920000000000018</v>
      </c>
      <c r="N127" s="13">
        <f>IF('Données projet'!$A$36&gt;35,N126+M127-V126,IF(A127&lt;'Données projet'!$A$36,$K$205^A127,IF(A127='Données projet'!$A$36,'Données projet'!$B$36,N126+M127-V126)))</f>
        <v>408.4200000000007</v>
      </c>
      <c r="O127" s="13">
        <f>N127*VLOOKUP('Données projet'!$B$9,Paramètres!$A$1:$I$89,3,0)*VLOOKUP('Données projet'!$B$9,Paramètres!$A$1:$I$89,5,0)</f>
        <v>369.53841600000061</v>
      </c>
      <c r="P127" s="13">
        <f t="shared" si="87"/>
        <v>85.572866703416025</v>
      </c>
      <c r="Q127" s="20">
        <f t="shared" si="107"/>
        <v>792.65215070845068</v>
      </c>
      <c r="R127" s="59">
        <f t="shared" si="55"/>
        <v>1085.985484041784</v>
      </c>
      <c r="S127" s="59">
        <f ca="1">AVERAGE(OFFSET($R$3,0,0,'Données projet'!$E$9+1,1))-AVERAGE(OFFSET($H$3,0,0,'Données projet'!$E$9+1,1))</f>
        <v>581.88778927327667</v>
      </c>
      <c r="T127" s="59">
        <f t="shared" si="88"/>
        <v>269.67340993773422</v>
      </c>
      <c r="U127" s="15">
        <f>IF(ISNA(VLOOKUP(A127,'Données projet'!$A$35:$I$55,3,0)),0,VLOOKUP(A127,'Données projet'!$A$35:$I$55,3,0))</f>
        <v>10</v>
      </c>
      <c r="V127" s="15">
        <f>IF(ISNA(VLOOKUP(A127,'Données projet'!$A$35:$I$55,4,0)),0,VLOOKUP(A127,'Données projet'!$A$35:$I$55,4,0))</f>
        <v>52.53</v>
      </c>
      <c r="W127" s="16">
        <f>IF(ISNA(VLOOKUP(A127,'Données projet'!$A$35:$I$55,5,0)),0%,VLOOKUP(A127,'Données projet'!$A$35:$I$55,5,0)*VLOOKUP('Données projet'!$B$9,Paramètres!$A$1:$I$89,7,0))</f>
        <v>0.25800000000000001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64.229154721898368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64.229154721898368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408.42</v>
      </c>
      <c r="AG127" s="12">
        <f>VLOOKUP(A127,'Données projet'!$A$61:$I$81,9,0)</f>
        <v>7.9920000000000018</v>
      </c>
      <c r="AH127" s="12">
        <f t="array" ref="AH127">INDEX(AG:AG,MIN(IF(ISNUMBER(AG127:AG323),ROW(AG127:AG323),"")))</f>
        <v>7.9920000000000018</v>
      </c>
      <c r="AI127" s="13">
        <f>IF('Données projet'!$A$62&gt;35,AI126+AH127-AQ126,IF(A127&lt;'Données projet'!$A$62,$AF$205^A127,IF(A127='Données projet'!$A$62,'Données projet'!$B$62,AI126+AH127-AQ126)))</f>
        <v>408.4200000000007</v>
      </c>
      <c r="AJ127" s="13">
        <f>AI127*VLOOKUP('Données projet'!$B$10,Paramètres!$A$1:$I$89,3,0)*VLOOKUP('Données projet'!$B$10,Paramètres!$A$1:$I$89,5,0)</f>
        <v>414.13788000000073</v>
      </c>
      <c r="AK127" s="13">
        <f t="shared" si="89"/>
        <v>94.637083526579147</v>
      </c>
      <c r="AL127" s="20">
        <f t="shared" si="58"/>
        <v>886.1163948087933</v>
      </c>
      <c r="AM127" s="59">
        <f t="shared" si="59"/>
        <v>1179.4497281421266</v>
      </c>
      <c r="AN127" s="59">
        <f ca="1">AVERAGE(OFFSET($AM$3,0,0,'Données projet'!$E$10+1,1))-AVERAGE(OFFSET($H$3,0,0,'Données projet'!$E$10+1,1))</f>
        <v>646.50767193970182</v>
      </c>
      <c r="AO127" s="59">
        <f t="shared" si="90"/>
        <v>297.06786598620607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0.25800000000000001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71.980949257299912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71.980949257299912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8.0699999999999985</v>
      </c>
      <c r="N128" s="13">
        <f>IF('Données projet'!$A$36&gt;35,N127+M128-V127,IF(A128&lt;'Données projet'!$A$36,$K$205^A128,IF(A128='Données projet'!$A$36,'Données projet'!$B$36,N127+M128-V127)))</f>
        <v>363.96000000000072</v>
      </c>
      <c r="O128" s="13">
        <f>N128*VLOOKUP('Données projet'!$B$9,Paramètres!$A$1:$I$89,3,0)*VLOOKUP('Données projet'!$B$9,Paramètres!$A$1:$I$89,5,0)</f>
        <v>329.31100800000064</v>
      </c>
      <c r="P128" s="13">
        <f t="shared" si="87"/>
        <v>77.287444180583748</v>
      </c>
      <c r="Q128" s="20">
        <f t="shared" si="107"/>
        <v>708.15897088118447</v>
      </c>
      <c r="R128" s="59">
        <f t="shared" si="55"/>
        <v>1001.4923042145178</v>
      </c>
      <c r="S128" s="59">
        <f ca="1">AVERAGE(OFFSET($R$3,0,0,'Données projet'!$E$9+1,1))-AVERAGE(OFFSET($H$3,0,0,'Données projet'!$E$9+1,1))</f>
        <v>581.88778927327667</v>
      </c>
      <c r="T128" s="59">
        <f t="shared" si="88"/>
        <v>269.67340993773422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62.969660173718019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62.969660173718019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8.0699999999999985</v>
      </c>
      <c r="AI128" s="13">
        <f>IF('Données projet'!$A$62&gt;35,AI127+AH128-AQ127,IF(A128&lt;'Données projet'!$A$62,$AF$205^A128,IF(A128='Données projet'!$A$62,'Données projet'!$B$62,AI127+AH128-AQ127)))</f>
        <v>363.96000000000072</v>
      </c>
      <c r="AJ128" s="13">
        <f>AI128*VLOOKUP('Données projet'!$B$10,Paramètres!$A$1:$I$89,3,0)*VLOOKUP('Données projet'!$B$10,Paramètres!$A$1:$I$89,5,0)</f>
        <v>369.05544000000071</v>
      </c>
      <c r="AK128" s="13">
        <f t="shared" si="89"/>
        <v>85.474036248241589</v>
      </c>
      <c r="AL128" s="20">
        <f t="shared" si="58"/>
        <v>791.63883779902199</v>
      </c>
      <c r="AM128" s="59">
        <f t="shared" si="59"/>
        <v>1084.9721711323552</v>
      </c>
      <c r="AN128" s="59">
        <f ca="1">AVERAGE(OFFSET($AM$3,0,0,'Données projet'!$E$10+1,1))-AVERAGE(OFFSET($H$3,0,0,'Données projet'!$E$10+1,1))</f>
        <v>646.50767193970182</v>
      </c>
      <c r="AO128" s="59">
        <f t="shared" si="90"/>
        <v>297.06786598620607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70.569446746408147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70.569446746408147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8.0699999999999985</v>
      </c>
      <c r="N129" s="13">
        <f>IF('Données projet'!$A$36&gt;35,N128+M129-V128,IF(A129&lt;'Données projet'!$A$36,$K$205^A129,IF(A129='Données projet'!$A$36,'Données projet'!$B$36,N128+M129-V128)))</f>
        <v>372.03000000000071</v>
      </c>
      <c r="O129" s="13">
        <f>N129*VLOOKUP('Données projet'!$B$9,Paramètres!$A$1:$I$89,3,0)*VLOOKUP('Données projet'!$B$9,Paramètres!$A$1:$I$89,5,0)</f>
        <v>336.61274400000065</v>
      </c>
      <c r="P129" s="13">
        <f t="shared" si="87"/>
        <v>78.799710600410648</v>
      </c>
      <c r="Q129" s="20">
        <f t="shared" si="107"/>
        <v>723.51002509571629</v>
      </c>
      <c r="R129" s="59">
        <f t="shared" si="55"/>
        <v>1016.8433584290497</v>
      </c>
      <c r="S129" s="59">
        <f ca="1">AVERAGE(OFFSET($R$3,0,0,'Données projet'!$E$9+1,1))-AVERAGE(OFFSET($H$3,0,0,'Données projet'!$E$9+1,1))</f>
        <v>581.88778927327667</v>
      </c>
      <c r="T129" s="59">
        <f t="shared" si="88"/>
        <v>269.67340993773422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61.73486354541167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61.73486354541167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8.0699999999999985</v>
      </c>
      <c r="AI129" s="13">
        <f>IF('Données projet'!$A$62&gt;35,AI128+AH129-AQ128,IF(A129&lt;'Données projet'!$A$62,$AF$205^A129,IF(A129='Données projet'!$A$62,'Données projet'!$B$62,AI128+AH129-AQ128)))</f>
        <v>372.03000000000071</v>
      </c>
      <c r="AJ129" s="13">
        <f>AI129*VLOOKUP('Données projet'!$B$10,Paramètres!$A$1:$I$89,3,0)*VLOOKUP('Données projet'!$B$10,Paramètres!$A$1:$I$89,5,0)</f>
        <v>377.23842000000076</v>
      </c>
      <c r="AK129" s="13">
        <f t="shared" si="89"/>
        <v>87.146487914300891</v>
      </c>
      <c r="AL129" s="20">
        <f t="shared" si="58"/>
        <v>808.80371461740867</v>
      </c>
      <c r="AM129" s="59">
        <f t="shared" si="59"/>
        <v>1102.137047950742</v>
      </c>
      <c r="AN129" s="59">
        <f ca="1">AVERAGE(OFFSET($AM$3,0,0,'Données projet'!$E$10+1,1))-AVERAGE(OFFSET($H$3,0,0,'Données projet'!$E$10+1,1))</f>
        <v>646.50767193970182</v>
      </c>
      <c r="AO129" s="59">
        <f t="shared" si="90"/>
        <v>297.06786598620607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69.185622938823442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69.185622938823442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8.0699999999999985</v>
      </c>
      <c r="N130" s="13">
        <f>IF('Données projet'!$A$36&gt;35,N129+M130-V129,IF(A130&lt;'Données projet'!$A$36,$K$205^A130,IF(A130='Données projet'!$A$36,'Données projet'!$B$36,N129+M130-V129)))</f>
        <v>380.1000000000007</v>
      </c>
      <c r="O130" s="13">
        <f>N130*VLOOKUP('Données projet'!$B$9,Paramètres!$A$1:$I$89,3,0)*VLOOKUP('Données projet'!$B$9,Paramètres!$A$1:$I$89,5,0)</f>
        <v>343.91448000000065</v>
      </c>
      <c r="P130" s="13">
        <f t="shared" si="87"/>
        <v>80.308163160675235</v>
      </c>
      <c r="Q130" s="20">
        <f t="shared" si="107"/>
        <v>738.85443683817709</v>
      </c>
      <c r="R130" s="59">
        <f t="shared" si="55"/>
        <v>1032.1877701715105</v>
      </c>
      <c r="S130" s="59">
        <f ca="1">AVERAGE(OFFSET($R$3,0,0,'Données projet'!$E$9+1,1))-AVERAGE(OFFSET($H$3,0,0,'Données projet'!$E$9+1,1))</f>
        <v>581.88778927327667</v>
      </c>
      <c r="T130" s="59">
        <f t="shared" si="88"/>
        <v>269.67340993773422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60.524280525834833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60.524280525834833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8.0699999999999985</v>
      </c>
      <c r="AI130" s="13">
        <f>IF('Données projet'!$A$62&gt;35,AI129+AH130-AQ129,IF(A130&lt;'Données projet'!$A$62,$AF$205^A130,IF(A130='Données projet'!$A$62,'Données projet'!$B$62,AI129+AH130-AQ129)))</f>
        <v>380.1000000000007</v>
      </c>
      <c r="AJ130" s="13">
        <f>AI130*VLOOKUP('Données projet'!$B$10,Paramètres!$A$1:$I$89,3,0)*VLOOKUP('Données projet'!$B$10,Paramètres!$A$1:$I$89,5,0)</f>
        <v>385.42140000000074</v>
      </c>
      <c r="AK130" s="13">
        <f t="shared" si="89"/>
        <v>88.814721741694029</v>
      </c>
      <c r="AL130" s="20">
        <f t="shared" si="58"/>
        <v>825.96124536678508</v>
      </c>
      <c r="AM130" s="59">
        <f t="shared" si="59"/>
        <v>1119.2945787001183</v>
      </c>
      <c r="AN130" s="59">
        <f ca="1">AVERAGE(OFFSET($AM$3,0,0,'Données projet'!$E$10+1,1))-AVERAGE(OFFSET($H$3,0,0,'Données projet'!$E$10+1,1))</f>
        <v>646.50767193970182</v>
      </c>
      <c r="AO130" s="59">
        <f t="shared" si="90"/>
        <v>297.06786598620607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67.828935072056296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67.828935072056296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8.0699999999999985</v>
      </c>
      <c r="N131" s="13">
        <f>IF('Données projet'!$A$36&gt;35,N130+M131-V130,IF(A131&lt;'Données projet'!$A$36,$K$205^A131,IF(A131='Données projet'!$A$36,'Données projet'!$B$36,N130+M131-V130)))</f>
        <v>388.1700000000007</v>
      </c>
      <c r="O131" s="13">
        <f>N131*VLOOKUP('Données projet'!$B$9,Paramètres!$A$1:$I$89,3,0)*VLOOKUP('Données projet'!$B$9,Paramètres!$A$1:$I$89,5,0)</f>
        <v>351.2162160000006</v>
      </c>
      <c r="P131" s="13">
        <f t="shared" si="87"/>
        <v>81.812892161752615</v>
      </c>
      <c r="Q131" s="20">
        <f t="shared" ref="Q131:Q153" si="108">(O131+P131)*0.475*44/12</f>
        <v>754.19236338172016</v>
      </c>
      <c r="R131" s="59">
        <f t="shared" ref="R131:R194" si="109">Q131+(I131+J131)*44/12</f>
        <v>1047.5256967150535</v>
      </c>
      <c r="S131" s="59">
        <f ca="1">AVERAGE(OFFSET($R$3,0,0,'Données projet'!$E$9+1,1))-AVERAGE(OFFSET($H$3,0,0,'Données projet'!$E$9+1,1))</f>
        <v>581.88778927327667</v>
      </c>
      <c r="T131" s="59">
        <f t="shared" si="88"/>
        <v>269.67340993773422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59.337436300889166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59.337436300889166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8.0699999999999985</v>
      </c>
      <c r="AI131" s="13">
        <f>IF('Données projet'!$A$62&gt;35,AI130+AH131-AQ130,IF(A131&lt;'Données projet'!$A$62,$AF$205^A131,IF(A131='Données projet'!$A$62,'Données projet'!$B$62,AI130+AH131-AQ130)))</f>
        <v>388.1700000000007</v>
      </c>
      <c r="AJ131" s="13">
        <f>AI131*VLOOKUP('Données projet'!$B$10,Paramètres!$A$1:$I$89,3,0)*VLOOKUP('Données projet'!$B$10,Paramètres!$A$1:$I$89,5,0)</f>
        <v>393.60438000000073</v>
      </c>
      <c r="AK131" s="13">
        <f t="shared" si="89"/>
        <v>90.478837595769321</v>
      </c>
      <c r="AL131" s="20">
        <f t="shared" si="58"/>
        <v>843.1116039792995</v>
      </c>
      <c r="AM131" s="59">
        <f t="shared" si="59"/>
        <v>1136.4449373126329</v>
      </c>
      <c r="AN131" s="59">
        <f ca="1">AVERAGE(OFFSET($AM$3,0,0,'Données projet'!$E$10+1,1))-AVERAGE(OFFSET($H$3,0,0,'Données projet'!$E$10+1,1))</f>
        <v>646.50767193970182</v>
      </c>
      <c r="AO131" s="59">
        <f t="shared" si="90"/>
        <v>297.06786598620607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66.49885102685856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66.49885102685856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8.0699999999999985</v>
      </c>
      <c r="N132" s="13">
        <f>IF('Données projet'!$A$36&gt;35,N131+M132-V131,IF(A132&lt;'Données projet'!$A$36,$K$205^A132,IF(A132='Données projet'!$A$36,'Données projet'!$B$36,N131+M132-V131)))</f>
        <v>396.24000000000069</v>
      </c>
      <c r="O132" s="13">
        <f>N132*VLOOKUP('Données projet'!$B$9,Paramètres!$A$1:$I$89,3,0)*VLOOKUP('Données projet'!$B$9,Paramètres!$A$1:$I$89,5,0)</f>
        <v>358.51795200000061</v>
      </c>
      <c r="P132" s="13">
        <f t="shared" si="87"/>
        <v>83.313983934777241</v>
      </c>
      <c r="Q132" s="20">
        <f t="shared" si="108"/>
        <v>769.52395508640473</v>
      </c>
      <c r="R132" s="59">
        <f t="shared" si="109"/>
        <v>1062.8572884197381</v>
      </c>
      <c r="S132" s="59">
        <f ca="1">AVERAGE(OFFSET($R$3,0,0,'Données projet'!$E$9+1,1))-AVERAGE(OFFSET($H$3,0,0,'Données projet'!$E$9+1,1))</f>
        <v>581.88778927327667</v>
      </c>
      <c r="T132" s="59">
        <f t="shared" si="88"/>
        <v>269.67340993773422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58.173865367291185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58.173865367291185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8.0699999999999985</v>
      </c>
      <c r="AI132" s="13">
        <f>IF('Données projet'!$A$62&gt;35,AI131+AH132-AQ131,IF(A132&lt;'Données projet'!$A$62,$AF$205^A132,IF(A132='Données projet'!$A$62,'Données projet'!$B$62,AI131+AH132-AQ131)))</f>
        <v>396.24000000000069</v>
      </c>
      <c r="AJ132" s="13">
        <f>AI132*VLOOKUP('Données projet'!$B$10,Paramètres!$A$1:$I$89,3,0)*VLOOKUP('Données projet'!$B$10,Paramètres!$A$1:$I$89,5,0)</f>
        <v>401.78736000000072</v>
      </c>
      <c r="AK132" s="13">
        <f t="shared" si="89"/>
        <v>92.138930952196844</v>
      </c>
      <c r="AL132" s="20">
        <f t="shared" ref="AL132:AL153" si="112">(AJ132+AK132)*0.475*44/12</f>
        <v>860.25495674174408</v>
      </c>
      <c r="AM132" s="59">
        <f t="shared" ref="AM132:AM195" si="113">AL132+(AD132+AE132)*44/12</f>
        <v>1153.5882900750773</v>
      </c>
      <c r="AN132" s="59">
        <f ca="1">AVERAGE(OFFSET($AM$3,0,0,'Données projet'!$E$10+1,1))-AVERAGE(OFFSET($H$3,0,0,'Données projet'!$E$10+1,1))</f>
        <v>646.50767193970182</v>
      </c>
      <c r="AO132" s="59">
        <f t="shared" si="90"/>
        <v>297.06786598620607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65.19484911851599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65.19484911851599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8.0699999999999985</v>
      </c>
      <c r="N133" s="13">
        <f>IF('Données projet'!$A$36&gt;35,N132+M133-V132,IF(A133&lt;'Données projet'!$A$36,$K$205^A133,IF(A133='Données projet'!$A$36,'Données projet'!$B$36,N132+M133-V132)))</f>
        <v>404.31000000000068</v>
      </c>
      <c r="O133" s="13">
        <f>N133*VLOOKUP('Données projet'!$B$9,Paramètres!$A$1:$I$89,3,0)*VLOOKUP('Données projet'!$B$9,Paramètres!$A$1:$I$89,5,0)</f>
        <v>365.81968800000061</v>
      </c>
      <c r="P133" s="13">
        <f t="shared" ref="P133:P196" si="141">EXP(-1.0587+0.8836*LN(O133)+0.284)</f>
        <v>84.811521093342051</v>
      </c>
      <c r="Q133" s="20">
        <f t="shared" si="108"/>
        <v>784.84935583757169</v>
      </c>
      <c r="R133" s="59">
        <f t="shared" si="109"/>
        <v>1078.182689170905</v>
      </c>
      <c r="S133" s="59">
        <f ca="1">AVERAGE(OFFSET($R$3,0,0,'Données projet'!$E$9+1,1))-AVERAGE(OFFSET($H$3,0,0,'Données projet'!$E$9+1,1))</f>
        <v>581.88778927327667</v>
      </c>
      <c r="T133" s="59">
        <f t="shared" ref="T133:T196" si="142">$T$3</f>
        <v>269.67340993773422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57.033111349992865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57.033111349992865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8.0699999999999985</v>
      </c>
      <c r="AI133" s="13">
        <f>IF('Données projet'!$A$62&gt;35,AI132+AH133-AQ132,IF(A133&lt;'Données projet'!$A$62,$AF$205^A133,IF(A133='Données projet'!$A$62,'Données projet'!$B$62,AI132+AH133-AQ132)))</f>
        <v>404.31000000000068</v>
      </c>
      <c r="AJ133" s="13">
        <f>AI133*VLOOKUP('Données projet'!$B$10,Paramètres!$A$1:$I$89,3,0)*VLOOKUP('Données projet'!$B$10,Paramètres!$A$1:$I$89,5,0)</f>
        <v>409.9703400000007</v>
      </c>
      <c r="AK133" s="13">
        <f t="shared" ref="AK133:AK153" si="143">EXP(-1.0587+0.8836*LN(AJ133)+0.284)</f>
        <v>93.795093175328134</v>
      </c>
      <c r="AL133" s="20">
        <f t="shared" si="112"/>
        <v>877.39146278036435</v>
      </c>
      <c r="AM133" s="59">
        <f t="shared" si="113"/>
        <v>1170.7247961136977</v>
      </c>
      <c r="AN133" s="59">
        <f ca="1">AVERAGE(OFFSET($AM$3,0,0,'Données projet'!$E$10+1,1))-AVERAGE(OFFSET($H$3,0,0,'Données projet'!$E$10+1,1))</f>
        <v>646.50767193970182</v>
      </c>
      <c r="AO133" s="59">
        <f t="shared" ref="AO133:AO196" si="144">$AO$3</f>
        <v>297.06786598620607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63.91641789223339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63.91641789223339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8.0699999999999985</v>
      </c>
      <c r="N134" s="13">
        <f>IF('Données projet'!$A$36&gt;35,N133+M134-V133,IF(A134&lt;'Données projet'!$A$36,$K$205^A134,IF(A134='Données projet'!$A$36,'Données projet'!$B$36,N133+M134-V133)))</f>
        <v>412.38000000000068</v>
      </c>
      <c r="O134" s="13">
        <f>N134*VLOOKUP('Données projet'!$B$9,Paramètres!$A$1:$I$89,3,0)*VLOOKUP('Données projet'!$B$9,Paramètres!$A$1:$I$89,5,0)</f>
        <v>373.12142400000062</v>
      </c>
      <c r="P134" s="13">
        <f t="shared" si="141"/>
        <v>86.305582764533938</v>
      </c>
      <c r="Q134" s="20">
        <f t="shared" si="108"/>
        <v>800.16870344823099</v>
      </c>
      <c r="R134" s="59">
        <f t="shared" si="109"/>
        <v>1093.5020367815644</v>
      </c>
      <c r="S134" s="59">
        <f ca="1">AVERAGE(OFFSET($R$3,0,0,'Données projet'!$E$9+1,1))-AVERAGE(OFFSET($H$3,0,0,'Données projet'!$E$9+1,1))</f>
        <v>581.88778927327667</v>
      </c>
      <c r="T134" s="59">
        <f t="shared" si="142"/>
        <v>269.67340993773422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55.914726823182519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55.914726823182519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8.0699999999999985</v>
      </c>
      <c r="AI134" s="13">
        <f>IF('Données projet'!$A$62&gt;35,AI133+AH134-AQ133,IF(A134&lt;'Données projet'!$A$62,$AF$205^A134,IF(A134='Données projet'!$A$62,'Données projet'!$B$62,AI133+AH134-AQ133)))</f>
        <v>412.38000000000068</v>
      </c>
      <c r="AJ134" s="13">
        <f>AI134*VLOOKUP('Données projet'!$B$10,Paramètres!$A$1:$I$89,3,0)*VLOOKUP('Données projet'!$B$10,Paramètres!$A$1:$I$89,5,0)</f>
        <v>418.15332000000069</v>
      </c>
      <c r="AK134" s="13">
        <f t="shared" si="143"/>
        <v>95.44741177370463</v>
      </c>
      <c r="AL134" s="20">
        <f t="shared" si="112"/>
        <v>894.52127450587011</v>
      </c>
      <c r="AM134" s="59">
        <f t="shared" si="113"/>
        <v>1187.8546078392035</v>
      </c>
      <c r="AN134" s="59">
        <f ca="1">AVERAGE(OFFSET($AM$3,0,0,'Données projet'!$E$10+1,1))-AVERAGE(OFFSET($H$3,0,0,'Données projet'!$E$10+1,1))</f>
        <v>646.50767193970182</v>
      </c>
      <c r="AO134" s="59">
        <f t="shared" si="144"/>
        <v>297.06786598620607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62.663055922532145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62.663055922532145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8.0699999999999985</v>
      </c>
      <c r="N135" s="13">
        <f>IF('Données projet'!$A$36&gt;35,N134+M135-V134,IF(A135&lt;'Données projet'!$A$36,$K$205^A135,IF(A135='Données projet'!$A$36,'Données projet'!$B$36,N134+M135-V134)))</f>
        <v>420.45000000000067</v>
      </c>
      <c r="O135" s="13">
        <f>N135*VLOOKUP('Données projet'!$B$9,Paramètres!$A$1:$I$89,3,0)*VLOOKUP('Données projet'!$B$9,Paramètres!$A$1:$I$89,5,0)</f>
        <v>380.42316000000056</v>
      </c>
      <c r="P135" s="13">
        <f t="shared" si="141"/>
        <v>87.79624480137376</v>
      </c>
      <c r="Q135" s="20">
        <f t="shared" si="108"/>
        <v>815.48213002906016</v>
      </c>
      <c r="R135" s="59">
        <f t="shared" si="109"/>
        <v>1108.8154633623935</v>
      </c>
      <c r="S135" s="59">
        <f ca="1">AVERAGE(OFFSET($R$3,0,0,'Données projet'!$E$9+1,1))-AVERAGE(OFFSET($H$3,0,0,'Données projet'!$E$9+1,1))</f>
        <v>581.88778927327667</v>
      </c>
      <c r="T135" s="59">
        <f t="shared" si="142"/>
        <v>269.67340993773422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54.818273134795724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54.818273134795724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8.0699999999999985</v>
      </c>
      <c r="AI135" s="13">
        <f>IF('Données projet'!$A$62&gt;35,AI134+AH135-AQ134,IF(A135&lt;'Données projet'!$A$62,$AF$205^A135,IF(A135='Données projet'!$A$62,'Données projet'!$B$62,AI134+AH135-AQ134)))</f>
        <v>420.45000000000067</v>
      </c>
      <c r="AJ135" s="13">
        <f>AI135*VLOOKUP('Données projet'!$B$10,Paramètres!$A$1:$I$89,3,0)*VLOOKUP('Données projet'!$B$10,Paramètres!$A$1:$I$89,5,0)</f>
        <v>426.33630000000073</v>
      </c>
      <c r="AK135" s="13">
        <f t="shared" si="143"/>
        <v>97.095970634999375</v>
      </c>
      <c r="AL135" s="20">
        <f t="shared" si="112"/>
        <v>911.64453802262517</v>
      </c>
      <c r="AM135" s="59">
        <f t="shared" si="113"/>
        <v>1204.9778713559585</v>
      </c>
      <c r="AN135" s="59">
        <f ca="1">AVERAGE(OFFSET($AM$3,0,0,'Données projet'!$E$10+1,1))-AVERAGE(OFFSET($H$3,0,0,'Données projet'!$E$10+1,1))</f>
        <v>646.50767193970182</v>
      </c>
      <c r="AO135" s="59">
        <f t="shared" si="144"/>
        <v>297.06786598620607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61.43427161658142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61.43427161658142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8.0699999999999985</v>
      </c>
      <c r="N136" s="13">
        <f>IF('Données projet'!$A$36&gt;35,N135+M136-V135,IF(A136&lt;'Données projet'!$A$36,$K$205^A136,IF(A136='Données projet'!$A$36,'Données projet'!$B$36,N135+M136-V135)))</f>
        <v>428.52000000000066</v>
      </c>
      <c r="O136" s="13">
        <f>N136*VLOOKUP('Données projet'!$B$9,Paramètres!$A$1:$I$89,3,0)*VLOOKUP('Données projet'!$B$9,Paramètres!$A$1:$I$89,5,0)</f>
        <v>387.72489600000057</v>
      </c>
      <c r="P136" s="13">
        <f t="shared" si="141"/>
        <v>89.283579978484866</v>
      </c>
      <c r="Q136" s="20">
        <f t="shared" si="108"/>
        <v>830.78976232919547</v>
      </c>
      <c r="R136" s="59">
        <f t="shared" si="109"/>
        <v>1124.1230956625288</v>
      </c>
      <c r="S136" s="59">
        <f ca="1">AVERAGE(OFFSET($R$3,0,0,'Données projet'!$E$9+1,1))-AVERAGE(OFFSET($H$3,0,0,'Données projet'!$E$9+1,1))</f>
        <v>581.88778927327667</v>
      </c>
      <c r="T136" s="59">
        <f t="shared" si="142"/>
        <v>269.67340993773422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53.743320234467475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53.743320234467475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8.0699999999999985</v>
      </c>
      <c r="AI136" s="13">
        <f>IF('Données projet'!$A$62&gt;35,AI135+AH136-AQ135,IF(A136&lt;'Données projet'!$A$62,$AF$205^A136,IF(A136='Données projet'!$A$62,'Données projet'!$B$62,AI135+AH136-AQ135)))</f>
        <v>428.52000000000066</v>
      </c>
      <c r="AJ136" s="13">
        <f>AI136*VLOOKUP('Données projet'!$B$10,Paramètres!$A$1:$I$89,3,0)*VLOOKUP('Données projet'!$B$10,Paramètres!$A$1:$I$89,5,0)</f>
        <v>434.51928000000072</v>
      </c>
      <c r="AK136" s="13">
        <f t="shared" si="143"/>
        <v>98.740850242411952</v>
      </c>
      <c r="AL136" s="20">
        <f t="shared" si="112"/>
        <v>928.76139350553524</v>
      </c>
      <c r="AM136" s="59">
        <f t="shared" si="113"/>
        <v>1222.0947268388686</v>
      </c>
      <c r="AN136" s="59">
        <f ca="1">AVERAGE(OFFSET($AM$3,0,0,'Données projet'!$E$10+1,1))-AVERAGE(OFFSET($H$3,0,0,'Données projet'!$E$10+1,1))</f>
        <v>646.50767193970182</v>
      </c>
      <c r="AO136" s="59">
        <f t="shared" si="144"/>
        <v>297.06786598620607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60.22958302138597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60.22958302138597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>
        <f>VLOOKUP(A137,'Données projet'!$A$35:$I$55,2,0)</f>
        <v>436.59</v>
      </c>
      <c r="L137" s="12">
        <f>VLOOKUP(A137,'Données projet'!$A$35:$I$55,9,0)</f>
        <v>8.0699999999999985</v>
      </c>
      <c r="M137" s="12">
        <f t="array" ref="M137">INDEX(L:L,MIN(IF(ISNUMBER(L137:L333),ROW(L137:L333),"")))</f>
        <v>8.0699999999999985</v>
      </c>
      <c r="N137" s="13">
        <f>IF('Données projet'!$A$36&gt;35,N136+M137-V136,IF(A137&lt;'Données projet'!$A$36,$K$205^A137,IF(A137='Données projet'!$A$36,'Données projet'!$B$36,N136+M137-V136)))</f>
        <v>436.59000000000066</v>
      </c>
      <c r="O137" s="13">
        <f>N137*VLOOKUP('Données projet'!$B$9,Paramètres!$A$1:$I$89,3,0)*VLOOKUP('Données projet'!$B$9,Paramètres!$A$1:$I$89,5,0)</f>
        <v>395.02663200000057</v>
      </c>
      <c r="P137" s="13">
        <f t="shared" si="141"/>
        <v>90.767658172605465</v>
      </c>
      <c r="Q137" s="20">
        <f t="shared" si="108"/>
        <v>846.09172205062214</v>
      </c>
      <c r="R137" s="59">
        <f t="shared" si="109"/>
        <v>1139.4250553839554</v>
      </c>
      <c r="S137" s="59">
        <f ca="1">AVERAGE(OFFSET($R$3,0,0,'Données projet'!$E$9+1,1))-AVERAGE(OFFSET($H$3,0,0,'Données projet'!$E$9+1,1))</f>
        <v>581.88778927327667</v>
      </c>
      <c r="T137" s="59">
        <f t="shared" si="142"/>
        <v>269.67340993773422</v>
      </c>
      <c r="U137" s="15">
        <f>IF(ISNA(VLOOKUP(A137,'Données projet'!$A$35:$I$55,3,0)),0,VLOOKUP(A137,'Données projet'!$A$35:$I$55,3,0))</f>
        <v>11</v>
      </c>
      <c r="V137" s="15">
        <f>IF(ISNA(VLOOKUP(A137,'Données projet'!$A$35:$I$55,4,0)),0,VLOOKUP(A137,'Données projet'!$A$35:$I$55,4,0))</f>
        <v>54.95</v>
      </c>
      <c r="W137" s="16">
        <f>IF(ISNA(VLOOKUP(A137,'Données projet'!$A$35:$I$55,5,0)),0%,VLOOKUP(A137,'Données projet'!$A$35:$I$55,5,0)*VLOOKUP('Données projet'!$B$9,Paramètres!$A$1:$I$89,7,0))</f>
        <v>0.25800000000000001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66.869801558531918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66.869801558531918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436.59</v>
      </c>
      <c r="AG137" s="12">
        <f>VLOOKUP(A137,'Données projet'!$A$61:$I$81,9,0)</f>
        <v>8.0699999999999985</v>
      </c>
      <c r="AH137" s="12">
        <f t="array" ref="AH137">INDEX(AG:AG,MIN(IF(ISNUMBER(AG137:AG333),ROW(AG137:AG333),"")))</f>
        <v>8.0699999999999985</v>
      </c>
      <c r="AI137" s="13">
        <f>IF('Données projet'!$A$62&gt;35,AI136+AH137-AQ136,IF(A137&lt;'Données projet'!$A$62,$AF$205^A137,IF(A137='Données projet'!$A$62,'Données projet'!$B$62,AI136+AH137-AQ136)))</f>
        <v>436.59000000000066</v>
      </c>
      <c r="AJ137" s="13">
        <f>AI137*VLOOKUP('Données projet'!$B$10,Paramètres!$A$1:$I$89,3,0)*VLOOKUP('Données projet'!$B$10,Paramètres!$A$1:$I$89,5,0)</f>
        <v>442.70226000000071</v>
      </c>
      <c r="AK137" s="13">
        <f t="shared" si="143"/>
        <v>100.38212787430139</v>
      </c>
      <c r="AL137" s="20">
        <f t="shared" si="112"/>
        <v>945.87197554774275</v>
      </c>
      <c r="AM137" s="59">
        <f t="shared" si="113"/>
        <v>1239.205308881076</v>
      </c>
      <c r="AN137" s="59">
        <f ca="1">AVERAGE(OFFSET($AM$3,0,0,'Données projet'!$E$10+1,1))-AVERAGE(OFFSET($H$3,0,0,'Données projet'!$E$10+1,1))</f>
        <v>646.50767193970182</v>
      </c>
      <c r="AO137" s="59">
        <f t="shared" si="144"/>
        <v>297.06786598620607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0.25800000000000001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74.940294850078871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74.940294850078871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8.1590000000000025</v>
      </c>
      <c r="N138" s="13">
        <f>IF('Données projet'!$A$36&gt;35,N137+M138-V137,IF(A138&lt;'Données projet'!$A$36,$K$205^A138,IF(A138='Données projet'!$A$36,'Données projet'!$B$36,N137+M138-V137)))</f>
        <v>389.79900000000066</v>
      </c>
      <c r="O138" s="13">
        <f>N138*VLOOKUP('Données projet'!$B$9,Paramètres!$A$1:$I$89,3,0)*VLOOKUP('Données projet'!$B$9,Paramètres!$A$1:$I$89,5,0)</f>
        <v>352.69013520000055</v>
      </c>
      <c r="P138" s="13">
        <f t="shared" si="141"/>
        <v>82.116190931394016</v>
      </c>
      <c r="Q138" s="20">
        <f t="shared" si="108"/>
        <v>757.28768467884549</v>
      </c>
      <c r="R138" s="59">
        <f t="shared" si="109"/>
        <v>1050.6210180121789</v>
      </c>
      <c r="S138" s="59">
        <f ca="1">AVERAGE(OFFSET($R$3,0,0,'Données projet'!$E$9+1,1))-AVERAGE(OFFSET($H$3,0,0,'Données projet'!$E$9+1,1))</f>
        <v>581.88778927327667</v>
      </c>
      <c r="T138" s="59">
        <f t="shared" si="142"/>
        <v>269.67340993773422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65.558525536520719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65.558525536520719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8.1590000000000025</v>
      </c>
      <c r="AI138" s="13">
        <f>IF('Données projet'!$A$62&gt;35,AI137+AH138-AQ137,IF(A138&lt;'Données projet'!$A$62,$AF$205^A138,IF(A138='Données projet'!$A$62,'Données projet'!$B$62,AI137+AH138-AQ137)))</f>
        <v>389.79900000000066</v>
      </c>
      <c r="AJ138" s="13">
        <f>AI138*VLOOKUP('Données projet'!$B$10,Paramètres!$A$1:$I$89,3,0)*VLOOKUP('Données projet'!$B$10,Paramètres!$A$1:$I$89,5,0)</f>
        <v>395.2561860000007</v>
      </c>
      <c r="AK138" s="13">
        <f t="shared" si="143"/>
        <v>90.814262971847356</v>
      </c>
      <c r="AL138" s="20">
        <f t="shared" si="112"/>
        <v>846.57269862596866</v>
      </c>
      <c r="AM138" s="59">
        <f t="shared" si="113"/>
        <v>1139.906031959302</v>
      </c>
      <c r="AN138" s="59">
        <f ca="1">AVERAGE(OFFSET($AM$3,0,0,'Données projet'!$E$10+1,1))-AVERAGE(OFFSET($H$3,0,0,'Données projet'!$E$10+1,1))</f>
        <v>646.50767193970182</v>
      </c>
      <c r="AO138" s="59">
        <f t="shared" si="144"/>
        <v>297.06786598620607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73.47076137713529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73.47076137713529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8.1590000000000025</v>
      </c>
      <c r="N139" s="13">
        <f>IF('Données projet'!$A$36&gt;35,N138+M139-V138,IF(A139&lt;'Données projet'!$A$36,$K$205^A139,IF(A139='Données projet'!$A$36,'Données projet'!$B$36,N138+M139-V138)))</f>
        <v>397.95800000000065</v>
      </c>
      <c r="O139" s="13">
        <f>N139*VLOOKUP('Données projet'!$B$9,Paramètres!$A$1:$I$89,3,0)*VLOOKUP('Données projet'!$B$9,Paramètres!$A$1:$I$89,5,0)</f>
        <v>360.07239840000057</v>
      </c>
      <c r="P139" s="13">
        <f t="shared" si="141"/>
        <v>83.633085567444908</v>
      </c>
      <c r="Q139" s="20">
        <f t="shared" si="108"/>
        <v>772.78705124330099</v>
      </c>
      <c r="R139" s="59">
        <f t="shared" si="109"/>
        <v>1066.1203845766343</v>
      </c>
      <c r="S139" s="59">
        <f ca="1">AVERAGE(OFFSET($R$3,0,0,'Données projet'!$E$9+1,1))-AVERAGE(OFFSET($H$3,0,0,'Données projet'!$E$9+1,1))</f>
        <v>581.88778927327667</v>
      </c>
      <c r="T139" s="59">
        <f t="shared" si="142"/>
        <v>269.67340993773422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64.272962837501765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64.272962837501765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8.1590000000000025</v>
      </c>
      <c r="AI139" s="13">
        <f>IF('Données projet'!$A$62&gt;35,AI138+AH139-AQ138,IF(A139&lt;'Données projet'!$A$62,$AF$205^A139,IF(A139='Données projet'!$A$62,'Données projet'!$B$62,AI138+AH139-AQ138)))</f>
        <v>397.95800000000065</v>
      </c>
      <c r="AJ139" s="13">
        <f>AI139*VLOOKUP('Données projet'!$B$10,Paramètres!$A$1:$I$89,3,0)*VLOOKUP('Données projet'!$B$10,Paramètres!$A$1:$I$89,5,0)</f>
        <v>403.52941200000066</v>
      </c>
      <c r="AK139" s="13">
        <f t="shared" si="143"/>
        <v>92.491833093116057</v>
      </c>
      <c r="AL139" s="20">
        <f t="shared" si="112"/>
        <v>863.90366853717831</v>
      </c>
      <c r="AM139" s="59">
        <f t="shared" si="113"/>
        <v>1157.2370018705117</v>
      </c>
      <c r="AN139" s="59">
        <f ca="1">AVERAGE(OFFSET($AM$3,0,0,'Données projet'!$E$10+1,1))-AVERAGE(OFFSET($H$3,0,0,'Données projet'!$E$10+1,1))</f>
        <v>646.50767193970182</v>
      </c>
      <c r="AO139" s="59">
        <f t="shared" si="144"/>
        <v>297.06786598620607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72.030044559269214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72.030044559269214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8.1590000000000025</v>
      </c>
      <c r="N140" s="13">
        <f>IF('Données projet'!$A$36&gt;35,N139+M140-V139,IF(A140&lt;'Données projet'!$A$36,$K$205^A140,IF(A140='Données projet'!$A$36,'Données projet'!$B$36,N139+M140-V139)))</f>
        <v>406.11700000000064</v>
      </c>
      <c r="O140" s="13">
        <f>N140*VLOOKUP('Données projet'!$B$9,Paramètres!$A$1:$I$89,3,0)*VLOOKUP('Données projet'!$B$9,Paramètres!$A$1:$I$89,5,0)</f>
        <v>367.45466160000058</v>
      </c>
      <c r="P140" s="13">
        <f t="shared" si="141"/>
        <v>85.146364255773364</v>
      </c>
      <c r="Q140" s="20">
        <f t="shared" si="108"/>
        <v>788.28012003213962</v>
      </c>
      <c r="R140" s="59">
        <f t="shared" si="109"/>
        <v>1081.6134533654729</v>
      </c>
      <c r="S140" s="59">
        <f ca="1">AVERAGE(OFFSET($R$3,0,0,'Données projet'!$E$9+1,1))-AVERAGE(OFFSET($H$3,0,0,'Données projet'!$E$9+1,1))</f>
        <v>581.88778927327667</v>
      </c>
      <c r="T140" s="59">
        <f t="shared" si="142"/>
        <v>269.67340993773422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63.012609238894747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63.012609238894747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8.1590000000000025</v>
      </c>
      <c r="AI140" s="13">
        <f>IF('Données projet'!$A$62&gt;35,AI139+AH140-AQ139,IF(A140&lt;'Données projet'!$A$62,$AF$205^A140,IF(A140='Données projet'!$A$62,'Données projet'!$B$62,AI139+AH140-AQ139)))</f>
        <v>406.11700000000064</v>
      </c>
      <c r="AJ140" s="13">
        <f>AI140*VLOOKUP('Données projet'!$B$10,Paramètres!$A$1:$I$89,3,0)*VLOOKUP('Données projet'!$B$10,Paramètres!$A$1:$I$89,5,0)</f>
        <v>411.80263800000068</v>
      </c>
      <c r="AK140" s="13">
        <f t="shared" si="143"/>
        <v>94.165404251164176</v>
      </c>
      <c r="AL140" s="20">
        <f t="shared" si="112"/>
        <v>881.22767358744534</v>
      </c>
      <c r="AM140" s="59">
        <f t="shared" si="113"/>
        <v>1174.5610069207787</v>
      </c>
      <c r="AN140" s="59">
        <f ca="1">AVERAGE(OFFSET($AM$3,0,0,'Données projet'!$E$10+1,1))-AVERAGE(OFFSET($H$3,0,0,'Données projet'!$E$10+1,1))</f>
        <v>646.50767193970182</v>
      </c>
      <c r="AO140" s="59">
        <f t="shared" si="144"/>
        <v>297.06786598620607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70.617579319451011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70.617579319451011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8.1590000000000025</v>
      </c>
      <c r="N141" s="13">
        <f>IF('Données projet'!$A$36&gt;35,N140+M141-V140,IF(A141&lt;'Données projet'!$A$36,$K$205^A141,IF(A141='Données projet'!$A$36,'Données projet'!$B$36,N140+M141-V140)))</f>
        <v>414.27600000000064</v>
      </c>
      <c r="O141" s="13">
        <f>N141*VLOOKUP('Données projet'!$B$9,Paramètres!$A$1:$I$89,3,0)*VLOOKUP('Données projet'!$B$9,Paramètres!$A$1:$I$89,5,0)</f>
        <v>374.83692480000053</v>
      </c>
      <c r="P141" s="13">
        <f t="shared" si="141"/>
        <v>86.656108013910185</v>
      </c>
      <c r="Q141" s="20">
        <f t="shared" si="108"/>
        <v>803.76703215089447</v>
      </c>
      <c r="R141" s="59">
        <f t="shared" si="109"/>
        <v>1097.1003654842277</v>
      </c>
      <c r="S141" s="59">
        <f ca="1">AVERAGE(OFFSET($R$3,0,0,'Données projet'!$E$9+1,1))-AVERAGE(OFFSET($H$3,0,0,'Données projet'!$E$9+1,1))</f>
        <v>581.88778927327667</v>
      </c>
      <c r="T141" s="59">
        <f t="shared" si="142"/>
        <v>269.67340993773422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61.776970405616623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61.776970405616623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8.1590000000000025</v>
      </c>
      <c r="AI141" s="13">
        <f>IF('Données projet'!$A$62&gt;35,AI140+AH141-AQ140,IF(A141&lt;'Données projet'!$A$62,$AF$205^A141,IF(A141='Données projet'!$A$62,'Données projet'!$B$62,AI140+AH141-AQ140)))</f>
        <v>414.27600000000064</v>
      </c>
      <c r="AJ141" s="13">
        <f>AI141*VLOOKUP('Données projet'!$B$10,Paramètres!$A$1:$I$89,3,0)*VLOOKUP('Données projet'!$B$10,Paramètres!$A$1:$I$89,5,0)</f>
        <v>420.07586400000065</v>
      </c>
      <c r="AK141" s="13">
        <f t="shared" si="143"/>
        <v>95.835066045220003</v>
      </c>
      <c r="AL141" s="20">
        <f t="shared" si="112"/>
        <v>898.54486982875926</v>
      </c>
      <c r="AM141" s="59">
        <f t="shared" si="113"/>
        <v>1191.8782031620926</v>
      </c>
      <c r="AN141" s="59">
        <f ca="1">AVERAGE(OFFSET($AM$3,0,0,'Données projet'!$E$10+1,1))-AVERAGE(OFFSET($H$3,0,0,'Données projet'!$E$10+1,1))</f>
        <v>646.50767193970182</v>
      </c>
      <c r="AO141" s="59">
        <f t="shared" si="144"/>
        <v>297.06786598620607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69.232811661466911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69.232811661466911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8.1590000000000025</v>
      </c>
      <c r="N142" s="13">
        <f>IF('Données projet'!$A$36&gt;35,N141+M142-V141,IF(A142&lt;'Données projet'!$A$36,$K$205^A142,IF(A142='Données projet'!$A$36,'Données projet'!$B$36,N141+M142-V141)))</f>
        <v>422.43500000000063</v>
      </c>
      <c r="O142" s="13">
        <f>N142*VLOOKUP('Données projet'!$B$9,Paramètres!$A$1:$I$89,3,0)*VLOOKUP('Données projet'!$B$9,Paramètres!$A$1:$I$89,5,0)</f>
        <v>382.21918800000054</v>
      </c>
      <c r="P142" s="13">
        <f t="shared" si="141"/>
        <v>88.162394485655341</v>
      </c>
      <c r="Q142" s="20">
        <f t="shared" si="108"/>
        <v>819.24792282918395</v>
      </c>
      <c r="R142" s="59">
        <f t="shared" si="109"/>
        <v>1112.5812561625173</v>
      </c>
      <c r="S142" s="59">
        <f ca="1">AVERAGE(OFFSET($R$3,0,0,'Données projet'!$E$9+1,1))-AVERAGE(OFFSET($H$3,0,0,'Données projet'!$E$9+1,1))</f>
        <v>581.88778927327667</v>
      </c>
      <c r="T142" s="59">
        <f t="shared" si="142"/>
        <v>269.67340993773422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60.565561696193818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60.565561696193818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8.1590000000000025</v>
      </c>
      <c r="AI142" s="13">
        <f>IF('Données projet'!$A$62&gt;35,AI141+AH142-AQ141,IF(A142&lt;'Données projet'!$A$62,$AF$205^A142,IF(A142='Données projet'!$A$62,'Données projet'!$B$62,AI141+AH142-AQ141)))</f>
        <v>422.43500000000063</v>
      </c>
      <c r="AJ142" s="13">
        <f>AI142*VLOOKUP('Données projet'!$B$10,Paramètres!$A$1:$I$89,3,0)*VLOOKUP('Données projet'!$B$10,Paramètres!$A$1:$I$89,5,0)</f>
        <v>428.34909000000067</v>
      </c>
      <c r="AK142" s="13">
        <f t="shared" si="143"/>
        <v>97.500904343422292</v>
      </c>
      <c r="AL142" s="20">
        <f t="shared" si="112"/>
        <v>915.85540681479506</v>
      </c>
      <c r="AM142" s="59">
        <f t="shared" si="113"/>
        <v>1209.1887401481283</v>
      </c>
      <c r="AN142" s="59">
        <f ca="1">AVERAGE(OFFSET($AM$3,0,0,'Données projet'!$E$10+1,1))-AVERAGE(OFFSET($H$3,0,0,'Données projet'!$E$10+1,1))</f>
        <v>646.50767193970182</v>
      </c>
      <c r="AO142" s="59">
        <f t="shared" si="144"/>
        <v>297.06786598620607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67.875198452631011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67.875198452631011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8.1590000000000025</v>
      </c>
      <c r="N143" s="13">
        <f>IF('Données projet'!$A$36&gt;35,N142+M143-V142,IF(A143&lt;'Données projet'!$A$36,$K$205^A143,IF(A143='Données projet'!$A$36,'Données projet'!$B$36,N142+M143-V142)))</f>
        <v>430.59400000000062</v>
      </c>
      <c r="O143" s="13">
        <f>N143*VLOOKUP('Données projet'!$B$9,Paramètres!$A$1:$I$89,3,0)*VLOOKUP('Données projet'!$B$9,Paramètres!$A$1:$I$89,5,0)</f>
        <v>389.60145120000055</v>
      </c>
      <c r="P143" s="13">
        <f t="shared" si="141"/>
        <v>89.665298143968485</v>
      </c>
      <c r="Q143" s="20">
        <f t="shared" si="108"/>
        <v>834.72292177407928</v>
      </c>
      <c r="R143" s="59">
        <f t="shared" si="109"/>
        <v>1128.0562551074127</v>
      </c>
      <c r="S143" s="59">
        <f ca="1">AVERAGE(OFFSET($R$3,0,0,'Données projet'!$E$9+1,1))-AVERAGE(OFFSET($H$3,0,0,'Données projet'!$E$9+1,1))</f>
        <v>581.88778927327667</v>
      </c>
      <c r="T143" s="59">
        <f t="shared" si="142"/>
        <v>269.67340993773422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59.377907972676439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59.377907972676439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8.1590000000000025</v>
      </c>
      <c r="AI143" s="13">
        <f>IF('Données projet'!$A$62&gt;35,AI142+AH143-AQ142,IF(A143&lt;'Données projet'!$A$62,$AF$205^A143,IF(A143='Données projet'!$A$62,'Données projet'!$B$62,AI142+AH143-AQ142)))</f>
        <v>430.59400000000062</v>
      </c>
      <c r="AJ143" s="13">
        <f>AI143*VLOOKUP('Données projet'!$B$10,Paramètres!$A$1:$I$89,3,0)*VLOOKUP('Données projet'!$B$10,Paramètres!$A$1:$I$89,5,0)</f>
        <v>436.62231600000064</v>
      </c>
      <c r="AK143" s="13">
        <f t="shared" si="143"/>
        <v>99.163001507201159</v>
      </c>
      <c r="AL143" s="20">
        <f t="shared" si="112"/>
        <v>933.15942799170989</v>
      </c>
      <c r="AM143" s="59">
        <f t="shared" si="113"/>
        <v>1226.4927613250431</v>
      </c>
      <c r="AN143" s="59">
        <f ca="1">AVERAGE(OFFSET($AM$3,0,0,'Données projet'!$E$10+1,1))-AVERAGE(OFFSET($H$3,0,0,'Données projet'!$E$10+1,1))</f>
        <v>646.50767193970182</v>
      </c>
      <c r="AO143" s="59">
        <f t="shared" si="144"/>
        <v>297.06786598620607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66.544207210758088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66.544207210758088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8.1590000000000025</v>
      </c>
      <c r="N144" s="13">
        <f>IF('Données projet'!$A$36&gt;35,N143+M144-V143,IF(A144&lt;'Données projet'!$A$36,$K$205^A144,IF(A144='Données projet'!$A$36,'Données projet'!$B$36,N143+M144-V143)))</f>
        <v>438.75300000000061</v>
      </c>
      <c r="O144" s="13">
        <f>N144*VLOOKUP('Données projet'!$B$9,Paramètres!$A$1:$I$89,3,0)*VLOOKUP('Données projet'!$B$9,Paramètres!$A$1:$I$89,5,0)</f>
        <v>396.98371440000057</v>
      </c>
      <c r="P144" s="13">
        <f t="shared" si="141"/>
        <v>91.164890478045521</v>
      </c>
      <c r="Q144" s="20">
        <f t="shared" si="108"/>
        <v>850.19215349593026</v>
      </c>
      <c r="R144" s="59">
        <f t="shared" si="109"/>
        <v>1143.5254868292636</v>
      </c>
      <c r="S144" s="59">
        <f ca="1">AVERAGE(OFFSET($R$3,0,0,'Données projet'!$E$9+1,1))-AVERAGE(OFFSET($H$3,0,0,'Données projet'!$E$9+1,1))</f>
        <v>581.88778927327667</v>
      </c>
      <c r="T144" s="59">
        <f t="shared" si="142"/>
        <v>269.67340993773422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58.213543414279989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58.213543414279989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8.1590000000000025</v>
      </c>
      <c r="AI144" s="13">
        <f>IF('Données projet'!$A$62&gt;35,AI143+AH144-AQ143,IF(A144&lt;'Données projet'!$A$62,$AF$205^A144,IF(A144='Données projet'!$A$62,'Données projet'!$B$62,AI143+AH144-AQ143)))</f>
        <v>438.75300000000061</v>
      </c>
      <c r="AJ144" s="13">
        <f>AI144*VLOOKUP('Données projet'!$B$10,Paramètres!$A$1:$I$89,3,0)*VLOOKUP('Données projet'!$B$10,Paramètres!$A$1:$I$89,5,0)</f>
        <v>444.89554200000066</v>
      </c>
      <c r="AK144" s="13">
        <f t="shared" si="143"/>
        <v>100.82143659817152</v>
      </c>
      <c r="AL144" s="20">
        <f t="shared" si="112"/>
        <v>950.45707105848317</v>
      </c>
      <c r="AM144" s="59">
        <f t="shared" si="113"/>
        <v>1243.7904043918165</v>
      </c>
      <c r="AN144" s="59">
        <f ca="1">AVERAGE(OFFSET($AM$3,0,0,'Données projet'!$E$10+1,1))-AVERAGE(OFFSET($H$3,0,0,'Données projet'!$E$10+1,1))</f>
        <v>646.50767193970182</v>
      </c>
      <c r="AO144" s="59">
        <f t="shared" si="144"/>
        <v>297.06786598620607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65.239315895313794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65.239315895313794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8.1590000000000025</v>
      </c>
      <c r="N145" s="13">
        <f>IF('Données projet'!$A$36&gt;35,N144+M145-V144,IF(A145&lt;'Données projet'!$A$36,$K$205^A145,IF(A145='Données projet'!$A$36,'Données projet'!$B$36,N144+M145-V144)))</f>
        <v>446.9120000000006</v>
      </c>
      <c r="O145" s="13">
        <f>N145*VLOOKUP('Données projet'!$B$9,Paramètres!$A$1:$I$89,3,0)*VLOOKUP('Données projet'!$B$9,Paramètres!$A$1:$I$89,5,0)</f>
        <v>404.36597760000052</v>
      </c>
      <c r="P145" s="13">
        <f t="shared" si="141"/>
        <v>92.66124016608812</v>
      </c>
      <c r="Q145" s="20">
        <f t="shared" si="108"/>
        <v>865.655737609271</v>
      </c>
      <c r="R145" s="59">
        <f t="shared" si="109"/>
        <v>1158.9890709426043</v>
      </c>
      <c r="S145" s="59">
        <f ca="1">AVERAGE(OFFSET($R$3,0,0,'Données projet'!$E$9+1,1))-AVERAGE(OFFSET($H$3,0,0,'Données projet'!$E$9+1,1))</f>
        <v>581.88778927327667</v>
      </c>
      <c r="T145" s="59">
        <f t="shared" si="142"/>
        <v>269.67340993773422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57.072011334681441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57.072011334681441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8.1590000000000025</v>
      </c>
      <c r="AI145" s="13">
        <f>IF('Données projet'!$A$62&gt;35,AI144+AH145-AQ144,IF(A145&lt;'Données projet'!$A$62,$AF$205^A145,IF(A145='Données projet'!$A$62,'Données projet'!$B$62,AI144+AH145-AQ144)))</f>
        <v>446.9120000000006</v>
      </c>
      <c r="AJ145" s="13">
        <f>AI145*VLOOKUP('Données projet'!$B$10,Paramètres!$A$1:$I$89,3,0)*VLOOKUP('Données projet'!$B$10,Paramètres!$A$1:$I$89,5,0)</f>
        <v>453.16876800000063</v>
      </c>
      <c r="AK145" s="13">
        <f t="shared" si="143"/>
        <v>102.47628556920169</v>
      </c>
      <c r="AL145" s="20">
        <f t="shared" si="112"/>
        <v>967.74846829969408</v>
      </c>
      <c r="AM145" s="59">
        <f t="shared" si="113"/>
        <v>1261.0818016330275</v>
      </c>
      <c r="AN145" s="59">
        <f ca="1">AVERAGE(OFFSET($AM$3,0,0,'Données projet'!$E$10+1,1))-AVERAGE(OFFSET($H$3,0,0,'Données projet'!$E$10+1,1))</f>
        <v>646.50767193970182</v>
      </c>
      <c r="AO145" s="59">
        <f t="shared" si="144"/>
        <v>297.06786598620607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63.960012702660251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63.960012702660251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8.1590000000000025</v>
      </c>
      <c r="N146" s="13">
        <f>IF('Données projet'!$A$36&gt;35,N145+M146-V145,IF(A146&lt;'Données projet'!$A$36,$K$205^A146,IF(A146='Données projet'!$A$36,'Données projet'!$B$36,N145+M146-V145)))</f>
        <v>455.07100000000059</v>
      </c>
      <c r="O146" s="13">
        <f>N146*VLOOKUP('Données projet'!$B$9,Paramètres!$A$1:$I$89,3,0)*VLOOKUP('Données projet'!$B$9,Paramètres!$A$1:$I$89,5,0)</f>
        <v>411.74824080000053</v>
      </c>
      <c r="P146" s="13">
        <f t="shared" si="141"/>
        <v>94.15441323509782</v>
      </c>
      <c r="Q146" s="20">
        <f t="shared" si="108"/>
        <v>881.11378911112968</v>
      </c>
      <c r="R146" s="59">
        <f t="shared" si="109"/>
        <v>1174.447122444463</v>
      </c>
      <c r="S146" s="59">
        <f ca="1">AVERAGE(OFFSET($R$3,0,0,'Données projet'!$E$9+1,1))-AVERAGE(OFFSET($H$3,0,0,'Données projet'!$E$9+1,1))</f>
        <v>581.88778927327667</v>
      </c>
      <c r="T146" s="59">
        <f t="shared" si="142"/>
        <v>269.67340993773422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55.952864002898004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55.952864002898004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8.1590000000000025</v>
      </c>
      <c r="AI146" s="13">
        <f>IF('Données projet'!$A$62&gt;35,AI145+AH146-AQ145,IF(A146&lt;'Données projet'!$A$62,$AF$205^A146,IF(A146='Données projet'!$A$62,'Données projet'!$B$62,AI145+AH146-AQ145)))</f>
        <v>455.07100000000059</v>
      </c>
      <c r="AJ146" s="13">
        <f>AI146*VLOOKUP('Données projet'!$B$10,Paramètres!$A$1:$I$89,3,0)*VLOOKUP('Données projet'!$B$10,Paramètres!$A$1:$I$89,5,0)</f>
        <v>461.44199400000065</v>
      </c>
      <c r="AK146" s="13">
        <f t="shared" si="143"/>
        <v>104.12762144113498</v>
      </c>
      <c r="AL146" s="20">
        <f t="shared" si="112"/>
        <v>985.03374689331122</v>
      </c>
      <c r="AM146" s="59">
        <f t="shared" si="113"/>
        <v>1278.3670802266445</v>
      </c>
      <c r="AN146" s="59">
        <f ca="1">AVERAGE(OFFSET($AM$3,0,0,'Données projet'!$E$10+1,1))-AVERAGE(OFFSET($H$3,0,0,'Données projet'!$E$10+1,1))</f>
        <v>646.50767193970182</v>
      </c>
      <c r="AO146" s="59">
        <f t="shared" si="144"/>
        <v>297.06786598620607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62.705795865316738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62.705795865316738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>
        <f>VLOOKUP(A147,'Données projet'!$A$35:$I$55,2,0)</f>
        <v>463.23</v>
      </c>
      <c r="L147" s="12">
        <f>VLOOKUP(A147,'Données projet'!$A$35:$I$55,9,0)</f>
        <v>8.1590000000000025</v>
      </c>
      <c r="M147" s="12">
        <f t="array" ref="M147">INDEX(L:L,MIN(IF(ISNUMBER(L147:L343),ROW(L147:L343),"")))</f>
        <v>8.1590000000000025</v>
      </c>
      <c r="N147" s="13">
        <f>IF('Données projet'!$A$36&gt;35,N146+M147-V146,IF(A147&lt;'Données projet'!$A$36,$K$205^A147,IF(A147='Données projet'!$A$36,'Données projet'!$B$36,N146+M147-V146)))</f>
        <v>463.23000000000059</v>
      </c>
      <c r="O147" s="13">
        <f>N147*VLOOKUP('Données projet'!$B$9,Paramètres!$A$1:$I$89,3,0)*VLOOKUP('Données projet'!$B$9,Paramètres!$A$1:$I$89,5,0)</f>
        <v>419.13050400000049</v>
      </c>
      <c r="P147" s="13">
        <f t="shared" si="141"/>
        <v>95.644473208887277</v>
      </c>
      <c r="Q147" s="20">
        <f t="shared" si="108"/>
        <v>896.56641863881293</v>
      </c>
      <c r="R147" s="59">
        <f t="shared" si="109"/>
        <v>1189.8997519721463</v>
      </c>
      <c r="S147" s="59">
        <f ca="1">AVERAGE(OFFSET($R$3,0,0,'Données projet'!$E$9+1,1))-AVERAGE(OFFSET($H$3,0,0,'Données projet'!$E$9+1,1))</f>
        <v>581.88778927327667</v>
      </c>
      <c r="T147" s="59">
        <f t="shared" si="142"/>
        <v>269.67340993773422</v>
      </c>
      <c r="U147" s="15">
        <f>IF(ISNA(VLOOKUP(A147,'Données projet'!$A$35:$I$55,3,0)),0,VLOOKUP(A147,'Données projet'!$A$35:$I$55,3,0))</f>
        <v>12</v>
      </c>
      <c r="V147" s="15">
        <f>IF(ISNA(VLOOKUP(A147,'Données projet'!$A$35:$I$55,4,0)),0,VLOOKUP(A147,'Données projet'!$A$35:$I$55,4,0))</f>
        <v>56.01</v>
      </c>
      <c r="W147" s="16">
        <f>IF(ISNA(VLOOKUP(A147,'Données projet'!$A$35:$I$55,5,0)),0%,VLOOKUP(A147,'Données projet'!$A$35:$I$55,5,0)*VLOOKUP('Données projet'!$B$9,Paramètres!$A$1:$I$89,7,0))</f>
        <v>0.25800000000000001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69.309560312196439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69.309560312196439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463.23</v>
      </c>
      <c r="AG147" s="12">
        <f>VLOOKUP(A147,'Données projet'!$A$61:$I$81,9,0)</f>
        <v>8.1590000000000025</v>
      </c>
      <c r="AH147" s="12">
        <f t="array" ref="AH147">INDEX(AG:AG,MIN(IF(ISNUMBER(AG147:AG343),ROW(AG147:AG343),"")))</f>
        <v>8.1590000000000025</v>
      </c>
      <c r="AI147" s="13">
        <f>IF('Données projet'!$A$62&gt;35,AI146+AH147-AQ146,IF(A147&lt;'Données projet'!$A$62,$AF$205^A147,IF(A147='Données projet'!$A$62,'Données projet'!$B$62,AI146+AH147-AQ146)))</f>
        <v>463.23000000000059</v>
      </c>
      <c r="AJ147" s="13">
        <f>AI147*VLOOKUP('Données projet'!$B$10,Paramètres!$A$1:$I$89,3,0)*VLOOKUP('Données projet'!$B$10,Paramètres!$A$1:$I$89,5,0)</f>
        <v>469.71522000000061</v>
      </c>
      <c r="AK147" s="13">
        <f t="shared" si="143"/>
        <v>105.77551446647743</v>
      </c>
      <c r="AL147" s="20">
        <f t="shared" si="112"/>
        <v>1002.3130291957826</v>
      </c>
      <c r="AM147" s="59">
        <f t="shared" si="113"/>
        <v>1295.646362529116</v>
      </c>
      <c r="AN147" s="59">
        <f ca="1">AVERAGE(OFFSET($AM$3,0,0,'Données projet'!$E$10+1,1))-AVERAGE(OFFSET($H$3,0,0,'Données projet'!$E$10+1,1))</f>
        <v>646.50767193970182</v>
      </c>
      <c r="AO147" s="59">
        <f t="shared" si="144"/>
        <v>297.06786598620607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0.25800000000000001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77.674507246427055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77.674507246427055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8.3249999999999993</v>
      </c>
      <c r="N148" s="13">
        <f>IF('Données projet'!$A$36&gt;35,N147+M148-V147,IF(A148&lt;'Données projet'!$A$36,$K$205^A148,IF(A148='Données projet'!$A$36,'Données projet'!$B$36,N147+M148-V147)))</f>
        <v>415.54500000000058</v>
      </c>
      <c r="O148" s="13">
        <f>N148*VLOOKUP('Données projet'!$B$9,Paramètres!$A$1:$I$89,3,0)*VLOOKUP('Données projet'!$B$9,Paramètres!$A$1:$I$89,5,0)</f>
        <v>375.98511600000052</v>
      </c>
      <c r="P148" s="13">
        <f t="shared" si="141"/>
        <v>86.890611547517153</v>
      </c>
      <c r="Q148" s="20">
        <f t="shared" si="108"/>
        <v>806.17522547859323</v>
      </c>
      <c r="R148" s="59">
        <f t="shared" si="109"/>
        <v>1099.5085588119266</v>
      </c>
      <c r="S148" s="59">
        <f ca="1">AVERAGE(OFFSET($R$3,0,0,'Données projet'!$E$9+1,1))-AVERAGE(OFFSET($H$3,0,0,'Données projet'!$E$9+1,1))</f>
        <v>581.88778927327667</v>
      </c>
      <c r="T148" s="59">
        <f t="shared" si="142"/>
        <v>269.67340993773422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67.950442109131785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67.950442109131785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8.3249999999999993</v>
      </c>
      <c r="AI148" s="13">
        <f>IF('Données projet'!$A$62&gt;35,AI147+AH148-AQ147,IF(A148&lt;'Données projet'!$A$62,$AF$205^A148,IF(A148='Données projet'!$A$62,'Données projet'!$B$62,AI147+AH148-AQ147)))</f>
        <v>415.54500000000058</v>
      </c>
      <c r="AJ148" s="13">
        <f>AI148*VLOOKUP('Données projet'!$B$10,Paramètres!$A$1:$I$89,3,0)*VLOOKUP('Données projet'!$B$10,Paramètres!$A$1:$I$89,5,0)</f>
        <v>421.36263000000059</v>
      </c>
      <c r="AK148" s="13">
        <f t="shared" si="143"/>
        <v>96.094409121503247</v>
      </c>
      <c r="AL148" s="20">
        <f t="shared" si="112"/>
        <v>901.23767646995248</v>
      </c>
      <c r="AM148" s="59">
        <f t="shared" si="113"/>
        <v>1194.5710098032857</v>
      </c>
      <c r="AN148" s="59">
        <f ca="1">AVERAGE(OFFSET($AM$3,0,0,'Données projet'!$E$10+1,1))-AVERAGE(OFFSET($H$3,0,0,'Données projet'!$E$10+1,1))</f>
        <v>646.50767193970182</v>
      </c>
      <c r="AO148" s="59">
        <f t="shared" si="144"/>
        <v>297.06786598620607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76.151357536095972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76.151357536095972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8.3249999999999993</v>
      </c>
      <c r="N149" s="13">
        <f>IF('Données projet'!$A$36&gt;35,N148+M149-V148,IF(A149&lt;'Données projet'!$A$36,$K$205^A149,IF(A149='Données projet'!$A$36,'Données projet'!$B$36,N148+M149-V148)))</f>
        <v>423.87000000000057</v>
      </c>
      <c r="O149" s="13">
        <f>N149*VLOOKUP('Données projet'!$B$9,Paramètres!$A$1:$I$89,3,0)*VLOOKUP('Données projet'!$B$9,Paramètres!$A$1:$I$89,5,0)</f>
        <v>383.51757600000053</v>
      </c>
      <c r="P149" s="13">
        <f t="shared" si="141"/>
        <v>88.426967368766455</v>
      </c>
      <c r="Q149" s="20">
        <f t="shared" si="108"/>
        <v>821.97007970060247</v>
      </c>
      <c r="R149" s="59">
        <f t="shared" si="109"/>
        <v>1115.3034130339358</v>
      </c>
      <c r="S149" s="59">
        <f ca="1">AVERAGE(OFFSET($R$3,0,0,'Données projet'!$E$9+1,1))-AVERAGE(OFFSET($H$3,0,0,'Données projet'!$E$9+1,1))</f>
        <v>581.88778927327667</v>
      </c>
      <c r="T149" s="59">
        <f t="shared" si="142"/>
        <v>269.67340993773422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66.617975385048979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66.617975385048979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8.3249999999999993</v>
      </c>
      <c r="AI149" s="13">
        <f>IF('Données projet'!$A$62&gt;35,AI148+AH149-AQ148,IF(A149&lt;'Données projet'!$A$62,$AF$205^A149,IF(A149='Données projet'!$A$62,'Données projet'!$B$62,AI148+AH149-AQ148)))</f>
        <v>423.87000000000057</v>
      </c>
      <c r="AJ149" s="13">
        <f>AI149*VLOOKUP('Données projet'!$B$10,Paramètres!$A$1:$I$89,3,0)*VLOOKUP('Données projet'!$B$10,Paramètres!$A$1:$I$89,5,0)</f>
        <v>429.8041800000006</v>
      </c>
      <c r="AK149" s="13">
        <f t="shared" si="143"/>
        <v>97.793501833753268</v>
      </c>
      <c r="AL149" s="20">
        <f t="shared" si="112"/>
        <v>918.89929586045457</v>
      </c>
      <c r="AM149" s="59">
        <f t="shared" si="113"/>
        <v>1212.2326291937879</v>
      </c>
      <c r="AN149" s="59">
        <f ca="1">AVERAGE(OFFSET($AM$3,0,0,'Données projet'!$E$10+1,1))-AVERAGE(OFFSET($H$3,0,0,'Données projet'!$E$10+1,1))</f>
        <v>646.50767193970182</v>
      </c>
      <c r="AO149" s="59">
        <f t="shared" si="144"/>
        <v>297.06786598620607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74.658075862554895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74.658075862554895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8.3249999999999993</v>
      </c>
      <c r="N150" s="13">
        <f>IF('Données projet'!$A$36&gt;35,N149+M150-V149,IF(A150&lt;'Données projet'!$A$36,$K$205^A150,IF(A150='Données projet'!$A$36,'Données projet'!$B$36,N149+M150-V149)))</f>
        <v>432.19500000000056</v>
      </c>
      <c r="O150" s="13">
        <f>N150*VLOOKUP('Données projet'!$B$9,Paramètres!$A$1:$I$89,3,0)*VLOOKUP('Données projet'!$B$9,Paramètres!$A$1:$I$89,5,0)</f>
        <v>391.05003600000049</v>
      </c>
      <c r="P150" s="13">
        <f t="shared" si="141"/>
        <v>89.959814624965674</v>
      </c>
      <c r="Q150" s="20">
        <f t="shared" si="108"/>
        <v>837.75882317181595</v>
      </c>
      <c r="R150" s="59">
        <f t="shared" si="109"/>
        <v>1131.0921565051492</v>
      </c>
      <c r="S150" s="59">
        <f ca="1">AVERAGE(OFFSET($R$3,0,0,'Données projet'!$E$9+1,1))-AVERAGE(OFFSET($H$3,0,0,'Données projet'!$E$9+1,1))</f>
        <v>581.88778927327667</v>
      </c>
      <c r="T150" s="59">
        <f t="shared" si="142"/>
        <v>269.67340993773422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65.311637520700984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65.311637520700984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8.3249999999999993</v>
      </c>
      <c r="AI150" s="13">
        <f>IF('Données projet'!$A$62&gt;35,AI149+AH150-AQ149,IF(A150&lt;'Données projet'!$A$62,$AF$205^A150,IF(A150='Données projet'!$A$62,'Données projet'!$B$62,AI149+AH150-AQ149)))</f>
        <v>432.19500000000056</v>
      </c>
      <c r="AJ150" s="13">
        <f>AI150*VLOOKUP('Données projet'!$B$10,Paramètres!$A$1:$I$89,3,0)*VLOOKUP('Données projet'!$B$10,Paramètres!$A$1:$I$89,5,0)</f>
        <v>438.24573000000061</v>
      </c>
      <c r="AK150" s="13">
        <f t="shared" si="143"/>
        <v>99.488714339852734</v>
      </c>
      <c r="AL150" s="20">
        <f t="shared" si="112"/>
        <v>936.55415722524458</v>
      </c>
      <c r="AM150" s="59">
        <f t="shared" si="113"/>
        <v>1229.8874905585778</v>
      </c>
      <c r="AN150" s="59">
        <f ca="1">AVERAGE(OFFSET($AM$3,0,0,'Données projet'!$E$10+1,1))-AVERAGE(OFFSET($H$3,0,0,'Données projet'!$E$10+1,1))</f>
        <v>646.50767193970182</v>
      </c>
      <c r="AO150" s="59">
        <f t="shared" si="144"/>
        <v>297.06786598620607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73.194076531820073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73.194076531820073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8.3249999999999993</v>
      </c>
      <c r="N151" s="13">
        <f>IF('Données projet'!$A$36&gt;35,N150+M151-V150,IF(A151&lt;'Données projet'!$A$36,$K$205^A151,IF(A151='Données projet'!$A$36,'Données projet'!$B$36,N150+M151-V150)))</f>
        <v>440.52000000000055</v>
      </c>
      <c r="O151" s="13">
        <f>N151*VLOOKUP('Données projet'!$B$9,Paramètres!$A$1:$I$89,3,0)*VLOOKUP('Données projet'!$B$9,Paramètres!$A$1:$I$89,5,0)</f>
        <v>398.5824960000005</v>
      </c>
      <c r="P151" s="13">
        <f t="shared" si="141"/>
        <v>91.489228690064536</v>
      </c>
      <c r="Q151" s="20">
        <f t="shared" si="108"/>
        <v>853.54158716852999</v>
      </c>
      <c r="R151" s="59">
        <f t="shared" si="109"/>
        <v>1146.8749205018632</v>
      </c>
      <c r="S151" s="59">
        <f ca="1">AVERAGE(OFFSET($R$3,0,0,'Données projet'!$E$9+1,1))-AVERAGE(OFFSET($H$3,0,0,'Données projet'!$E$9+1,1))</f>
        <v>581.88778927327667</v>
      </c>
      <c r="T151" s="59">
        <f t="shared" si="142"/>
        <v>269.67340993773422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64.030916145085428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64.030916145085428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8.3249999999999993</v>
      </c>
      <c r="AI151" s="13">
        <f>IF('Données projet'!$A$62&gt;35,AI150+AH151-AQ150,IF(A151&lt;'Données projet'!$A$62,$AF$205^A151,IF(A151='Données projet'!$A$62,'Données projet'!$B$62,AI150+AH151-AQ150)))</f>
        <v>440.52000000000055</v>
      </c>
      <c r="AJ151" s="13">
        <f>AI151*VLOOKUP('Données projet'!$B$10,Paramètres!$A$1:$I$89,3,0)*VLOOKUP('Données projet'!$B$10,Paramètres!$A$1:$I$89,5,0)</f>
        <v>446.68728000000056</v>
      </c>
      <c r="AK151" s="13">
        <f t="shared" si="143"/>
        <v>101.18012999765861</v>
      </c>
      <c r="AL151" s="20">
        <f t="shared" si="112"/>
        <v>954.20240574592299</v>
      </c>
      <c r="AM151" s="59">
        <f t="shared" si="113"/>
        <v>1247.5357390792562</v>
      </c>
      <c r="AN151" s="59">
        <f ca="1">AVERAGE(OFFSET($AM$3,0,0,'Données projet'!$E$10+1,1))-AVERAGE(OFFSET($H$3,0,0,'Données projet'!$E$10+1,1))</f>
        <v>646.50767193970182</v>
      </c>
      <c r="AO151" s="59">
        <f t="shared" si="144"/>
        <v>297.06786598620607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71.758785335009534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71.758785335009534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8.3249999999999993</v>
      </c>
      <c r="N152" s="13">
        <f>IF('Données projet'!$A$36&gt;35,N151+M152-V151,IF(A152&lt;'Données projet'!$A$36,$K$205^A152,IF(A152='Données projet'!$A$36,'Données projet'!$B$36,N151+M152-V151)))</f>
        <v>448.84500000000054</v>
      </c>
      <c r="O152" s="13">
        <f>N152*VLOOKUP('Données projet'!$B$9,Paramètres!$A$1:$I$89,3,0)*VLOOKUP('Données projet'!$B$9,Paramètres!$A$1:$I$89,5,0)</f>
        <v>406.11495600000046</v>
      </c>
      <c r="P152" s="13">
        <f t="shared" si="141"/>
        <v>93.015281926133852</v>
      </c>
      <c r="Q152" s="20">
        <f t="shared" si="108"/>
        <v>869.31849772135058</v>
      </c>
      <c r="R152" s="59">
        <f t="shared" si="109"/>
        <v>1162.651831054684</v>
      </c>
      <c r="S152" s="59">
        <f ca="1">AVERAGE(OFFSET($R$3,0,0,'Données projet'!$E$9+1,1))-AVERAGE(OFFSET($H$3,0,0,'Données projet'!$E$9+1,1))</f>
        <v>581.88778927327667</v>
      </c>
      <c r="T152" s="59">
        <f t="shared" si="142"/>
        <v>269.67340993773422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62.775308934482787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62.775308934482787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8.3249999999999993</v>
      </c>
      <c r="AI152" s="13">
        <f>IF('Données projet'!$A$62&gt;35,AI151+AH152-AQ151,IF(A152&lt;'Données projet'!$A$62,$AF$205^A152,IF(A152='Données projet'!$A$62,'Données projet'!$B$62,AI151+AH152-AQ151)))</f>
        <v>448.84500000000054</v>
      </c>
      <c r="AJ152" s="13">
        <f>AI152*VLOOKUP('Données projet'!$B$10,Paramètres!$A$1:$I$89,3,0)*VLOOKUP('Données projet'!$B$10,Paramètres!$A$1:$I$89,5,0)</f>
        <v>455.12883000000056</v>
      </c>
      <c r="AK152" s="13">
        <f t="shared" si="143"/>
        <v>102.86782883411858</v>
      </c>
      <c r="AL152" s="20">
        <f t="shared" si="112"/>
        <v>971.84418080275736</v>
      </c>
      <c r="AM152" s="59">
        <f t="shared" si="113"/>
        <v>1265.1775141360906</v>
      </c>
      <c r="AN152" s="59">
        <f ca="1">AVERAGE(OFFSET($AM$3,0,0,'Données projet'!$E$10+1,1))-AVERAGE(OFFSET($H$3,0,0,'Données projet'!$E$10+1,1))</f>
        <v>646.50767193970182</v>
      </c>
      <c r="AO152" s="59">
        <f t="shared" si="144"/>
        <v>297.06786598620607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70.351639323127273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70.351639323127273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8.3249999999999993</v>
      </c>
      <c r="N153" s="13">
        <f>IF('Données projet'!$A$36&gt;35,N152+M153-V152,IF(A153&lt;'Données projet'!$A$36,$K$205^A153,IF(A153='Données projet'!$A$36,'Données projet'!$B$36,N152+M153-V152)))</f>
        <v>457.17000000000053</v>
      </c>
      <c r="O153" s="13">
        <f>N153*VLOOKUP('Données projet'!$B$9,Paramètres!$A$1:$I$89,3,0)*VLOOKUP('Données projet'!$B$9,Paramètres!$A$1:$I$89,5,0)</f>
        <v>413.64741600000042</v>
      </c>
      <c r="P153" s="13">
        <f t="shared" si="141"/>
        <v>94.538043857309361</v>
      </c>
      <c r="Q153" s="20">
        <f t="shared" si="108"/>
        <v>885.0896759181478</v>
      </c>
      <c r="R153" s="59">
        <f t="shared" si="109"/>
        <v>1178.4230092514811</v>
      </c>
      <c r="S153" s="59">
        <f ca="1">AVERAGE(OFFSET($R$3,0,0,'Données projet'!$E$9+1,1))-AVERAGE(OFFSET($H$3,0,0,'Données projet'!$E$9+1,1))</f>
        <v>581.88778927327667</v>
      </c>
      <c r="T153" s="59">
        <f t="shared" si="142"/>
        <v>269.67340993773422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61.544323415435287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61.544323415435287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8.3249999999999993</v>
      </c>
      <c r="AI153" s="13">
        <f>IF('Données projet'!$A$62&gt;35,AI152+AH153-AQ152,IF(A153&lt;'Données projet'!$A$62,$AF$205^A153,IF(A153='Données projet'!$A$62,'Données projet'!$B$62,AI152+AH153-AQ152)))</f>
        <v>457.17000000000053</v>
      </c>
      <c r="AJ153" s="13">
        <f>AI153*VLOOKUP('Données projet'!$B$10,Paramètres!$A$1:$I$89,3,0)*VLOOKUP('Données projet'!$B$10,Paramètres!$A$1:$I$89,5,0)</f>
        <v>463.57038000000057</v>
      </c>
      <c r="AK153" s="13">
        <f t="shared" si="143"/>
        <v>104.55188773764013</v>
      </c>
      <c r="AL153" s="20">
        <f t="shared" si="112"/>
        <v>989.47961630972395</v>
      </c>
      <c r="AM153" s="59">
        <f t="shared" si="113"/>
        <v>1282.8129496430572</v>
      </c>
      <c r="AN153" s="59">
        <f ca="1">AVERAGE(OFFSET($AM$3,0,0,'Données projet'!$E$10+1,1))-AVERAGE(OFFSET($H$3,0,0,'Données projet'!$E$10+1,1))</f>
        <v>646.50767193970182</v>
      </c>
      <c r="AO153" s="59">
        <f t="shared" si="144"/>
        <v>297.06786598620607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68.9720865862637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68.9720865862637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8.3249999999999993</v>
      </c>
      <c r="N154" s="13">
        <f>IF('Données projet'!$A$36&gt;35,N153+M154-V153,IF(A154&lt;'Données projet'!$A$36,$K$205^A154,IF(A154='Données projet'!$A$36,'Données projet'!$B$36,N153+M154-V153)))</f>
        <v>465.49500000000052</v>
      </c>
      <c r="O154" s="13">
        <f>N154*VLOOKUP('Données projet'!$B$9,Paramètres!$A$1:$I$89,3,0)*VLOOKUP('Données projet'!$B$9,Paramètres!$A$1:$I$89,5,0)</f>
        <v>421.17987600000043</v>
      </c>
      <c r="P154" s="13">
        <f t="shared" si="141"/>
        <v>96.057581330707137</v>
      </c>
      <c r="Q154" s="20">
        <f t="shared" ref="Q154:Q203" si="162">(O154+P154)*0.475*44/12</f>
        <v>900.85523818431557</v>
      </c>
      <c r="R154" s="59">
        <f t="shared" si="109"/>
        <v>1194.1885715176488</v>
      </c>
      <c r="S154" s="59">
        <f ca="1">AVERAGE(OFFSET($R$3,0,0,'Données projet'!$E$9+1,1))-AVERAGE(OFFSET($H$3,0,0,'Données projet'!$E$9+1,1))</f>
        <v>581.88778927327667</v>
      </c>
      <c r="T154" s="59">
        <f t="shared" si="142"/>
        <v>269.67340993773422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60.33747677158928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60.33747677158928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8.3249999999999993</v>
      </c>
      <c r="AI154" s="13">
        <f>IF('Données projet'!$A$62&gt;35,AI153+AH154-AQ153,IF(A154&lt;'Données projet'!$A$62,$AF$205^A154,IF(A154='Données projet'!$A$62,'Données projet'!$B$62,AI153+AH154-AQ153)))</f>
        <v>465.49500000000052</v>
      </c>
      <c r="AJ154" s="13">
        <f>AI154*VLOOKUP('Données projet'!$B$10,Paramètres!$A$1:$I$89,3,0)*VLOOKUP('Données projet'!$B$10,Paramètres!$A$1:$I$89,5,0)</f>
        <v>472.01193000000058</v>
      </c>
      <c r="AK154" s="13">
        <f t="shared" ref="AK154:AK203" si="164">EXP(-1.0587+0.8836*LN(AJ154)+0.284)</f>
        <v>106.23238063605056</v>
      </c>
      <c r="AL154" s="20">
        <f t="shared" ref="AL154:AL203" si="165">(AJ154+AK154)*0.475*44/12</f>
        <v>1007.108841024456</v>
      </c>
      <c r="AM154" s="59">
        <f t="shared" si="113"/>
        <v>1300.4421743577893</v>
      </c>
      <c r="AN154" s="59">
        <f ca="1">AVERAGE(OFFSET($AM$3,0,0,'Données projet'!$E$10+1,1))-AVERAGE(OFFSET($H$3,0,0,'Données projet'!$E$10+1,1))</f>
        <v>646.50767193970182</v>
      </c>
      <c r="AO154" s="59">
        <f t="shared" si="144"/>
        <v>297.06786598620607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67.619586037125941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67.619586037125941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8.3249999999999993</v>
      </c>
      <c r="N155" s="13">
        <f>IF('Données projet'!$A$36&gt;35,N154+M155-V154,IF(A155&lt;'Données projet'!$A$36,$K$205^A155,IF(A155='Données projet'!$A$36,'Données projet'!$B$36,N154+M155-V154)))</f>
        <v>473.8200000000005</v>
      </c>
      <c r="O155" s="13">
        <f>N155*VLOOKUP('Données projet'!$B$9,Paramètres!$A$1:$I$89,3,0)*VLOOKUP('Données projet'!$B$9,Paramètres!$A$1:$I$89,5,0)</f>
        <v>428.71233600000051</v>
      </c>
      <c r="P155" s="13">
        <f t="shared" si="141"/>
        <v>97.57395866550209</v>
      </c>
      <c r="Q155" s="20">
        <f t="shared" si="162"/>
        <v>916.61529654241701</v>
      </c>
      <c r="R155" s="59">
        <f t="shared" si="109"/>
        <v>1209.9486298757504</v>
      </c>
      <c r="S155" s="59">
        <f ca="1">AVERAGE(OFFSET($R$3,0,0,'Données projet'!$E$9+1,1))-AVERAGE(OFFSET($H$3,0,0,'Données projet'!$E$9+1,1))</f>
        <v>581.88778927327667</v>
      </c>
      <c r="T155" s="59">
        <f t="shared" si="142"/>
        <v>269.67340993773422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59.154295654325324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59.154295654325324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8.3249999999999993</v>
      </c>
      <c r="AI155" s="13">
        <f>IF('Données projet'!$A$62&gt;35,AI154+AH155-AQ154,IF(A155&lt;'Données projet'!$A$62,$AF$205^A155,IF(A155='Données projet'!$A$62,'Données projet'!$B$62,AI154+AH155-AQ154)))</f>
        <v>473.8200000000005</v>
      </c>
      <c r="AJ155" s="13">
        <f>AI155*VLOOKUP('Données projet'!$B$10,Paramètres!$A$1:$I$89,3,0)*VLOOKUP('Données projet'!$B$10,Paramètres!$A$1:$I$89,5,0)</f>
        <v>480.45348000000058</v>
      </c>
      <c r="AK155" s="13">
        <f t="shared" si="164"/>
        <v>107.90937866146631</v>
      </c>
      <c r="AL155" s="20">
        <f t="shared" si="165"/>
        <v>1024.7319788353882</v>
      </c>
      <c r="AM155" s="59">
        <f t="shared" si="113"/>
        <v>1318.0653121687214</v>
      </c>
      <c r="AN155" s="59">
        <f ca="1">AVERAGE(OFFSET($AM$3,0,0,'Données projet'!$E$10+1,1))-AVERAGE(OFFSET($H$3,0,0,'Données projet'!$E$10+1,1))</f>
        <v>646.50767193970182</v>
      </c>
      <c r="AO155" s="59">
        <f t="shared" si="144"/>
        <v>297.06786598620607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66.293607198812893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66.293607198812893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8.3249999999999993</v>
      </c>
      <c r="N156" s="13">
        <f>IF('Données projet'!$A$36&gt;35,N155+M156-V155,IF(A156&lt;'Données projet'!$A$36,$K$205^A156,IF(A156='Données projet'!$A$36,'Données projet'!$B$36,N155+M156-V155)))</f>
        <v>482.14500000000049</v>
      </c>
      <c r="O156" s="13">
        <f>N156*VLOOKUP('Données projet'!$B$9,Paramètres!$A$1:$I$89,3,0)*VLOOKUP('Données projet'!$B$9,Paramètres!$A$1:$I$89,5,0)</f>
        <v>436.24479600000041</v>
      </c>
      <c r="P156" s="13">
        <f t="shared" si="141"/>
        <v>99.087237791231857</v>
      </c>
      <c r="Q156" s="20">
        <f t="shared" si="162"/>
        <v>932.36995885306271</v>
      </c>
      <c r="R156" s="59">
        <f t="shared" si="109"/>
        <v>1225.7032921863961</v>
      </c>
      <c r="S156" s="59">
        <f ca="1">AVERAGE(OFFSET($R$3,0,0,'Données projet'!$E$9+1,1))-AVERAGE(OFFSET($H$3,0,0,'Données projet'!$E$9+1,1))</f>
        <v>581.88778927327667</v>
      </c>
      <c r="T156" s="59">
        <f t="shared" si="142"/>
        <v>269.67340993773422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57.994315997101694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57.994315997101694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8.3249999999999993</v>
      </c>
      <c r="AI156" s="13">
        <f>IF('Données projet'!$A$62&gt;35,AI155+AH156-AQ155,IF(A156&lt;'Données projet'!$A$62,$AF$205^A156,IF(A156='Données projet'!$A$62,'Données projet'!$B$62,AI155+AH156-AQ155)))</f>
        <v>482.14500000000049</v>
      </c>
      <c r="AJ156" s="13">
        <f>AI156*VLOOKUP('Données projet'!$B$10,Paramètres!$A$1:$I$89,3,0)*VLOOKUP('Données projet'!$B$10,Paramètres!$A$1:$I$89,5,0)</f>
        <v>488.89503000000053</v>
      </c>
      <c r="AK156" s="13">
        <f t="shared" si="164"/>
        <v>109.582950303247</v>
      </c>
      <c r="AL156" s="20">
        <f t="shared" si="165"/>
        <v>1042.349149028156</v>
      </c>
      <c r="AM156" s="59">
        <f t="shared" si="113"/>
        <v>1335.6824823614893</v>
      </c>
      <c r="AN156" s="59">
        <f ca="1">AVERAGE(OFFSET($AM$3,0,0,'Données projet'!$E$10+1,1))-AVERAGE(OFFSET($H$3,0,0,'Données projet'!$E$10+1,1))</f>
        <v>646.50767193970182</v>
      </c>
      <c r="AO156" s="59">
        <f t="shared" si="144"/>
        <v>297.06786598620607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64.993629996751935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64.993629996751935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>
        <f>VLOOKUP(A157,'Données projet'!$A$35:$I$55,2,0)</f>
        <v>490.47</v>
      </c>
      <c r="L157" s="12">
        <f>VLOOKUP(A157,'Données projet'!$A$35:$I$55,9,0)</f>
        <v>8.3249999999999993</v>
      </c>
      <c r="M157" s="12">
        <f t="array" ref="M157">INDEX(L:L,MIN(IF(ISNUMBER(L157:L353),ROW(L157:L353),"")))</f>
        <v>8.3249999999999993</v>
      </c>
      <c r="N157" s="13">
        <f>IF('Données projet'!$A$36&gt;35,N156+M157-V156,IF(A157&lt;'Données projet'!$A$36,$K$205^A157,IF(A157='Données projet'!$A$36,'Données projet'!$B$36,N156+M157-V156)))</f>
        <v>490.47000000000048</v>
      </c>
      <c r="O157" s="13">
        <f>N157*VLOOKUP('Données projet'!$B$9,Paramètres!$A$1:$I$89,3,0)*VLOOKUP('Données projet'!$B$9,Paramètres!$A$1:$I$89,5,0)</f>
        <v>443.77725600000048</v>
      </c>
      <c r="P157" s="13">
        <f t="shared" si="141"/>
        <v>100.59747837627934</v>
      </c>
      <c r="Q157" s="20">
        <f t="shared" si="162"/>
        <v>948.11932903868717</v>
      </c>
      <c r="R157" s="59">
        <f t="shared" si="109"/>
        <v>1241.4526623720205</v>
      </c>
      <c r="S157" s="59">
        <f ca="1">AVERAGE(OFFSET($R$3,0,0,'Données projet'!$E$9+1,1))-AVERAGE(OFFSET($H$3,0,0,'Données projet'!$E$9+1,1))</f>
        <v>581.88778927327667</v>
      </c>
      <c r="T157" s="59">
        <f t="shared" si="142"/>
        <v>269.67340993773422</v>
      </c>
      <c r="U157" s="15">
        <f>IF(ISNA(VLOOKUP(A157,'Données projet'!$A$35:$I$55,3,0)),0,VLOOKUP(A157,'Données projet'!$A$35:$I$55,3,0))</f>
        <v>13</v>
      </c>
      <c r="V157" s="15">
        <f>IF(ISNA(VLOOKUP(A157,'Données projet'!$A$35:$I$55,4,0)),0,VLOOKUP(A157,'Données projet'!$A$35:$I$55,4,0))</f>
        <v>55.13</v>
      </c>
      <c r="W157" s="16">
        <f>IF(ISNA(VLOOKUP(A157,'Données projet'!$A$35:$I$55,5,0)),0%,VLOOKUP(A157,'Données projet'!$A$35:$I$55,5,0)*VLOOKUP('Données projet'!$B$9,Paramètres!$A$1:$I$89,7,0))</f>
        <v>0.25800000000000001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71.083888549708462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71.083888549708462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490.47</v>
      </c>
      <c r="AG157" s="12">
        <f>VLOOKUP(A157,'Données projet'!$A$61:$I$81,9,0)</f>
        <v>8.3249999999999993</v>
      </c>
      <c r="AH157" s="12">
        <f t="array" ref="AH157">INDEX(AG:AG,MIN(IF(ISNUMBER(AG157:AG353),ROW(AG157:AG353),"")))</f>
        <v>8.3249999999999993</v>
      </c>
      <c r="AI157" s="13">
        <f>IF('Données projet'!$A$62&gt;35,AI156+AH157-AQ156,IF(A157&lt;'Données projet'!$A$62,$AF$205^A157,IF(A157='Données projet'!$A$62,'Données projet'!$B$62,AI156+AH157-AQ156)))</f>
        <v>490.47000000000048</v>
      </c>
      <c r="AJ157" s="13">
        <f>AI157*VLOOKUP('Données projet'!$B$10,Paramètres!$A$1:$I$89,3,0)*VLOOKUP('Données projet'!$B$10,Paramètres!$A$1:$I$89,5,0)</f>
        <v>497.33658000000054</v>
      </c>
      <c r="AK157" s="13">
        <f t="shared" si="164"/>
        <v>111.2531615500869</v>
      </c>
      <c r="AL157" s="20">
        <f t="shared" si="165"/>
        <v>1059.9604665330687</v>
      </c>
      <c r="AM157" s="59">
        <f t="shared" si="113"/>
        <v>1353.293799866402</v>
      </c>
      <c r="AN157" s="59">
        <f ca="1">AVERAGE(OFFSET($AM$3,0,0,'Données projet'!$E$10+1,1))-AVERAGE(OFFSET($H$3,0,0,'Données projet'!$E$10+1,1))</f>
        <v>646.50767193970182</v>
      </c>
      <c r="AO157" s="59">
        <f t="shared" si="144"/>
        <v>297.06786598620607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0.25800000000000001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79.662978547087107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79.662978547087107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8.4429999999999943</v>
      </c>
      <c r="N158" s="13">
        <f>IF('Données projet'!$A$36&gt;35,N157+M158-V157,IF(A158&lt;'Données projet'!$A$36,$K$205^A158,IF(A158='Données projet'!$A$36,'Données projet'!$B$36,N157+M158-V157)))</f>
        <v>443.78300000000047</v>
      </c>
      <c r="O158" s="13">
        <f>N158*VLOOKUP('Données projet'!$B$9,Paramètres!$A$1:$I$89,3,0)*VLOOKUP('Données projet'!$B$9,Paramètres!$A$1:$I$89,5,0)</f>
        <v>401.53485840000047</v>
      </c>
      <c r="P158" s="13">
        <f t="shared" si="141"/>
        <v>92.087764815279797</v>
      </c>
      <c r="Q158" s="20">
        <f t="shared" si="162"/>
        <v>859.72606876661303</v>
      </c>
      <c r="R158" s="59">
        <f t="shared" si="109"/>
        <v>1153.0594020999463</v>
      </c>
      <c r="S158" s="59">
        <f ca="1">AVERAGE(OFFSET($R$3,0,0,'Données projet'!$E$9+1,1))-AVERAGE(OFFSET($H$3,0,0,'Données projet'!$E$9+1,1))</f>
        <v>581.88778927327667</v>
      </c>
      <c r="T158" s="59">
        <f t="shared" si="142"/>
        <v>269.67340993773422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69.689976852139552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69.689976852139552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8.4429999999999943</v>
      </c>
      <c r="AI158" s="13">
        <f>IF('Données projet'!$A$62&gt;35,AI157+AH158-AQ157,IF(A158&lt;'Données projet'!$A$62,$AF$205^A158,IF(A158='Données projet'!$A$62,'Données projet'!$B$62,AI157+AH158-AQ157)))</f>
        <v>443.78300000000047</v>
      </c>
      <c r="AJ158" s="13">
        <f>AI158*VLOOKUP('Données projet'!$B$10,Paramètres!$A$1:$I$89,3,0)*VLOOKUP('Données projet'!$B$10,Paramètres!$A$1:$I$89,5,0)</f>
        <v>449.99596200000047</v>
      </c>
      <c r="AK158" s="13">
        <f t="shared" si="164"/>
        <v>101.84206543885381</v>
      </c>
      <c r="AL158" s="20">
        <f t="shared" si="165"/>
        <v>961.1178977893378</v>
      </c>
      <c r="AM158" s="59">
        <f t="shared" si="113"/>
        <v>1254.4512311226711</v>
      </c>
      <c r="AN158" s="59">
        <f ca="1">AVERAGE(OFFSET($AM$3,0,0,'Données projet'!$E$10+1,1))-AVERAGE(OFFSET($H$3,0,0,'Données projet'!$E$10+1,1))</f>
        <v>646.50767193970182</v>
      </c>
      <c r="AO158" s="59">
        <f t="shared" si="144"/>
        <v>297.06786598620607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78.100836127397812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78.100836127397812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8.4429999999999943</v>
      </c>
      <c r="N159" s="13">
        <f>IF('Données projet'!$A$36&gt;35,N158+M159-V158,IF(A159&lt;'Données projet'!$A$36,$K$205^A159,IF(A159='Données projet'!$A$36,'Données projet'!$B$36,N158+M159-V158)))</f>
        <v>452.22600000000045</v>
      </c>
      <c r="O159" s="13">
        <f>N159*VLOOKUP('Données projet'!$B$9,Paramètres!$A$1:$I$89,3,0)*VLOOKUP('Données projet'!$B$9,Paramètres!$A$1:$I$89,5,0)</f>
        <v>409.1740848000004</v>
      </c>
      <c r="P159" s="13">
        <f t="shared" si="141"/>
        <v>93.634108404325715</v>
      </c>
      <c r="Q159" s="20">
        <f t="shared" si="162"/>
        <v>875.72426983086791</v>
      </c>
      <c r="R159" s="59">
        <f t="shared" si="109"/>
        <v>1169.0576031642013</v>
      </c>
      <c r="S159" s="59">
        <f ca="1">AVERAGE(OFFSET($R$3,0,0,'Données projet'!$E$9+1,1))-AVERAGE(OFFSET($H$3,0,0,'Données projet'!$E$9+1,1))</f>
        <v>581.88778927327667</v>
      </c>
      <c r="T159" s="59">
        <f t="shared" si="142"/>
        <v>269.67340993773422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68.323398912757781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68.323398912757781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8.4429999999999943</v>
      </c>
      <c r="AI159" s="13">
        <f>IF('Données projet'!$A$62&gt;35,AI158+AH159-AQ158,IF(A159&lt;'Données projet'!$A$62,$AF$205^A159,IF(A159='Données projet'!$A$62,'Données projet'!$B$62,AI158+AH159-AQ158)))</f>
        <v>452.22600000000045</v>
      </c>
      <c r="AJ159" s="13">
        <f>AI159*VLOOKUP('Données projet'!$B$10,Paramètres!$A$1:$I$89,3,0)*VLOOKUP('Données projet'!$B$10,Paramètres!$A$1:$I$89,5,0)</f>
        <v>458.55716400000051</v>
      </c>
      <c r="AK159" s="13">
        <f t="shared" si="164"/>
        <v>103.55220386280693</v>
      </c>
      <c r="AL159" s="20">
        <f t="shared" si="165"/>
        <v>979.00714902772279</v>
      </c>
      <c r="AM159" s="59">
        <f t="shared" si="113"/>
        <v>1272.340482361056</v>
      </c>
      <c r="AN159" s="59">
        <f ca="1">AVERAGE(OFFSET($AM$3,0,0,'Données projet'!$E$10+1,1))-AVERAGE(OFFSET($H$3,0,0,'Données projet'!$E$10+1,1))</f>
        <v>646.50767193970182</v>
      </c>
      <c r="AO159" s="59">
        <f t="shared" si="144"/>
        <v>297.06786598620607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76.56932636774583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76.56932636774583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8.4429999999999943</v>
      </c>
      <c r="N160" s="13">
        <f>IF('Données projet'!$A$36&gt;35,N159+M160-V159,IF(A160&lt;'Données projet'!$A$36,$K$205^A160,IF(A160='Données projet'!$A$36,'Données projet'!$B$36,N159+M160-V159)))</f>
        <v>460.66900000000044</v>
      </c>
      <c r="O160" s="13">
        <f>N160*VLOOKUP('Données projet'!$B$9,Paramètres!$A$1:$I$89,3,0)*VLOOKUP('Données projet'!$B$9,Paramètres!$A$1:$I$89,5,0)</f>
        <v>416.81331120000038</v>
      </c>
      <c r="P160" s="13">
        <f t="shared" si="141"/>
        <v>95.177094964322421</v>
      </c>
      <c r="Q160" s="20">
        <f t="shared" si="162"/>
        <v>891.71662406952885</v>
      </c>
      <c r="R160" s="59">
        <f t="shared" si="109"/>
        <v>1185.0499574028622</v>
      </c>
      <c r="S160" s="59">
        <f ca="1">AVERAGE(OFFSET($R$3,0,0,'Données projet'!$E$9+1,1))-AVERAGE(OFFSET($H$3,0,0,'Données projet'!$E$9+1,1))</f>
        <v>581.88778927327667</v>
      </c>
      <c r="T160" s="59">
        <f t="shared" si="142"/>
        <v>269.67340993773422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66.983618733237051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66.983618733237051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8.4429999999999943</v>
      </c>
      <c r="AI160" s="13">
        <f>IF('Données projet'!$A$62&gt;35,AI159+AH160-AQ159,IF(A160&lt;'Données projet'!$A$62,$AF$205^A160,IF(A160='Données projet'!$A$62,'Données projet'!$B$62,AI159+AH160-AQ159)))</f>
        <v>460.66900000000044</v>
      </c>
      <c r="AJ160" s="13">
        <f>AI160*VLOOKUP('Données projet'!$B$10,Paramètres!$A$1:$I$89,3,0)*VLOOKUP('Données projet'!$B$10,Paramètres!$A$1:$I$89,5,0)</f>
        <v>467.11836600000044</v>
      </c>
      <c r="AK160" s="13">
        <f t="shared" si="164"/>
        <v>105.25862966790358</v>
      </c>
      <c r="AL160" s="20">
        <f t="shared" si="165"/>
        <v>996.88993412159937</v>
      </c>
      <c r="AM160" s="59">
        <f t="shared" si="113"/>
        <v>1290.2232674549327</v>
      </c>
      <c r="AN160" s="59">
        <f ca="1">AVERAGE(OFFSET($AM$3,0,0,'Données projet'!$E$10+1,1))-AVERAGE(OFFSET($H$3,0,0,'Données projet'!$E$10+1,1))</f>
        <v>646.50767193970182</v>
      </c>
      <c r="AO160" s="59">
        <f t="shared" si="144"/>
        <v>297.06786598620607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75.067848580351907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75.067848580351907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8.4429999999999943</v>
      </c>
      <c r="N161" s="13">
        <f>IF('Données projet'!$A$36&gt;35,N160+M161-V160,IF(A161&lt;'Données projet'!$A$36,$K$205^A161,IF(A161='Données projet'!$A$36,'Données projet'!$B$36,N160+M161-V160)))</f>
        <v>469.11200000000042</v>
      </c>
      <c r="O161" s="13">
        <f>N161*VLOOKUP('Données projet'!$B$9,Paramètres!$A$1:$I$89,3,0)*VLOOKUP('Données projet'!$B$9,Paramètres!$A$1:$I$89,5,0)</f>
        <v>424.45253760000043</v>
      </c>
      <c r="P161" s="13">
        <f t="shared" si="141"/>
        <v>96.716793118095666</v>
      </c>
      <c r="Q161" s="20">
        <f t="shared" si="162"/>
        <v>907.70325100068385</v>
      </c>
      <c r="R161" s="59">
        <f t="shared" si="109"/>
        <v>1201.0365843340171</v>
      </c>
      <c r="S161" s="59">
        <f ca="1">AVERAGE(OFFSET($R$3,0,0,'Données projet'!$E$9+1,1))-AVERAGE(OFFSET($H$3,0,0,'Données projet'!$E$9+1,1))</f>
        <v>581.88778927327667</v>
      </c>
      <c r="T161" s="59">
        <f t="shared" si="142"/>
        <v>269.67340993773422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65.670110825851509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65.670110825851509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8.4429999999999943</v>
      </c>
      <c r="AI161" s="13">
        <f>IF('Données projet'!$A$62&gt;35,AI160+AH161-AQ160,IF(A161&lt;'Données projet'!$A$62,$AF$205^A161,IF(A161='Données projet'!$A$62,'Données projet'!$B$62,AI160+AH161-AQ160)))</f>
        <v>469.11200000000042</v>
      </c>
      <c r="AJ161" s="13">
        <f>AI161*VLOOKUP('Données projet'!$B$10,Paramètres!$A$1:$I$89,3,0)*VLOOKUP('Données projet'!$B$10,Paramètres!$A$1:$I$89,5,0)</f>
        <v>475.67956800000047</v>
      </c>
      <c r="AK161" s="13">
        <f t="shared" si="164"/>
        <v>106.96141874577063</v>
      </c>
      <c r="AL161" s="20">
        <f t="shared" si="165"/>
        <v>1014.7663852488846</v>
      </c>
      <c r="AM161" s="59">
        <f t="shared" si="113"/>
        <v>1308.099718582218</v>
      </c>
      <c r="AN161" s="59">
        <f ca="1">AVERAGE(OFFSET($AM$3,0,0,'Données projet'!$E$10+1,1))-AVERAGE(OFFSET($H$3,0,0,'Données projet'!$E$10+1,1))</f>
        <v>646.50767193970182</v>
      </c>
      <c r="AO161" s="59">
        <f t="shared" si="144"/>
        <v>297.06786598620607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73.595813856557768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73.595813856557768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8.4429999999999943</v>
      </c>
      <c r="N162" s="13">
        <f>IF('Données projet'!$A$36&gt;35,N161+M162-V161,IF(A162&lt;'Données projet'!$A$36,$K$205^A162,IF(A162='Données projet'!$A$36,'Données projet'!$B$36,N161+M162-V161)))</f>
        <v>477.5550000000004</v>
      </c>
      <c r="O162" s="13">
        <f>N162*VLOOKUP('Données projet'!$B$9,Paramètres!$A$1:$I$89,3,0)*VLOOKUP('Données projet'!$B$9,Paramètres!$A$1:$I$89,5,0)</f>
        <v>432.09176400000035</v>
      </c>
      <c r="P162" s="13">
        <f t="shared" si="141"/>
        <v>98.253268876899142</v>
      </c>
      <c r="Q162" s="20">
        <f t="shared" si="162"/>
        <v>923.68426559393322</v>
      </c>
      <c r="R162" s="59">
        <f t="shared" si="109"/>
        <v>1217.0175989272666</v>
      </c>
      <c r="S162" s="59">
        <f ca="1">AVERAGE(OFFSET($R$3,0,0,'Données projet'!$E$9+1,1))-AVERAGE(OFFSET($H$3,0,0,'Données projet'!$E$9+1,1))</f>
        <v>581.88778927327667</v>
      </c>
      <c r="T162" s="59">
        <f t="shared" si="142"/>
        <v>269.67340993773422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64.382360007369087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64.382360007369087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8.4429999999999943</v>
      </c>
      <c r="AI162" s="13">
        <f>IF('Données projet'!$A$62&gt;35,AI161+AH162-AQ161,IF(A162&lt;'Données projet'!$A$62,$AF$205^A162,IF(A162='Données projet'!$A$62,'Données projet'!$B$62,AI161+AH162-AQ161)))</f>
        <v>477.5550000000004</v>
      </c>
      <c r="AJ162" s="13">
        <f>AI162*VLOOKUP('Données projet'!$B$10,Paramètres!$A$1:$I$89,3,0)*VLOOKUP('Données projet'!$B$10,Paramètres!$A$1:$I$89,5,0)</f>
        <v>484.24077000000045</v>
      </c>
      <c r="AK162" s="13">
        <f t="shared" si="164"/>
        <v>108.66064409983538</v>
      </c>
      <c r="AL162" s="20">
        <f t="shared" si="165"/>
        <v>1032.6366295572141</v>
      </c>
      <c r="AM162" s="59">
        <f t="shared" si="113"/>
        <v>1325.9699628905473</v>
      </c>
      <c r="AN162" s="59">
        <f ca="1">AVERAGE(OFFSET($AM$3,0,0,'Données projet'!$E$10+1,1))-AVERAGE(OFFSET($H$3,0,0,'Données projet'!$E$10+1,1))</f>
        <v>646.50767193970182</v>
      </c>
      <c r="AO162" s="59">
        <f t="shared" si="144"/>
        <v>297.06786598620607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72.152644835844697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72.152644835844697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8.4429999999999943</v>
      </c>
      <c r="N163" s="13">
        <f>IF('Données projet'!$A$36&gt;35,N162+M163-V162,IF(A163&lt;'Données projet'!$A$36,$K$205^A163,IF(A163='Données projet'!$A$36,'Données projet'!$B$36,N162+M163-V162)))</f>
        <v>485.99800000000039</v>
      </c>
      <c r="O163" s="13">
        <f>N163*VLOOKUP('Données projet'!$B$9,Paramètres!$A$1:$I$89,3,0)*VLOOKUP('Données projet'!$B$9,Paramètres!$A$1:$I$89,5,0)</f>
        <v>439.73099040000034</v>
      </c>
      <c r="P163" s="13">
        <f t="shared" si="141"/>
        <v>99.786585784186272</v>
      </c>
      <c r="Q163" s="20">
        <f t="shared" si="162"/>
        <v>939.65977852079175</v>
      </c>
      <c r="R163" s="59">
        <f t="shared" si="109"/>
        <v>1232.9931118541251</v>
      </c>
      <c r="S163" s="59">
        <f ca="1">AVERAGE(OFFSET($R$3,0,0,'Données projet'!$E$9+1,1))-AVERAGE(OFFSET($H$3,0,0,'Données projet'!$E$9+1,1))</f>
        <v>581.88778927327667</v>
      </c>
      <c r="T163" s="59">
        <f t="shared" si="142"/>
        <v>269.67340993773422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63.119861196986655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63.119861196986655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8.4429999999999943</v>
      </c>
      <c r="AI163" s="13">
        <f>IF('Données projet'!$A$62&gt;35,AI162+AH163-AQ162,IF(A163&lt;'Données projet'!$A$62,$AF$205^A163,IF(A163='Données projet'!$A$62,'Données projet'!$B$62,AI162+AH163-AQ162)))</f>
        <v>485.99800000000039</v>
      </c>
      <c r="AJ163" s="13">
        <f>AI163*VLOOKUP('Données projet'!$B$10,Paramètres!$A$1:$I$89,3,0)*VLOOKUP('Données projet'!$B$10,Paramètres!$A$1:$I$89,5,0)</f>
        <v>492.80197200000038</v>
      </c>
      <c r="AK163" s="13">
        <f t="shared" si="164"/>
        <v>110.35637600432534</v>
      </c>
      <c r="AL163" s="20">
        <f t="shared" si="165"/>
        <v>1050.5007894408673</v>
      </c>
      <c r="AM163" s="59">
        <f t="shared" si="113"/>
        <v>1343.8341227742005</v>
      </c>
      <c r="AN163" s="59">
        <f ca="1">AVERAGE(OFFSET($AM$3,0,0,'Données projet'!$E$10+1,1))-AVERAGE(OFFSET($H$3,0,0,'Données projet'!$E$10+1,1))</f>
        <v>646.50767193970182</v>
      </c>
      <c r="AO163" s="59">
        <f t="shared" si="144"/>
        <v>297.06786598620607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70.737775479381625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70.737775479381625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8.4429999999999943</v>
      </c>
      <c r="N164" s="13">
        <f>IF('Données projet'!$A$36&gt;35,N163+M164-V163,IF(A164&lt;'Données projet'!$A$36,$K$205^A164,IF(A164='Données projet'!$A$36,'Données projet'!$B$36,N163+M164-V163)))</f>
        <v>494.44100000000037</v>
      </c>
      <c r="O164" s="13">
        <f>N164*VLOOKUP('Données projet'!$B$9,Paramètres!$A$1:$I$89,3,0)*VLOOKUP('Données projet'!$B$9,Paramètres!$A$1:$I$89,5,0)</f>
        <v>447.37021680000026</v>
      </c>
      <c r="P164" s="13">
        <f t="shared" si="141"/>
        <v>101.3168050491076</v>
      </c>
      <c r="Q164" s="20">
        <f t="shared" si="162"/>
        <v>955.62989638719603</v>
      </c>
      <c r="R164" s="59">
        <f t="shared" si="109"/>
        <v>1248.9632297205294</v>
      </c>
      <c r="S164" s="59">
        <f ca="1">AVERAGE(OFFSET($R$3,0,0,'Données projet'!$E$9+1,1))-AVERAGE(OFFSET($H$3,0,0,'Données projet'!$E$9+1,1))</f>
        <v>581.88778927327667</v>
      </c>
      <c r="T164" s="59">
        <f t="shared" si="142"/>
        <v>269.67340993773422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61.882119218227587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61.882119218227587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8.4429999999999943</v>
      </c>
      <c r="AI164" s="13">
        <f>IF('Données projet'!$A$62&gt;35,AI163+AH164-AQ163,IF(A164&lt;'Données projet'!$A$62,$AF$205^A164,IF(A164='Données projet'!$A$62,'Données projet'!$B$62,AI163+AH164-AQ163)))</f>
        <v>494.44100000000037</v>
      </c>
      <c r="AJ164" s="13">
        <f>AI164*VLOOKUP('Données projet'!$B$10,Paramètres!$A$1:$I$89,3,0)*VLOOKUP('Données projet'!$B$10,Paramètres!$A$1:$I$89,5,0)</f>
        <v>501.36317400000041</v>
      </c>
      <c r="AK164" s="13">
        <f t="shared" si="164"/>
        <v>112.04868215190658</v>
      </c>
      <c r="AL164" s="20">
        <f t="shared" si="165"/>
        <v>1068.3589827979044</v>
      </c>
      <c r="AM164" s="59">
        <f t="shared" si="113"/>
        <v>1361.6923161312377</v>
      </c>
      <c r="AN164" s="59">
        <f ca="1">AVERAGE(OFFSET($AM$3,0,0,'Données projet'!$E$10+1,1))-AVERAGE(OFFSET($H$3,0,0,'Données projet'!$E$10+1,1))</f>
        <v>646.50767193970182</v>
      </c>
      <c r="AO164" s="59">
        <f t="shared" si="144"/>
        <v>297.06786598620607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69.3506508480137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69.3506508480137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8.4429999999999943</v>
      </c>
      <c r="N165" s="13">
        <f>IF('Données projet'!$A$36&gt;35,N164+M165-V164,IF(A165&lt;'Données projet'!$A$36,$K$205^A165,IF(A165='Données projet'!$A$36,'Données projet'!$B$36,N164+M165-V164)))</f>
        <v>502.88400000000036</v>
      </c>
      <c r="O165" s="13">
        <f>N165*VLOOKUP('Données projet'!$B$9,Paramètres!$A$1:$I$89,3,0)*VLOOKUP('Données projet'!$B$9,Paramètres!$A$1:$I$89,5,0)</f>
        <v>455.00944320000031</v>
      </c>
      <c r="P165" s="13">
        <f t="shared" si="141"/>
        <v>102.84398567063174</v>
      </c>
      <c r="Q165" s="20">
        <f t="shared" si="162"/>
        <v>971.59472194968396</v>
      </c>
      <c r="R165" s="59">
        <f t="shared" si="109"/>
        <v>1264.9280552830173</v>
      </c>
      <c r="S165" s="59">
        <f ca="1">AVERAGE(OFFSET($R$3,0,0,'Données projet'!$E$9+1,1))-AVERAGE(OFFSET($H$3,0,0,'Données projet'!$E$9+1,1))</f>
        <v>581.88778927327667</v>
      </c>
      <c r="T165" s="59">
        <f t="shared" si="142"/>
        <v>269.67340993773422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60.66864860472392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60.66864860472392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8.4429999999999943</v>
      </c>
      <c r="AI165" s="13">
        <f>IF('Données projet'!$A$62&gt;35,AI164+AH165-AQ164,IF(A165&lt;'Données projet'!$A$62,$AF$205^A165,IF(A165='Données projet'!$A$62,'Données projet'!$B$62,AI164+AH165-AQ164)))</f>
        <v>502.88400000000036</v>
      </c>
      <c r="AJ165" s="13">
        <f>AI165*VLOOKUP('Données projet'!$B$10,Paramètres!$A$1:$I$89,3,0)*VLOOKUP('Données projet'!$B$10,Paramètres!$A$1:$I$89,5,0)</f>
        <v>509.92437600000034</v>
      </c>
      <c r="AK165" s="13">
        <f t="shared" si="164"/>
        <v>113.73762779095213</v>
      </c>
      <c r="AL165" s="20">
        <f t="shared" si="165"/>
        <v>1086.211323269242</v>
      </c>
      <c r="AM165" s="59">
        <f t="shared" si="113"/>
        <v>1379.5446566025753</v>
      </c>
      <c r="AN165" s="59">
        <f ca="1">AVERAGE(OFFSET($AM$3,0,0,'Données projet'!$E$10+1,1))-AVERAGE(OFFSET($H$3,0,0,'Données projet'!$E$10+1,1))</f>
        <v>646.50767193970182</v>
      </c>
      <c r="AO165" s="59">
        <f t="shared" si="144"/>
        <v>297.06786598620607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67.990726884604413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67.990726884604413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8.4429999999999943</v>
      </c>
      <c r="N166" s="13">
        <f>IF('Données projet'!$A$36&gt;35,N165+M166-V165,IF(A166&lt;'Données projet'!$A$36,$K$205^A166,IF(A166='Données projet'!$A$36,'Données projet'!$B$36,N165+M166-V165)))</f>
        <v>511.32700000000034</v>
      </c>
      <c r="O166" s="13">
        <f>N166*VLOOKUP('Données projet'!$B$9,Paramètres!$A$1:$I$89,3,0)*VLOOKUP('Données projet'!$B$9,Paramètres!$A$1:$I$89,5,0)</f>
        <v>462.64866960000029</v>
      </c>
      <c r="P166" s="13">
        <f t="shared" si="141"/>
        <v>104.36818455309495</v>
      </c>
      <c r="Q166" s="20">
        <f t="shared" si="162"/>
        <v>987.5543543166408</v>
      </c>
      <c r="R166" s="59">
        <f t="shared" si="109"/>
        <v>1280.8876876499742</v>
      </c>
      <c r="S166" s="59">
        <f ca="1">AVERAGE(OFFSET($R$3,0,0,'Données projet'!$E$9+1,1))-AVERAGE(OFFSET($H$3,0,0,'Données projet'!$E$9+1,1))</f>
        <v>581.88778927327667</v>
      </c>
      <c r="T166" s="59">
        <f t="shared" si="142"/>
        <v>269.67340993773422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59.478973409807068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59.478973409807068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8.4429999999999943</v>
      </c>
      <c r="AI166" s="13">
        <f>IF('Données projet'!$A$62&gt;35,AI165+AH166-AQ165,IF(A166&lt;'Données projet'!$A$62,$AF$205^A166,IF(A166='Données projet'!$A$62,'Données projet'!$B$62,AI165+AH166-AQ165)))</f>
        <v>511.32700000000034</v>
      </c>
      <c r="AJ166" s="13">
        <f>AI166*VLOOKUP('Données projet'!$B$10,Paramètres!$A$1:$I$89,3,0)*VLOOKUP('Données projet'!$B$10,Paramètres!$A$1:$I$89,5,0)</f>
        <v>518.48557800000037</v>
      </c>
      <c r="AK166" s="13">
        <f t="shared" si="164"/>
        <v>115.42327585333055</v>
      </c>
      <c r="AL166" s="20">
        <f t="shared" si="165"/>
        <v>1104.0579204612179</v>
      </c>
      <c r="AM166" s="59">
        <f t="shared" si="113"/>
        <v>1397.3912537945512</v>
      </c>
      <c r="AN166" s="59">
        <f ca="1">AVERAGE(OFFSET($AM$3,0,0,'Données projet'!$E$10+1,1))-AVERAGE(OFFSET($H$3,0,0,'Données projet'!$E$10+1,1))</f>
        <v>646.50767193970182</v>
      </c>
      <c r="AO166" s="59">
        <f t="shared" si="144"/>
        <v>297.06786598620607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66.657470200645875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66.657470200645875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>
        <f>VLOOKUP(A167,'Données projet'!$A$35:$I$55,2,0)</f>
        <v>519.77</v>
      </c>
      <c r="L167" s="12">
        <f>VLOOKUP(A167,'Données projet'!$A$35:$I$55,9,0)</f>
        <v>8.4429999999999943</v>
      </c>
      <c r="M167" s="12">
        <f t="array" ref="M167">INDEX(L:L,MIN(IF(ISNUMBER(L167:L363),ROW(L167:L363),"")))</f>
        <v>8.4429999999999943</v>
      </c>
      <c r="N167" s="13">
        <f>IF('Données projet'!$A$36&gt;35,N166+M167-V166,IF(A167&lt;'Données projet'!$A$36,$K$205^A167,IF(A167='Données projet'!$A$36,'Données projet'!$B$36,N166+M167-V166)))</f>
        <v>519.77000000000032</v>
      </c>
      <c r="O167" s="13">
        <f>N167*VLOOKUP('Données projet'!$B$9,Paramètres!$A$1:$I$89,3,0)*VLOOKUP('Données projet'!$B$9,Paramètres!$A$1:$I$89,5,0)</f>
        <v>470.28789600000022</v>
      </c>
      <c r="P167" s="13">
        <f t="shared" si="141"/>
        <v>105.88945661390174</v>
      </c>
      <c r="Q167" s="20">
        <f t="shared" si="162"/>
        <v>1003.5088891358791</v>
      </c>
      <c r="R167" s="59">
        <f t="shared" si="109"/>
        <v>1296.8422224692124</v>
      </c>
      <c r="S167" s="59">
        <f ca="1">AVERAGE(OFFSET($R$3,0,0,'Données projet'!$E$9+1,1))-AVERAGE(OFFSET($H$3,0,0,'Données projet'!$E$9+1,1))</f>
        <v>581.88778927327667</v>
      </c>
      <c r="T167" s="59">
        <f t="shared" si="142"/>
        <v>269.67340993773422</v>
      </c>
      <c r="U167" s="15">
        <f>IF(ISNA(VLOOKUP(A167,'Données projet'!$A$35:$I$55,3,0)),0,VLOOKUP(A167,'Données projet'!$A$35:$I$55,3,0))</f>
        <v>14</v>
      </c>
      <c r="V167" s="15">
        <f>IF(ISNA(VLOOKUP(A167,'Données projet'!$A$35:$I$55,4,0)),0,VLOOKUP(A167,'Données projet'!$A$35:$I$55,4,0))</f>
        <v>59.58</v>
      </c>
      <c r="W167" s="16">
        <f>IF(ISNA(VLOOKUP(A167,'Données projet'!$A$35:$I$55,5,0)),0%,VLOOKUP(A167,'Données projet'!$A$35:$I$55,5,0)*VLOOKUP('Données projet'!$B$9,Paramètres!$A$1:$I$89,7,0))</f>
        <v>0.25800000000000001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73.687796339175065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73.687796339175065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519.77</v>
      </c>
      <c r="AG167" s="12">
        <f>VLOOKUP(A167,'Données projet'!$A$61:$I$81,9,0)</f>
        <v>8.4429999999999943</v>
      </c>
      <c r="AH167" s="12">
        <f t="array" ref="AH167">INDEX(AG:AG,MIN(IF(ISNUMBER(AG167:AG363),ROW(AG167:AG363),"")))</f>
        <v>8.4429999999999943</v>
      </c>
      <c r="AI167" s="13">
        <f>IF('Données projet'!$A$62&gt;35,AI166+AH167-AQ166,IF(A167&lt;'Données projet'!$A$62,$AF$205^A167,IF(A167='Données projet'!$A$62,'Données projet'!$B$62,AI166+AH167-AQ166)))</f>
        <v>519.77000000000032</v>
      </c>
      <c r="AJ167" s="13">
        <f>AI167*VLOOKUP('Données projet'!$B$10,Paramètres!$A$1:$I$89,3,0)*VLOOKUP('Données projet'!$B$10,Paramètres!$A$1:$I$89,5,0)</f>
        <v>527.04678000000035</v>
      </c>
      <c r="AK167" s="13">
        <f t="shared" si="164"/>
        <v>117.10568707351568</v>
      </c>
      <c r="AL167" s="20">
        <f t="shared" si="165"/>
        <v>1121.8988801530404</v>
      </c>
      <c r="AM167" s="59">
        <f t="shared" si="113"/>
        <v>1415.2322134863737</v>
      </c>
      <c r="AN167" s="59">
        <f ca="1">AVERAGE(OFFSET($AM$3,0,0,'Données projet'!$E$10+1,1))-AVERAGE(OFFSET($H$3,0,0,'Données projet'!$E$10+1,1))</f>
        <v>646.50767193970182</v>
      </c>
      <c r="AO167" s="59">
        <f t="shared" si="144"/>
        <v>297.06786598620607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0.25800000000000001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82.581151069765184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82.581151069765184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8.5459999999999976</v>
      </c>
      <c r="N168" s="13">
        <f>IF('Données projet'!$A$36&gt;35,N167+M168-V167,IF(A168&lt;'Données projet'!$A$36,$K$205^A168,IF(A168='Données projet'!$A$36,'Données projet'!$B$36,N167+M168-V167)))</f>
        <v>468.73600000000039</v>
      </c>
      <c r="O168" s="13">
        <f>N168*VLOOKUP('Données projet'!$B$9,Paramètres!$A$1:$I$89,3,0)*VLOOKUP('Données projet'!$B$9,Paramètres!$A$1:$I$89,5,0)</f>
        <v>424.11233280000033</v>
      </c>
      <c r="P168" s="13">
        <f t="shared" si="141"/>
        <v>96.648293340367189</v>
      </c>
      <c r="Q168" s="20">
        <f t="shared" si="162"/>
        <v>906.99142386114011</v>
      </c>
      <c r="R168" s="59">
        <f t="shared" si="109"/>
        <v>1200.3247571944735</v>
      </c>
      <c r="S168" s="59">
        <f ca="1">AVERAGE(OFFSET($R$3,0,0,'Données projet'!$E$9+1,1))-AVERAGE(OFFSET($H$3,0,0,'Données projet'!$E$9+1,1))</f>
        <v>581.88778927327667</v>
      </c>
      <c r="T168" s="59">
        <f t="shared" si="142"/>
        <v>269.67340993773422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72.242823598081642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72.242823598081642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8.5459999999999976</v>
      </c>
      <c r="AI168" s="13">
        <f>IF('Données projet'!$A$62&gt;35,AI167+AH168-AQ167,IF(A168&lt;'Données projet'!$A$62,$AF$205^A168,IF(A168='Données projet'!$A$62,'Données projet'!$B$62,AI167+AH168-AQ167)))</f>
        <v>468.73600000000039</v>
      </c>
      <c r="AJ168" s="13">
        <f>AI168*VLOOKUP('Données projet'!$B$10,Paramètres!$A$1:$I$89,3,0)*VLOOKUP('Données projet'!$B$10,Paramètres!$A$1:$I$89,5,0)</f>
        <v>475.29830400000037</v>
      </c>
      <c r="AK168" s="13">
        <f t="shared" si="164"/>
        <v>106.88566320039537</v>
      </c>
      <c r="AL168" s="20">
        <f t="shared" si="165"/>
        <v>1013.9704095406892</v>
      </c>
      <c r="AM168" s="59">
        <f t="shared" si="113"/>
        <v>1307.3037428740224</v>
      </c>
      <c r="AN168" s="59">
        <f ca="1">AVERAGE(OFFSET($AM$3,0,0,'Données projet'!$E$10+1,1))-AVERAGE(OFFSET($H$3,0,0,'Données projet'!$E$10+1,1))</f>
        <v>646.50767193970182</v>
      </c>
      <c r="AO168" s="59">
        <f t="shared" si="144"/>
        <v>297.06786598620607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80.961785066815665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80.961785066815665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8.5459999999999976</v>
      </c>
      <c r="N169" s="13">
        <f>IF('Données projet'!$A$36&gt;35,N168+M169-V168,IF(A169&lt;'Données projet'!$A$36,$K$205^A169,IF(A169='Données projet'!$A$36,'Données projet'!$B$36,N168+M169-V168)))</f>
        <v>477.28200000000038</v>
      </c>
      <c r="O169" s="13">
        <f>N169*VLOOKUP('Données projet'!$B$9,Paramètres!$A$1:$I$89,3,0)*VLOOKUP('Données projet'!$B$9,Paramètres!$A$1:$I$89,5,0)</f>
        <v>431.84475360000033</v>
      </c>
      <c r="P169" s="13">
        <f t="shared" si="141"/>
        <v>98.203637489221336</v>
      </c>
      <c r="Q169" s="20">
        <f t="shared" si="162"/>
        <v>923.16761448039449</v>
      </c>
      <c r="R169" s="59">
        <f t="shared" si="109"/>
        <v>1216.5009478137279</v>
      </c>
      <c r="S169" s="59">
        <f ca="1">AVERAGE(OFFSET($R$3,0,0,'Données projet'!$E$9+1,1))-AVERAGE(OFFSET($H$3,0,0,'Données projet'!$E$9+1,1))</f>
        <v>581.88778927327667</v>
      </c>
      <c r="T169" s="59">
        <f t="shared" si="142"/>
        <v>269.67340993773422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70.826185891094724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70.826185891094724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8.5459999999999976</v>
      </c>
      <c r="AI169" s="13">
        <f>IF('Données projet'!$A$62&gt;35,AI168+AH169-AQ168,IF(A169&lt;'Données projet'!$A$62,$AF$205^A169,IF(A169='Données projet'!$A$62,'Données projet'!$B$62,AI168+AH169-AQ168)))</f>
        <v>477.28200000000038</v>
      </c>
      <c r="AJ169" s="13">
        <f>AI169*VLOOKUP('Données projet'!$B$10,Paramètres!$A$1:$I$89,3,0)*VLOOKUP('Données projet'!$B$10,Paramètres!$A$1:$I$89,5,0)</f>
        <v>483.96394800000041</v>
      </c>
      <c r="AK169" s="13">
        <f t="shared" si="164"/>
        <v>108.6057555590847</v>
      </c>
      <c r="AL169" s="20">
        <f t="shared" si="165"/>
        <v>1032.0589003654065</v>
      </c>
      <c r="AM169" s="59">
        <f t="shared" si="113"/>
        <v>1325.3922336987398</v>
      </c>
      <c r="AN169" s="59">
        <f ca="1">AVERAGE(OFFSET($AM$3,0,0,'Données projet'!$E$10+1,1))-AVERAGE(OFFSET($H$3,0,0,'Données projet'!$E$10+1,1))</f>
        <v>646.50767193970182</v>
      </c>
      <c r="AO169" s="59">
        <f t="shared" si="144"/>
        <v>297.06786598620607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79.374173843468256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79.374173843468256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8.5459999999999976</v>
      </c>
      <c r="N170" s="13">
        <f>IF('Données projet'!$A$36&gt;35,N169+M170-V169,IF(A170&lt;'Données projet'!$A$36,$K$205^A170,IF(A170='Données projet'!$A$36,'Données projet'!$B$36,N169+M170-V169)))</f>
        <v>485.82800000000037</v>
      </c>
      <c r="O170" s="13">
        <f>N170*VLOOKUP('Données projet'!$B$9,Paramètres!$A$1:$I$89,3,0)*VLOOKUP('Données projet'!$B$9,Paramètres!$A$1:$I$89,5,0)</f>
        <v>439.57717440000033</v>
      </c>
      <c r="P170" s="13">
        <f t="shared" si="141"/>
        <v>99.755743172047673</v>
      </c>
      <c r="Q170" s="20">
        <f t="shared" si="162"/>
        <v>939.33816477131688</v>
      </c>
      <c r="R170" s="59">
        <f t="shared" si="109"/>
        <v>1232.6714981046503</v>
      </c>
      <c r="S170" s="59">
        <f ca="1">AVERAGE(OFFSET($R$3,0,0,'Données projet'!$E$9+1,1))-AVERAGE(OFFSET($H$3,0,0,'Données projet'!$E$9+1,1))</f>
        <v>581.88778927327667</v>
      </c>
      <c r="T170" s="59">
        <f t="shared" si="142"/>
        <v>269.67340993773422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69.43732758547813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69.43732758547813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8.5459999999999976</v>
      </c>
      <c r="AI170" s="13">
        <f>IF('Données projet'!$A$62&gt;35,AI169+AH170-AQ169,IF(A170&lt;'Données projet'!$A$62,$AF$205^A170,IF(A170='Données projet'!$A$62,'Données projet'!$B$62,AI169+AH170-AQ169)))</f>
        <v>485.82800000000037</v>
      </c>
      <c r="AJ170" s="13">
        <f>AI170*VLOOKUP('Données projet'!$B$10,Paramètres!$A$1:$I$89,3,0)*VLOOKUP('Données projet'!$B$10,Paramètres!$A$1:$I$89,5,0)</f>
        <v>492.6295920000004</v>
      </c>
      <c r="AK170" s="13">
        <f t="shared" si="164"/>
        <v>110.3222664206035</v>
      </c>
      <c r="AL170" s="20">
        <f t="shared" si="165"/>
        <v>1050.1411534158851</v>
      </c>
      <c r="AM170" s="59">
        <f t="shared" si="113"/>
        <v>1343.4744867492184</v>
      </c>
      <c r="AN170" s="59">
        <f ca="1">AVERAGE(OFFSET($AM$3,0,0,'Données projet'!$E$10+1,1))-AVERAGE(OFFSET($H$3,0,0,'Données projet'!$E$10+1,1))</f>
        <v>646.50767193970182</v>
      </c>
      <c r="AO170" s="59">
        <f t="shared" si="144"/>
        <v>297.06786598620607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77.817694707863453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77.817694707863453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8.5459999999999976</v>
      </c>
      <c r="N171" s="13">
        <f>IF('Données projet'!$A$36&gt;35,N170+M171-V170,IF(A171&lt;'Données projet'!$A$36,$K$205^A171,IF(A171='Données projet'!$A$36,'Données projet'!$B$36,N170+M171-V170)))</f>
        <v>494.37400000000036</v>
      </c>
      <c r="O171" s="13">
        <f>N171*VLOOKUP('Données projet'!$B$9,Paramètres!$A$1:$I$89,3,0)*VLOOKUP('Données projet'!$B$9,Paramètres!$A$1:$I$89,5,0)</f>
        <v>447.30959520000027</v>
      </c>
      <c r="P171" s="13">
        <f t="shared" si="141"/>
        <v>101.30467392781068</v>
      </c>
      <c r="Q171" s="20">
        <f t="shared" si="162"/>
        <v>955.50318539760417</v>
      </c>
      <c r="R171" s="59">
        <f t="shared" si="109"/>
        <v>1248.8365187309375</v>
      </c>
      <c r="S171" s="59">
        <f ca="1">AVERAGE(OFFSET($R$3,0,0,'Données projet'!$E$9+1,1))-AVERAGE(OFFSET($H$3,0,0,'Données projet'!$E$9+1,1))</f>
        <v>581.88778927327667</v>
      </c>
      <c r="T171" s="59">
        <f t="shared" si="142"/>
        <v>269.67340993773422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68.075703944114764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68.075703944114764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8.5459999999999976</v>
      </c>
      <c r="AI171" s="13">
        <f>IF('Données projet'!$A$62&gt;35,AI170+AH171-AQ170,IF(A171&lt;'Données projet'!$A$62,$AF$205^A171,IF(A171='Données projet'!$A$62,'Données projet'!$B$62,AI170+AH171-AQ170)))</f>
        <v>494.37400000000036</v>
      </c>
      <c r="AJ171" s="13">
        <f>AI171*VLOOKUP('Données projet'!$B$10,Paramètres!$A$1:$I$89,3,0)*VLOOKUP('Données projet'!$B$10,Paramètres!$A$1:$I$89,5,0)</f>
        <v>501.29523600000039</v>
      </c>
      <c r="AK171" s="13">
        <f t="shared" si="164"/>
        <v>112.03526605421492</v>
      </c>
      <c r="AL171" s="20">
        <f t="shared" si="165"/>
        <v>1068.2172910777583</v>
      </c>
      <c r="AM171" s="59">
        <f t="shared" si="113"/>
        <v>1361.5506244110916</v>
      </c>
      <c r="AN171" s="59">
        <f ca="1">AVERAGE(OFFSET($AM$3,0,0,'Données projet'!$E$10+1,1))-AVERAGE(OFFSET($H$3,0,0,'Données projet'!$E$10+1,1))</f>
        <v>646.50767193970182</v>
      </c>
      <c r="AO171" s="59">
        <f t="shared" si="144"/>
        <v>297.06786598620607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76.291737178749329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76.291737178749329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8.5459999999999976</v>
      </c>
      <c r="N172" s="13">
        <f>IF('Données projet'!$A$36&gt;35,N171+M172-V171,IF(A172&lt;'Données projet'!$A$36,$K$205^A172,IF(A172='Données projet'!$A$36,'Données projet'!$B$36,N171+M172-V171)))</f>
        <v>502.92000000000036</v>
      </c>
      <c r="O172" s="13">
        <f>N172*VLOOKUP('Données projet'!$B$9,Paramètres!$A$1:$I$89,3,0)*VLOOKUP('Données projet'!$B$9,Paramètres!$A$1:$I$89,5,0)</f>
        <v>455.04201600000027</v>
      </c>
      <c r="P172" s="13">
        <f t="shared" si="141"/>
        <v>102.85049097288233</v>
      </c>
      <c r="Q172" s="20">
        <f t="shared" si="162"/>
        <v>971.66278297777069</v>
      </c>
      <c r="R172" s="59">
        <f t="shared" si="109"/>
        <v>1264.9961163111041</v>
      </c>
      <c r="S172" s="59">
        <f ca="1">AVERAGE(OFFSET($R$3,0,0,'Données projet'!$E$9+1,1))-AVERAGE(OFFSET($H$3,0,0,'Données projet'!$E$9+1,1))</f>
        <v>581.88778927327667</v>
      </c>
      <c r="T172" s="59">
        <f t="shared" si="142"/>
        <v>269.67340993773422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66.740780911850109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66.740780911850109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8.5459999999999976</v>
      </c>
      <c r="AI172" s="13">
        <f>IF('Données projet'!$A$62&gt;35,AI171+AH172-AQ171,IF(A172&lt;'Données projet'!$A$62,$AF$205^A172,IF(A172='Données projet'!$A$62,'Données projet'!$B$62,AI171+AH172-AQ171)))</f>
        <v>502.92000000000036</v>
      </c>
      <c r="AJ172" s="13">
        <f>AI172*VLOOKUP('Données projet'!$B$10,Paramètres!$A$1:$I$89,3,0)*VLOOKUP('Données projet'!$B$10,Paramètres!$A$1:$I$89,5,0)</f>
        <v>509.96088000000043</v>
      </c>
      <c r="AK172" s="13">
        <f t="shared" si="164"/>
        <v>113.74482216057152</v>
      </c>
      <c r="AL172" s="20">
        <f t="shared" si="165"/>
        <v>1086.2874312629961</v>
      </c>
      <c r="AM172" s="59">
        <f t="shared" si="113"/>
        <v>1379.6207645963293</v>
      </c>
      <c r="AN172" s="59">
        <f ca="1">AVERAGE(OFFSET($AM$3,0,0,'Données projet'!$E$10+1,1))-AVERAGE(OFFSET($H$3,0,0,'Données projet'!$E$10+1,1))</f>
        <v>646.50767193970182</v>
      </c>
      <c r="AO172" s="59">
        <f t="shared" si="144"/>
        <v>297.06786598620607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74.795702746038941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74.795702746038941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8.5459999999999976</v>
      </c>
      <c r="N173" s="13">
        <f>IF('Données projet'!$A$36&gt;35,N172+M173-V172,IF(A173&lt;'Données projet'!$A$36,$K$205^A173,IF(A173='Données projet'!$A$36,'Données projet'!$B$36,N172+M173-V172)))</f>
        <v>511.46600000000035</v>
      </c>
      <c r="O173" s="13">
        <f>N173*VLOOKUP('Données projet'!$B$9,Paramètres!$A$1:$I$89,3,0)*VLOOKUP('Données projet'!$B$9,Paramètres!$A$1:$I$89,5,0)</f>
        <v>462.77443680000027</v>
      </c>
      <c r="P173" s="13">
        <f t="shared" si="141"/>
        <v>104.39325332394039</v>
      </c>
      <c r="Q173" s="20">
        <f t="shared" si="162"/>
        <v>987.81706029919678</v>
      </c>
      <c r="R173" s="59">
        <f t="shared" si="109"/>
        <v>1281.15039363253</v>
      </c>
      <c r="S173" s="59">
        <f ca="1">AVERAGE(OFFSET($R$3,0,0,'Données projet'!$E$9+1,1))-AVERAGE(OFFSET($H$3,0,0,'Données projet'!$E$9+1,1))</f>
        <v>581.88778927327667</v>
      </c>
      <c r="T173" s="59">
        <f t="shared" si="142"/>
        <v>269.67340993773422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65.432034906025521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65.432034906025521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8.5459999999999976</v>
      </c>
      <c r="AI173" s="13">
        <f>IF('Données projet'!$A$62&gt;35,AI172+AH173-AQ172,IF(A173&lt;'Données projet'!$A$62,$AF$205^A173,IF(A173='Données projet'!$A$62,'Données projet'!$B$62,AI172+AH173-AQ172)))</f>
        <v>511.46600000000035</v>
      </c>
      <c r="AJ173" s="13">
        <f>AI173*VLOOKUP('Données projet'!$B$10,Paramètres!$A$1:$I$89,3,0)*VLOOKUP('Données projet'!$B$10,Paramètres!$A$1:$I$89,5,0)</f>
        <v>518.62652400000036</v>
      </c>
      <c r="AK173" s="13">
        <f t="shared" si="164"/>
        <v>115.45100000763091</v>
      </c>
      <c r="AL173" s="20">
        <f t="shared" si="165"/>
        <v>1104.3516876466244</v>
      </c>
      <c r="AM173" s="59">
        <f t="shared" si="113"/>
        <v>1397.6850209799577</v>
      </c>
      <c r="AN173" s="59">
        <f ca="1">AVERAGE(OFFSET($AM$3,0,0,'Données projet'!$E$10+1,1))-AVERAGE(OFFSET($H$3,0,0,'Données projet'!$E$10+1,1))</f>
        <v>646.50767193970182</v>
      </c>
      <c r="AO173" s="59">
        <f t="shared" si="144"/>
        <v>297.06786598620607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73.329004636063104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73.329004636063104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8.5459999999999976</v>
      </c>
      <c r="N174" s="13">
        <f>IF('Données projet'!$A$36&gt;35,N173+M174-V173,IF(A174&lt;'Données projet'!$A$36,$K$205^A174,IF(A174='Données projet'!$A$36,'Données projet'!$B$36,N173+M174-V173)))</f>
        <v>520.0120000000004</v>
      </c>
      <c r="O174" s="13">
        <f>N174*VLOOKUP('Données projet'!$B$9,Paramètres!$A$1:$I$89,3,0)*VLOOKUP('Données projet'!$B$9,Paramètres!$A$1:$I$89,5,0)</f>
        <v>470.50685760000033</v>
      </c>
      <c r="P174" s="13">
        <f t="shared" si="141"/>
        <v>105.93301791241842</v>
      </c>
      <c r="Q174" s="20">
        <f t="shared" si="162"/>
        <v>1003.9661165174626</v>
      </c>
      <c r="R174" s="59">
        <f t="shared" si="109"/>
        <v>1297.299449850796</v>
      </c>
      <c r="S174" s="59">
        <f ca="1">AVERAGE(OFFSET($R$3,0,0,'Données projet'!$E$9+1,1))-AVERAGE(OFFSET($H$3,0,0,'Données projet'!$E$9+1,1))</f>
        <v>581.88778927327667</v>
      </c>
      <c r="T174" s="59">
        <f t="shared" si="142"/>
        <v>269.67340993773422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64.148952611118901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64.148952611118901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8.5459999999999976</v>
      </c>
      <c r="AI174" s="13">
        <f>IF('Données projet'!$A$62&gt;35,AI173+AH174-AQ173,IF(A174&lt;'Données projet'!$A$62,$AF$205^A174,IF(A174='Données projet'!$A$62,'Données projet'!$B$62,AI173+AH174-AQ173)))</f>
        <v>520.0120000000004</v>
      </c>
      <c r="AJ174" s="13">
        <f>AI174*VLOOKUP('Données projet'!$B$10,Paramètres!$A$1:$I$89,3,0)*VLOOKUP('Données projet'!$B$10,Paramètres!$A$1:$I$89,5,0)</f>
        <v>527.2921680000004</v>
      </c>
      <c r="AK174" s="13">
        <f t="shared" si="164"/>
        <v>117.15386255722979</v>
      </c>
      <c r="AL174" s="20">
        <f t="shared" si="165"/>
        <v>1122.4101698871759</v>
      </c>
      <c r="AM174" s="59">
        <f t="shared" si="113"/>
        <v>1415.7435032205092</v>
      </c>
      <c r="AN174" s="59">
        <f ca="1">AVERAGE(OFFSET($AM$3,0,0,'Données projet'!$E$10+1,1))-AVERAGE(OFFSET($H$3,0,0,'Données projet'!$E$10+1,1))</f>
        <v>646.50767193970182</v>
      </c>
      <c r="AO174" s="59">
        <f t="shared" si="144"/>
        <v>297.06786598620607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71.891067581426384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71.891067581426384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8.5459999999999976</v>
      </c>
      <c r="N175" s="13">
        <f>IF('Données projet'!$A$36&gt;35,N174+M175-V174,IF(A175&lt;'Données projet'!$A$36,$K$205^A175,IF(A175='Données projet'!$A$36,'Données projet'!$B$36,N174+M175-V174)))</f>
        <v>528.55800000000045</v>
      </c>
      <c r="O175" s="13">
        <f>N175*VLOOKUP('Données projet'!$B$9,Paramètres!$A$1:$I$89,3,0)*VLOOKUP('Données projet'!$B$9,Paramètres!$A$1:$I$89,5,0)</f>
        <v>478.23927840000039</v>
      </c>
      <c r="P175" s="13">
        <f t="shared" si="141"/>
        <v>107.46983969122122</v>
      </c>
      <c r="Q175" s="20">
        <f t="shared" si="162"/>
        <v>1020.110047342211</v>
      </c>
      <c r="R175" s="59">
        <f t="shared" si="109"/>
        <v>1313.4433806755444</v>
      </c>
      <c r="S175" s="59">
        <f ca="1">AVERAGE(OFFSET($R$3,0,0,'Données projet'!$E$9+1,1))-AVERAGE(OFFSET($H$3,0,0,'Données projet'!$E$9+1,1))</f>
        <v>581.88778927327667</v>
      </c>
      <c r="T175" s="59">
        <f t="shared" si="142"/>
        <v>269.67340993773422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62.891030777412482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62.891030777412482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8.5459999999999976</v>
      </c>
      <c r="AI175" s="13">
        <f>IF('Données projet'!$A$62&gt;35,AI174+AH175-AQ174,IF(A175&lt;'Données projet'!$A$62,$AF$205^A175,IF(A175='Données projet'!$A$62,'Données projet'!$B$62,AI174+AH175-AQ174)))</f>
        <v>528.55800000000045</v>
      </c>
      <c r="AJ175" s="13">
        <f>AI175*VLOOKUP('Données projet'!$B$10,Paramètres!$A$1:$I$89,3,0)*VLOOKUP('Données projet'!$B$10,Paramètres!$A$1:$I$89,5,0)</f>
        <v>535.95781200000044</v>
      </c>
      <c r="AK175" s="13">
        <f t="shared" si="164"/>
        <v>118.85347058310219</v>
      </c>
      <c r="AL175" s="20">
        <f t="shared" si="165"/>
        <v>1140.4629838322371</v>
      </c>
      <c r="AM175" s="59">
        <f t="shared" si="113"/>
        <v>1433.7963171655704</v>
      </c>
      <c r="AN175" s="59">
        <f ca="1">AVERAGE(OFFSET($AM$3,0,0,'Données projet'!$E$10+1,1))-AVERAGE(OFFSET($H$3,0,0,'Données projet'!$E$10+1,1))</f>
        <v>646.50767193970182</v>
      </c>
      <c r="AO175" s="59">
        <f t="shared" si="144"/>
        <v>297.06786598620607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70.481327595376086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70.481327595376086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8.5459999999999976</v>
      </c>
      <c r="N176" s="13">
        <f>IF('Données projet'!$A$36&gt;35,N175+M176-V175,IF(A176&lt;'Données projet'!$A$36,$K$205^A176,IF(A176='Données projet'!$A$36,'Données projet'!$B$36,N175+M176-V175)))</f>
        <v>537.1040000000005</v>
      </c>
      <c r="O176" s="13">
        <f>N176*VLOOKUP('Données projet'!$B$9,Paramètres!$A$1:$I$89,3,0)*VLOOKUP('Données projet'!$B$9,Paramètres!$A$1:$I$89,5,0)</f>
        <v>485.97169920000039</v>
      </c>
      <c r="P176" s="13">
        <f t="shared" si="141"/>
        <v>109.00377173434057</v>
      </c>
      <c r="Q176" s="20">
        <f t="shared" si="162"/>
        <v>1036.2489452106438</v>
      </c>
      <c r="R176" s="59">
        <f t="shared" si="109"/>
        <v>1329.5822785439771</v>
      </c>
      <c r="S176" s="59">
        <f ca="1">AVERAGE(OFFSET($R$3,0,0,'Données projet'!$E$9+1,1))-AVERAGE(OFFSET($H$3,0,0,'Données projet'!$E$9+1,1))</f>
        <v>581.88778927327667</v>
      </c>
      <c r="T176" s="59">
        <f t="shared" si="142"/>
        <v>269.67340993773422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61.657776023608484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61.657776023608484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8.5459999999999976</v>
      </c>
      <c r="AI176" s="13">
        <f>IF('Données projet'!$A$62&gt;35,AI175+AH176-AQ175,IF(A176&lt;'Données projet'!$A$62,$AF$205^A176,IF(A176='Données projet'!$A$62,'Données projet'!$B$62,AI175+AH176-AQ175)))</f>
        <v>537.1040000000005</v>
      </c>
      <c r="AJ176" s="13">
        <f>AI176*VLOOKUP('Données projet'!$B$10,Paramètres!$A$1:$I$89,3,0)*VLOOKUP('Données projet'!$B$10,Paramètres!$A$1:$I$89,5,0)</f>
        <v>544.62345600000049</v>
      </c>
      <c r="AK176" s="13">
        <f t="shared" si="164"/>
        <v>120.54988278104692</v>
      </c>
      <c r="AL176" s="20">
        <f t="shared" si="165"/>
        <v>1158.510231710324</v>
      </c>
      <c r="AM176" s="59">
        <f t="shared" si="113"/>
        <v>1451.8435650436572</v>
      </c>
      <c r="AN176" s="59">
        <f ca="1">AVERAGE(OFFSET($AM$3,0,0,'Données projet'!$E$10+1,1))-AVERAGE(OFFSET($H$3,0,0,'Données projet'!$E$10+1,1))</f>
        <v>646.50767193970182</v>
      </c>
      <c r="AO176" s="59">
        <f t="shared" si="144"/>
        <v>297.06786598620607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69.099231750595749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69.099231750595749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>
        <f>VLOOKUP(A177,'Données projet'!$A$35:$I$55,2,0)</f>
        <v>545.65</v>
      </c>
      <c r="L177" s="12">
        <f>VLOOKUP(A177,'Données projet'!$A$35:$I$55,9,0)</f>
        <v>8.5459999999999976</v>
      </c>
      <c r="M177" s="12">
        <f t="array" ref="M177">INDEX(L:L,MIN(IF(ISNUMBER(L177:L373),ROW(L177:L373),"")))</f>
        <v>8.5459999999999976</v>
      </c>
      <c r="N177" s="13">
        <f>IF('Données projet'!$A$36&gt;35,N176+M177-V176,IF(A177&lt;'Données projet'!$A$36,$K$205^A177,IF(A177='Données projet'!$A$36,'Données projet'!$B$36,N176+M177-V176)))</f>
        <v>545.65000000000055</v>
      </c>
      <c r="O177" s="13">
        <f>N177*VLOOKUP('Données projet'!$B$9,Paramètres!$A$1:$I$89,3,0)*VLOOKUP('Données projet'!$B$9,Paramètres!$A$1:$I$89,5,0)</f>
        <v>493.7041200000005</v>
      </c>
      <c r="P177" s="13">
        <f t="shared" si="141"/>
        <v>110.53486532995269</v>
      </c>
      <c r="Q177" s="20">
        <f t="shared" si="162"/>
        <v>1052.3828994496685</v>
      </c>
      <c r="R177" s="59">
        <f t="shared" si="109"/>
        <v>1345.7162327830017</v>
      </c>
      <c r="S177" s="59">
        <f ca="1">AVERAGE(OFFSET($R$3,0,0,'Données projet'!$E$9+1,1))-AVERAGE(OFFSET($H$3,0,0,'Données projet'!$E$9+1,1))</f>
        <v>581.88778927327667</v>
      </c>
      <c r="T177" s="59">
        <f t="shared" si="142"/>
        <v>269.67340993773422</v>
      </c>
      <c r="U177" s="15">
        <f>IF(ISNA(VLOOKUP(A177,'Données projet'!$A$35:$I$55,3,0)),0,VLOOKUP(A177,'Données projet'!$A$35:$I$55,3,0))</f>
        <v>15</v>
      </c>
      <c r="V177" s="15">
        <f>IF(ISNA(VLOOKUP(A177,'Données projet'!$A$35:$I$55,4,0)),0,VLOOKUP(A177,'Données projet'!$A$35:$I$55,4,0))</f>
        <v>214.77</v>
      </c>
      <c r="W177" s="16">
        <f>IF(ISNA(VLOOKUP(A177,'Données projet'!$A$35:$I$55,5,0)),0%,VLOOKUP(A177,'Données projet'!$A$35:$I$55,5,0)*VLOOKUP('Données projet'!$B$9,Paramètres!$A$1:$I$89,7,0))</f>
        <v>0.25800000000000001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115.87208689768337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115.87208689768337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545.65</v>
      </c>
      <c r="AG177" s="12">
        <f>VLOOKUP(A177,'Données projet'!$A$61:$I$81,9,0)</f>
        <v>8.5459999999999976</v>
      </c>
      <c r="AH177" s="12">
        <f t="array" ref="AH177">INDEX(AG:AG,MIN(IF(ISNUMBER(AG177:AG373),ROW(AG177:AG373),"")))</f>
        <v>8.5459999999999976</v>
      </c>
      <c r="AI177" s="13">
        <f>IF('Données projet'!$A$62&gt;35,AI176+AH177-AQ176,IF(A177&lt;'Données projet'!$A$62,$AF$205^A177,IF(A177='Données projet'!$A$62,'Données projet'!$B$62,AI176+AH177-AQ176)))</f>
        <v>545.65000000000055</v>
      </c>
      <c r="AJ177" s="13">
        <f>AI177*VLOOKUP('Données projet'!$B$10,Paramètres!$A$1:$I$89,3,0)*VLOOKUP('Données projet'!$B$10,Paramètres!$A$1:$I$89,5,0)</f>
        <v>553.28910000000053</v>
      </c>
      <c r="AK177" s="13">
        <f t="shared" si="164"/>
        <v>122.24315587188718</v>
      </c>
      <c r="AL177" s="20">
        <f t="shared" si="165"/>
        <v>1176.5520123102044</v>
      </c>
      <c r="AM177" s="59">
        <f t="shared" si="113"/>
        <v>1469.8853456435377</v>
      </c>
      <c r="AN177" s="59">
        <f ca="1">AVERAGE(OFFSET($AM$3,0,0,'Données projet'!$E$10+1,1))-AVERAGE(OFFSET($H$3,0,0,'Données projet'!$E$10+1,1))</f>
        <v>646.50767193970182</v>
      </c>
      <c r="AO177" s="59">
        <f t="shared" si="144"/>
        <v>297.06786598620607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0.25800000000000001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129.85664910947281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129.85664910947281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5.3866666666666747</v>
      </c>
      <c r="N178" s="13">
        <f>IF('Données projet'!$A$36&gt;35,N177+M178-V177,IF(A178&lt;'Données projet'!$A$36,$K$205^A178,IF(A178='Données projet'!$A$36,'Données projet'!$B$36,N177+M178-V177)))</f>
        <v>336.26666666666722</v>
      </c>
      <c r="O178" s="13">
        <f>N178*VLOOKUP('Données projet'!$B$9,Paramètres!$A$1:$I$89,3,0)*VLOOKUP('Données projet'!$B$9,Paramètres!$A$1:$I$89,5,0)</f>
        <v>304.2540800000005</v>
      </c>
      <c r="P178" s="13">
        <f t="shared" si="141"/>
        <v>72.067549889405967</v>
      </c>
      <c r="Q178" s="20">
        <f t="shared" si="162"/>
        <v>655.42683872404962</v>
      </c>
      <c r="R178" s="59">
        <f t="shared" si="109"/>
        <v>948.76017205738299</v>
      </c>
      <c r="S178" s="59">
        <f ca="1">AVERAGE(OFFSET($R$3,0,0,'Données projet'!$E$9+1,1))-AVERAGE(OFFSET($H$3,0,0,'Données projet'!$E$9+1,1))</f>
        <v>581.88778927327667</v>
      </c>
      <c r="T178" s="59">
        <f t="shared" si="142"/>
        <v>269.67340993773422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113.59990594861424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113.59990594861424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5.3866666666666747</v>
      </c>
      <c r="AI178" s="13">
        <f>IF('Données projet'!$A$62&gt;35,AI177+AH178-AQ177,IF(A178&lt;'Données projet'!$A$62,$AF$205^A178,IF(A178='Données projet'!$A$62,'Données projet'!$B$62,AI177+AH178-AQ177)))</f>
        <v>336.26666666666722</v>
      </c>
      <c r="AJ178" s="13">
        <f>AI178*VLOOKUP('Données projet'!$B$10,Paramètres!$A$1:$I$89,3,0)*VLOOKUP('Données projet'!$B$10,Paramètres!$A$1:$I$89,5,0)</f>
        <v>340.97440000000057</v>
      </c>
      <c r="AK178" s="13">
        <f t="shared" si="164"/>
        <v>79.70123008824433</v>
      </c>
      <c r="AL178" s="20">
        <f t="shared" si="165"/>
        <v>732.67672240369313</v>
      </c>
      <c r="AM178" s="59">
        <f t="shared" si="113"/>
        <v>1026.0100557370265</v>
      </c>
      <c r="AN178" s="59">
        <f ca="1">AVERAGE(OFFSET($AM$3,0,0,'Données projet'!$E$10+1,1))-AVERAGE(OFFSET($H$3,0,0,'Données projet'!$E$10+1,1))</f>
        <v>646.50767193970182</v>
      </c>
      <c r="AO178" s="59">
        <f t="shared" si="144"/>
        <v>297.06786598620607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127.31023942517119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127.31023942517119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5.3866666666666747</v>
      </c>
      <c r="N179" s="13">
        <f>IF('Données projet'!$A$36&gt;35,N178+M179-V178,IF(A179&lt;'Données projet'!$A$36,$K$205^A179,IF(A179='Données projet'!$A$36,'Données projet'!$B$36,N178+M179-V178)))</f>
        <v>341.65333333333388</v>
      </c>
      <c r="O179" s="13">
        <f>N179*VLOOKUP('Données projet'!$B$9,Paramètres!$A$1:$I$89,3,0)*VLOOKUP('Données projet'!$B$9,Paramètres!$A$1:$I$89,5,0)</f>
        <v>309.12793600000049</v>
      </c>
      <c r="P179" s="13">
        <f t="shared" si="141"/>
        <v>73.086678650713282</v>
      </c>
      <c r="Q179" s="20">
        <f t="shared" si="162"/>
        <v>665.6904538499931</v>
      </c>
      <c r="R179" s="59">
        <f t="shared" si="109"/>
        <v>959.02378718332648</v>
      </c>
      <c r="S179" s="59">
        <f ca="1">AVERAGE(OFFSET($R$3,0,0,'Données projet'!$E$9+1,1))-AVERAGE(OFFSET($H$3,0,0,'Données projet'!$E$9+1,1))</f>
        <v>581.88778927327667</v>
      </c>
      <c r="T179" s="59">
        <f t="shared" si="142"/>
        <v>269.67340993773422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111.37228108206281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111.37228108206281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5.3866666666666747</v>
      </c>
      <c r="AI179" s="13">
        <f>IF('Données projet'!$A$62&gt;35,AI178+AH179-AQ178,IF(A179&lt;'Données projet'!$A$62,$AF$205^A179,IF(A179='Données projet'!$A$62,'Données projet'!$B$62,AI178+AH179-AQ178)))</f>
        <v>341.65333333333388</v>
      </c>
      <c r="AJ179" s="13">
        <f>AI179*VLOOKUP('Données projet'!$B$10,Paramètres!$A$1:$I$89,3,0)*VLOOKUP('Données projet'!$B$10,Paramètres!$A$1:$I$89,5,0)</f>
        <v>346.43648000000053</v>
      </c>
      <c r="AK179" s="13">
        <f t="shared" si="164"/>
        <v>80.828309002667666</v>
      </c>
      <c r="AL179" s="20">
        <f t="shared" si="165"/>
        <v>744.15284084631367</v>
      </c>
      <c r="AM179" s="59">
        <f t="shared" si="113"/>
        <v>1037.4861741796469</v>
      </c>
      <c r="AN179" s="59">
        <f ca="1">AVERAGE(OFFSET($AM$3,0,0,'Données projet'!$E$10+1,1))-AVERAGE(OFFSET($H$3,0,0,'Données projet'!$E$10+1,1))</f>
        <v>646.50767193970182</v>
      </c>
      <c r="AO179" s="59">
        <f t="shared" si="144"/>
        <v>297.06786598620607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124.81376328162217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124.81376328162217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>
        <f>VLOOKUP(A180,'Données projet'!$A$35:$I$55,2,0)</f>
        <v>347.04</v>
      </c>
      <c r="L180" s="12">
        <f>VLOOKUP(A180,'Données projet'!$A$35:$I$55,9,0)</f>
        <v>5.3866666666666747</v>
      </c>
      <c r="M180" s="12">
        <f t="array" ref="M180">INDEX(L:L,MIN(IF(ISNUMBER(L180:L376),ROW(L180:L376),"")))</f>
        <v>5.3866666666666747</v>
      </c>
      <c r="N180" s="13">
        <f>IF('Données projet'!$A$36&gt;35,N179+M180-V179,IF(A180&lt;'Données projet'!$A$36,$K$205^A180,IF(A180='Données projet'!$A$36,'Données projet'!$B$36,N179+M180-V179)))</f>
        <v>347.04000000000053</v>
      </c>
      <c r="O180" s="13">
        <f>N180*VLOOKUP('Données projet'!$B$9,Paramètres!$A$1:$I$89,3,0)*VLOOKUP('Données projet'!$B$9,Paramètres!$A$1:$I$89,5,0)</f>
        <v>314.00179200000048</v>
      </c>
      <c r="P180" s="13">
        <f t="shared" si="141"/>
        <v>74.103938722927282</v>
      </c>
      <c r="Q180" s="20">
        <f t="shared" si="162"/>
        <v>675.95081434243241</v>
      </c>
      <c r="R180" s="59">
        <f t="shared" si="109"/>
        <v>969.28414767576578</v>
      </c>
      <c r="S180" s="59">
        <f ca="1">AVERAGE(OFFSET($R$3,0,0,'Données projet'!$E$9+1,1))-AVERAGE(OFFSET($H$3,0,0,'Données projet'!$E$9+1,1))</f>
        <v>581.88778927327667</v>
      </c>
      <c r="T180" s="59">
        <f t="shared" si="142"/>
        <v>269.67340993773422</v>
      </c>
      <c r="U180" s="15">
        <f>IF(ISNA(VLOOKUP(A180,'Données projet'!$A$35:$I$55,3,0)),0,VLOOKUP(A180,'Données projet'!$A$35:$I$55,3,0))</f>
        <v>16</v>
      </c>
      <c r="V180" s="15">
        <f>IF(ISNA(VLOOKUP(A180,'Données projet'!$A$35:$I$55,4,0)),0,VLOOKUP(A180,'Données projet'!$A$35:$I$55,4,0))</f>
        <v>115.19</v>
      </c>
      <c r="W180" s="16">
        <f>IF(ISNA(VLOOKUP(A180,'Données projet'!$A$35:$I$55,5,0)),0%,VLOOKUP(A180,'Données projet'!$A$35:$I$55,5,0)*VLOOKUP('Données projet'!$B$9,Paramètres!$A$1:$I$89,7,0))</f>
        <v>0.25800000000000001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138.91418204963006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138.91418204963006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347.04</v>
      </c>
      <c r="AG180" s="12">
        <f>VLOOKUP(A180,'Données projet'!$A$61:$I$81,9,0)</f>
        <v>5.3866666666666747</v>
      </c>
      <c r="AH180" s="12">
        <f t="array" ref="AH180">INDEX(AG:AG,MIN(IF(ISNUMBER(AG180:AG376),ROW(AG180:AG376),"")))</f>
        <v>5.3866666666666747</v>
      </c>
      <c r="AI180" s="13">
        <f>IF('Données projet'!$A$62&gt;35,AI179+AH180-AQ179,IF(A180&lt;'Données projet'!$A$62,$AF$205^A180,IF(A180='Données projet'!$A$62,'Données projet'!$B$62,AI179+AH180-AQ179)))</f>
        <v>347.04000000000053</v>
      </c>
      <c r="AJ180" s="13">
        <f>AI180*VLOOKUP('Données projet'!$B$10,Paramètres!$A$1:$I$89,3,0)*VLOOKUP('Données projet'!$B$10,Paramètres!$A$1:$I$89,5,0)</f>
        <v>351.8985600000006</v>
      </c>
      <c r="AK180" s="13">
        <f t="shared" si="164"/>
        <v>81.953321289050805</v>
      </c>
      <c r="AL180" s="20">
        <f t="shared" si="165"/>
        <v>755.62535991176446</v>
      </c>
      <c r="AM180" s="59">
        <f t="shared" si="113"/>
        <v>1048.9586932450977</v>
      </c>
      <c r="AN180" s="59">
        <f ca="1">AVERAGE(OFFSET($AM$3,0,0,'Données projet'!$E$10+1,1))-AVERAGE(OFFSET($H$3,0,0,'Données projet'!$E$10+1,1))</f>
        <v>646.50767193970182</v>
      </c>
      <c r="AO180" s="59">
        <f t="shared" si="144"/>
        <v>297.06786598620607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0.25800000000000001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155.67968677975784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155.67968677975784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3.2566666666666606</v>
      </c>
      <c r="N181" s="13">
        <f>IF('Données projet'!$A$36&gt;35,N180+M181-V180,IF(A181&lt;'Données projet'!$A$36,$K$205^A181,IF(A181='Données projet'!$A$36,'Données projet'!$B$36,N180+M181-V180)))</f>
        <v>235.10666666666719</v>
      </c>
      <c r="O181" s="13">
        <f>N181*VLOOKUP('Données projet'!$B$9,Paramètres!$A$1:$I$89,3,0)*VLOOKUP('Données projet'!$B$9,Paramètres!$A$1:$I$89,5,0)</f>
        <v>212.72451200000049</v>
      </c>
      <c r="P181" s="13">
        <f t="shared" si="141"/>
        <v>52.530512718953382</v>
      </c>
      <c r="Q181" s="20">
        <f t="shared" si="162"/>
        <v>461.98583471884461</v>
      </c>
      <c r="R181" s="59">
        <f t="shared" si="109"/>
        <v>755.31916805217793</v>
      </c>
      <c r="S181" s="59">
        <f ca="1">AVERAGE(OFFSET($R$3,0,0,'Données projet'!$E$9+1,1))-AVERAGE(OFFSET($H$3,0,0,'Données projet'!$E$9+1,1))</f>
        <v>581.88778927327667</v>
      </c>
      <c r="T181" s="59">
        <f t="shared" si="142"/>
        <v>269.67340993773422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136.19015966892155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136.19015966892155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3.2566666666666606</v>
      </c>
      <c r="AI181" s="13">
        <f>IF('Données projet'!$A$62&gt;35,AI180+AH181-AQ180,IF(A181&lt;'Données projet'!$A$62,$AF$205^A181,IF(A181='Données projet'!$A$62,'Données projet'!$B$62,AI180+AH181-AQ180)))</f>
        <v>235.10666666666719</v>
      </c>
      <c r="AJ181" s="13">
        <f>AI181*VLOOKUP('Données projet'!$B$10,Paramètres!$A$1:$I$89,3,0)*VLOOKUP('Données projet'!$B$10,Paramètres!$A$1:$I$89,5,0)</f>
        <v>238.39816000000053</v>
      </c>
      <c r="AK181" s="13">
        <f t="shared" si="164"/>
        <v>58.09475259380514</v>
      </c>
      <c r="AL181" s="20">
        <f t="shared" si="165"/>
        <v>516.39182276754491</v>
      </c>
      <c r="AM181" s="59">
        <f t="shared" si="113"/>
        <v>809.72515610087817</v>
      </c>
      <c r="AN181" s="59">
        <f ca="1">AVERAGE(OFFSET($AM$3,0,0,'Données projet'!$E$10+1,1))-AVERAGE(OFFSET($H$3,0,0,'Données projet'!$E$10+1,1))</f>
        <v>646.50767193970182</v>
      </c>
      <c r="AO181" s="59">
        <f t="shared" si="144"/>
        <v>297.06786598620607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152.62690307723969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152.62690307723969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3.2566666666666606</v>
      </c>
      <c r="N182" s="13">
        <f>IF('Données projet'!$A$36&gt;35,N181+M182-V181,IF(A182&lt;'Données projet'!$A$36,$K$205^A182,IF(A182='Données projet'!$A$36,'Données projet'!$B$36,N181+M182-V181)))</f>
        <v>238.36333333333386</v>
      </c>
      <c r="O182" s="13">
        <f>N182*VLOOKUP('Données projet'!$B$9,Paramètres!$A$1:$I$89,3,0)*VLOOKUP('Données projet'!$B$9,Paramètres!$A$1:$I$89,5,0)</f>
        <v>215.67114400000045</v>
      </c>
      <c r="P182" s="13">
        <f t="shared" si="141"/>
        <v>53.172944836363733</v>
      </c>
      <c r="Q182" s="20">
        <f t="shared" si="162"/>
        <v>468.23678805666754</v>
      </c>
      <c r="R182" s="59">
        <f t="shared" si="109"/>
        <v>761.57012139000085</v>
      </c>
      <c r="S182" s="59">
        <f ca="1">AVERAGE(OFFSET($R$3,0,0,'Données projet'!$E$9+1,1))-AVERAGE(OFFSET($H$3,0,0,'Données projet'!$E$9+1,1))</f>
        <v>581.88778927327667</v>
      </c>
      <c r="T182" s="59">
        <f t="shared" si="142"/>
        <v>269.67340993773422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133.51955370560913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133.51955370560913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3.2566666666666606</v>
      </c>
      <c r="AI182" s="13">
        <f>IF('Données projet'!$A$62&gt;35,AI181+AH182-AQ181,IF(A182&lt;'Données projet'!$A$62,$AF$205^A182,IF(A182='Données projet'!$A$62,'Données projet'!$B$62,AI181+AH182-AQ181)))</f>
        <v>238.36333333333386</v>
      </c>
      <c r="AJ182" s="13">
        <f>AI182*VLOOKUP('Données projet'!$B$10,Paramètres!$A$1:$I$89,3,0)*VLOOKUP('Données projet'!$B$10,Paramètres!$A$1:$I$89,5,0)</f>
        <v>241.70042000000055</v>
      </c>
      <c r="AK182" s="13">
        <f t="shared" si="164"/>
        <v>58.805233664472574</v>
      </c>
      <c r="AL182" s="20">
        <f t="shared" si="165"/>
        <v>523.38068013229065</v>
      </c>
      <c r="AM182" s="59">
        <f t="shared" si="113"/>
        <v>816.71401346562402</v>
      </c>
      <c r="AN182" s="59">
        <f ca="1">AVERAGE(OFFSET($AM$3,0,0,'Données projet'!$E$10+1,1))-AVERAGE(OFFSET($H$3,0,0,'Données projet'!$E$10+1,1))</f>
        <v>646.50767193970182</v>
      </c>
      <c r="AO182" s="59">
        <f t="shared" si="144"/>
        <v>297.06786598620607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149.6339826011137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149.6339826011137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>
        <f>VLOOKUP(A183,'Données projet'!$A$35:$I$55,2,0)</f>
        <v>241.62</v>
      </c>
      <c r="L183" s="12">
        <f>VLOOKUP(A183,'Données projet'!$A$35:$I$55,9,0)</f>
        <v>3.2566666666666606</v>
      </c>
      <c r="M183" s="12">
        <f t="array" ref="M183">INDEX(L:L,MIN(IF(ISNUMBER(L183:L379),ROW(L183:L379),"")))</f>
        <v>3.2566666666666606</v>
      </c>
      <c r="N183" s="13">
        <f>IF('Données projet'!$A$36&gt;35,N182+M183-V182,IF(A183&lt;'Données projet'!$A$36,$K$205^A183,IF(A183='Données projet'!$A$36,'Données projet'!$B$36,N182+M183-V182)))</f>
        <v>241.62000000000052</v>
      </c>
      <c r="O183" s="13">
        <f>N183*VLOOKUP('Données projet'!$B$9,Paramètres!$A$1:$I$89,3,0)*VLOOKUP('Données projet'!$B$9,Paramètres!$A$1:$I$89,5,0)</f>
        <v>218.61777600000045</v>
      </c>
      <c r="P183" s="13">
        <f t="shared" si="141"/>
        <v>53.814356054061541</v>
      </c>
      <c r="Q183" s="20">
        <f t="shared" si="162"/>
        <v>474.48596332749122</v>
      </c>
      <c r="R183" s="59">
        <f t="shared" si="109"/>
        <v>767.81929666082453</v>
      </c>
      <c r="S183" s="59">
        <f ca="1">AVERAGE(OFFSET($R$3,0,0,'Données projet'!$E$9+1,1))-AVERAGE(OFFSET($H$3,0,0,'Données projet'!$E$9+1,1))</f>
        <v>581.88778927327667</v>
      </c>
      <c r="T183" s="59">
        <f t="shared" si="142"/>
        <v>269.67340993773422</v>
      </c>
      <c r="U183" s="15">
        <f>IF(ISNA(VLOOKUP(A183,'Données projet'!$A$35:$I$55,3,0)),0,VLOOKUP(A183,'Données projet'!$A$35:$I$55,3,0))</f>
        <v>17</v>
      </c>
      <c r="V183" s="15">
        <f>IF(ISNA(VLOOKUP(A183,'Données projet'!$A$35:$I$55,4,0)),0,VLOOKUP(A183,'Données projet'!$A$35:$I$55,4,0))</f>
        <v>77.72</v>
      </c>
      <c r="W183" s="16">
        <f>IF(ISNA(VLOOKUP(A183,'Données projet'!$A$35:$I$55,5,0)),0%,VLOOKUP(A183,'Données projet'!$A$35:$I$55,5,0)*VLOOKUP('Données projet'!$B$9,Paramètres!$A$1:$I$89,7,0))</f>
        <v>0.25800000000000001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150.95768056842175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150.95768056842175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241.62</v>
      </c>
      <c r="AG183" s="12">
        <f>VLOOKUP(A183,'Données projet'!$A$61:$I$81,9,0)</f>
        <v>3.2566666666666606</v>
      </c>
      <c r="AH183" s="12">
        <f t="array" ref="AH183">INDEX(AG:AG,MIN(IF(ISNUMBER(AG183:AG379),ROW(AG183:AG379),"")))</f>
        <v>3.2566666666666606</v>
      </c>
      <c r="AI183" s="13">
        <f>IF('Données projet'!$A$62&gt;35,AI182+AH183-AQ182,IF(A183&lt;'Données projet'!$A$62,$AF$205^A183,IF(A183='Données projet'!$A$62,'Données projet'!$B$62,AI182+AH183-AQ182)))</f>
        <v>241.62000000000052</v>
      </c>
      <c r="AJ183" s="13">
        <f>AI183*VLOOKUP('Données projet'!$B$10,Paramètres!$A$1:$I$89,3,0)*VLOOKUP('Données projet'!$B$10,Paramètres!$A$1:$I$89,5,0)</f>
        <v>245.00268000000054</v>
      </c>
      <c r="AK183" s="13">
        <f t="shared" si="164"/>
        <v>59.514585697688133</v>
      </c>
      <c r="AL183" s="20">
        <f t="shared" si="165"/>
        <v>530.36757109014115</v>
      </c>
      <c r="AM183" s="59">
        <f t="shared" si="113"/>
        <v>823.70090442347441</v>
      </c>
      <c r="AN183" s="59">
        <f ca="1">AVERAGE(OFFSET($AM$3,0,0,'Données projet'!$E$10+1,1))-AVERAGE(OFFSET($H$3,0,0,'Données projet'!$E$10+1,1))</f>
        <v>646.50767193970182</v>
      </c>
      <c r="AO183" s="59">
        <f t="shared" si="144"/>
        <v>297.06786598620607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0.25800000000000001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169.17671098185198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169.17671098185198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1.9533333333333285</v>
      </c>
      <c r="N184" s="13">
        <f>IF('Données projet'!$A$36&gt;35,N183+M184-V183,IF(A184&lt;'Données projet'!$A$36,$K$205^A184,IF(A184='Données projet'!$A$36,'Données projet'!$B$36,N183+M184-V183)))</f>
        <v>165.85333333333384</v>
      </c>
      <c r="O184" s="13">
        <f>N184*VLOOKUP('Données projet'!$B$9,Paramètres!$A$1:$I$89,3,0)*VLOOKUP('Données projet'!$B$9,Paramètres!$A$1:$I$89,5,0)</f>
        <v>150.06409600000046</v>
      </c>
      <c r="P184" s="13">
        <f t="shared" si="141"/>
        <v>38.593151304664545</v>
      </c>
      <c r="Q184" s="20">
        <f t="shared" si="162"/>
        <v>328.57803905562486</v>
      </c>
      <c r="R184" s="59">
        <f t="shared" si="109"/>
        <v>621.91137238895817</v>
      </c>
      <c r="S184" s="59">
        <f ca="1">AVERAGE(OFFSET($R$3,0,0,'Données projet'!$E$9+1,1))-AVERAGE(OFFSET($H$3,0,0,'Données projet'!$E$9+1,1))</f>
        <v>581.88778927327667</v>
      </c>
      <c r="T184" s="59">
        <f t="shared" si="142"/>
        <v>269.67340993773422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147.99749252756848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147.99749252756848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1.9533333333333285</v>
      </c>
      <c r="AI184" s="13">
        <f>IF('Données projet'!$A$62&gt;35,AI183+AH184-AQ183,IF(A184&lt;'Données projet'!$A$62,$AF$205^A184,IF(A184='Données projet'!$A$62,'Données projet'!$B$62,AI183+AH184-AQ183)))</f>
        <v>165.85333333333384</v>
      </c>
      <c r="AJ184" s="13">
        <f>AI184*VLOOKUP('Données projet'!$B$10,Paramètres!$A$1:$I$89,3,0)*VLOOKUP('Données projet'!$B$10,Paramètres!$A$1:$I$89,5,0)</f>
        <v>168.17528000000053</v>
      </c>
      <c r="AK184" s="13">
        <f t="shared" si="164"/>
        <v>42.681090680670735</v>
      </c>
      <c r="AL184" s="20">
        <f t="shared" si="165"/>
        <v>367.24151226883578</v>
      </c>
      <c r="AM184" s="59">
        <f t="shared" si="113"/>
        <v>660.57484560216903</v>
      </c>
      <c r="AN184" s="59">
        <f ca="1">AVERAGE(OFFSET($AM$3,0,0,'Données projet'!$E$10+1,1))-AVERAGE(OFFSET($H$3,0,0,'Données projet'!$E$10+1,1))</f>
        <v>646.50767193970182</v>
      </c>
      <c r="AO184" s="59">
        <f t="shared" si="144"/>
        <v>297.06786598620607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165.85925886710262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165.85925886710262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1.9533333333333285</v>
      </c>
      <c r="N185" s="13">
        <f>IF('Données projet'!$A$36&gt;35,N184+M185-V184,IF(A185&lt;'Données projet'!$A$36,$K$205^A185,IF(A185='Données projet'!$A$36,'Données projet'!$B$36,N184+M185-V184)))</f>
        <v>167.80666666666716</v>
      </c>
      <c r="O185" s="13">
        <f>N185*VLOOKUP('Données projet'!$B$9,Paramètres!$A$1:$I$89,3,0)*VLOOKUP('Données projet'!$B$9,Paramètres!$A$1:$I$89,5,0)</f>
        <v>151.83147200000045</v>
      </c>
      <c r="P185" s="13">
        <f t="shared" si="141"/>
        <v>38.994499777620597</v>
      </c>
      <c r="Q185" s="20">
        <f t="shared" si="162"/>
        <v>332.35523417935661</v>
      </c>
      <c r="R185" s="59">
        <f t="shared" si="109"/>
        <v>625.68856751268993</v>
      </c>
      <c r="S185" s="59">
        <f ca="1">AVERAGE(OFFSET($R$3,0,0,'Données projet'!$E$9+1,1))-AVERAGE(OFFSET($H$3,0,0,'Données projet'!$E$9+1,1))</f>
        <v>581.88778927327667</v>
      </c>
      <c r="T185" s="59">
        <f t="shared" si="142"/>
        <v>269.67340993773422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145.09535196865994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145.09535196865994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1.9533333333333285</v>
      </c>
      <c r="AI185" s="13">
        <f>IF('Données projet'!$A$62&gt;35,AI184+AH185-AQ184,IF(A185&lt;'Données projet'!$A$62,$AF$205^A185,IF(A185='Données projet'!$A$62,'Données projet'!$B$62,AI184+AH185-AQ184)))</f>
        <v>167.80666666666716</v>
      </c>
      <c r="AJ185" s="13">
        <f>AI185*VLOOKUP('Données projet'!$B$10,Paramètres!$A$1:$I$89,3,0)*VLOOKUP('Données projet'!$B$10,Paramètres!$A$1:$I$89,5,0)</f>
        <v>170.1559600000005</v>
      </c>
      <c r="AK185" s="13">
        <f t="shared" si="164"/>
        <v>43.124951572816009</v>
      </c>
      <c r="AL185" s="20">
        <f t="shared" si="165"/>
        <v>371.46425432265534</v>
      </c>
      <c r="AM185" s="59">
        <f t="shared" si="113"/>
        <v>664.79758765598865</v>
      </c>
      <c r="AN185" s="59">
        <f ca="1">AVERAGE(OFFSET($AM$3,0,0,'Données projet'!$E$10+1,1))-AVERAGE(OFFSET($H$3,0,0,'Données projet'!$E$10+1,1))</f>
        <v>646.50767193970182</v>
      </c>
      <c r="AO185" s="59">
        <f t="shared" si="144"/>
        <v>297.06786598620607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162.60685996487751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162.60685996487751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>
        <f>VLOOKUP(A186,'Données projet'!$A$35:$I$55,2,0)</f>
        <v>169.76</v>
      </c>
      <c r="L186" s="12">
        <f>VLOOKUP(A186,'Données projet'!$A$35:$I$55,9,0)</f>
        <v>1.9533333333333285</v>
      </c>
      <c r="M186" s="12">
        <f t="array" ref="M186">INDEX(L:L,MIN(IF(ISNUMBER(L186:L382),ROW(L186:L382),"")))</f>
        <v>1.9533333333333285</v>
      </c>
      <c r="N186" s="13">
        <f>IF('Données projet'!$A$36&gt;35,N185+M186-V185,IF(A186&lt;'Données projet'!$A$36,$K$205^A186,IF(A186='Données projet'!$A$36,'Données projet'!$B$36,N185+M186-V185)))</f>
        <v>169.76000000000047</v>
      </c>
      <c r="O186" s="13">
        <f>N186*VLOOKUP('Données projet'!$B$9,Paramètres!$A$1:$I$89,3,0)*VLOOKUP('Données projet'!$B$9,Paramètres!$A$1:$I$89,5,0)</f>
        <v>153.5988480000004</v>
      </c>
      <c r="P186" s="13">
        <f t="shared" si="141"/>
        <v>39.395304802658316</v>
      </c>
      <c r="Q186" s="20">
        <f t="shared" si="162"/>
        <v>336.13148279796388</v>
      </c>
      <c r="R186" s="59">
        <f t="shared" si="109"/>
        <v>629.4648161312972</v>
      </c>
      <c r="S186" s="59">
        <f ca="1">AVERAGE(OFFSET($R$3,0,0,'Données projet'!$E$9+1,1))-AVERAGE(OFFSET($H$3,0,0,'Données projet'!$E$9+1,1))</f>
        <v>581.88778927327667</v>
      </c>
      <c r="T186" s="59">
        <f t="shared" si="142"/>
        <v>269.67340993773422</v>
      </c>
      <c r="U186" s="15">
        <f>IF(ISNA(VLOOKUP(A186,'Données projet'!$A$35:$I$55,3,0)),0,VLOOKUP(A186,'Données projet'!$A$35:$I$55,3,0))</f>
        <v>18</v>
      </c>
      <c r="V186" s="15">
        <f>IF(ISNA(VLOOKUP(A186,'Données projet'!$A$35:$I$55,4,0)),0,VLOOKUP(A186,'Données projet'!$A$35:$I$55,4,0))</f>
        <v>169.76</v>
      </c>
      <c r="W186" s="16">
        <f>IF(ISNA(VLOOKUP(A186,'Données projet'!$A$35:$I$55,5,0)),0%,VLOOKUP(A186,'Données projet'!$A$35:$I$55,5,0)*VLOOKUP('Données projet'!$B$9,Paramètres!$A$1:$I$89,7,0))</f>
        <v>0.25800000000000001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186.05825662893167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186.05825662893167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169.76</v>
      </c>
      <c r="AG186" s="12">
        <f>VLOOKUP(A186,'Données projet'!$A$61:$I$81,9,0)</f>
        <v>1.9533333333333285</v>
      </c>
      <c r="AH186" s="12">
        <f t="array" ref="AH186">INDEX(AG:AG,MIN(IF(ISNUMBER(AG186:AG382),ROW(AG186:AG382),"")))</f>
        <v>1.9533333333333285</v>
      </c>
      <c r="AI186" s="13">
        <f>IF('Données projet'!$A$62&gt;35,AI185+AH186-AQ185,IF(A186&lt;'Données projet'!$A$62,$AF$205^A186,IF(A186='Données projet'!$A$62,'Données projet'!$B$62,AI185+AH186-AQ185)))</f>
        <v>169.76000000000047</v>
      </c>
      <c r="AJ186" s="13">
        <f>AI186*VLOOKUP('Données projet'!$B$10,Paramètres!$A$1:$I$89,3,0)*VLOOKUP('Données projet'!$B$10,Paramètres!$A$1:$I$89,5,0)</f>
        <v>172.13664000000048</v>
      </c>
      <c r="AK186" s="13">
        <f t="shared" si="164"/>
        <v>43.568211452887901</v>
      </c>
      <c r="AL186" s="20">
        <f t="shared" si="165"/>
        <v>375.68594961378062</v>
      </c>
      <c r="AM186" s="59">
        <f t="shared" si="113"/>
        <v>669.01928294711388</v>
      </c>
      <c r="AN186" s="59">
        <f ca="1">AVERAGE(OFFSET($AM$3,0,0,'Données projet'!$E$10+1,1))-AVERAGE(OFFSET($H$3,0,0,'Données projet'!$E$10+1,1))</f>
        <v>646.50767193970182</v>
      </c>
      <c r="AO186" s="59">
        <f t="shared" si="144"/>
        <v>297.06786598620607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0.25800000000000001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208.51356346345793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208.51356346345793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4.8316906031686813E-13</v>
      </c>
      <c r="O187" s="13">
        <f>N187*VLOOKUP('Données projet'!$B$9,Paramètres!$A$1:$I$89,3,0)*VLOOKUP('Données projet'!$B$9,Paramètres!$A$1:$I$89,5,0)</f>
        <v>4.3717136577470225E-13</v>
      </c>
      <c r="P187" s="13">
        <f t="shared" si="141"/>
        <v>5.5313598682231701E-12</v>
      </c>
      <c r="Q187" s="20">
        <f t="shared" si="162"/>
        <v>1.039519189921296E-11</v>
      </c>
      <c r="R187" s="59">
        <f t="shared" si="109"/>
        <v>293.33333333334372</v>
      </c>
      <c r="S187" s="59">
        <f ca="1">AVERAGE(OFFSET($R$3,0,0,'Données projet'!$E$9+1,1))-AVERAGE(OFFSET($H$3,0,0,'Données projet'!$E$9+1,1))</f>
        <v>581.88778927327667</v>
      </c>
      <c r="T187" s="59">
        <f t="shared" si="142"/>
        <v>269.67340993773422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182.40976770076921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182.40976770076921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4.8316906031686813E-13</v>
      </c>
      <c r="AJ187" s="13">
        <f>AI187*VLOOKUP('Données projet'!$B$10,Paramètres!$A$1:$I$89,3,0)*VLOOKUP('Données projet'!$B$10,Paramètres!$A$1:$I$89,5,0)</f>
        <v>4.8993342716130437E-13</v>
      </c>
      <c r="AK187" s="13">
        <f t="shared" si="164"/>
        <v>6.1172634040517391E-12</v>
      </c>
      <c r="AL187" s="20">
        <f t="shared" si="165"/>
        <v>1.1507534481029384E-11</v>
      </c>
      <c r="AM187" s="59">
        <f t="shared" si="113"/>
        <v>293.3333333333448</v>
      </c>
      <c r="AN187" s="59">
        <f ca="1">AVERAGE(OFFSET($AM$3,0,0,'Données projet'!$E$10+1,1))-AVERAGE(OFFSET($H$3,0,0,'Données projet'!$E$10+1,1))</f>
        <v>646.50767193970182</v>
      </c>
      <c r="AO187" s="59">
        <f t="shared" si="144"/>
        <v>297.06786598620607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204.42473966465516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204.42473966465516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4.8316906031686813E-13</v>
      </c>
      <c r="O188" s="13">
        <f>N188*VLOOKUP('Données projet'!$B$9,Paramètres!$A$1:$I$89,3,0)*VLOOKUP('Données projet'!$B$9,Paramètres!$A$1:$I$89,5,0)</f>
        <v>4.3717136577470225E-13</v>
      </c>
      <c r="P188" s="13">
        <f t="shared" si="141"/>
        <v>5.5313598682231701E-12</v>
      </c>
      <c r="Q188" s="20">
        <f t="shared" si="162"/>
        <v>1.039519189921296E-11</v>
      </c>
      <c r="R188" s="59">
        <f t="shared" si="109"/>
        <v>293.33333333334372</v>
      </c>
      <c r="S188" s="59">
        <f ca="1">AVERAGE(OFFSET($R$3,0,0,'Données projet'!$E$9+1,1))-AVERAGE(OFFSET($H$3,0,0,'Données projet'!$E$9+1,1))</f>
        <v>581.88778927327667</v>
      </c>
      <c r="T188" s="59">
        <f t="shared" si="142"/>
        <v>269.67340993773422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178.83282341512952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178.83282341512952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4.8316906031686813E-13</v>
      </c>
      <c r="AJ188" s="13">
        <f>AI188*VLOOKUP('Données projet'!$B$10,Paramètres!$A$1:$I$89,3,0)*VLOOKUP('Données projet'!$B$10,Paramètres!$A$1:$I$89,5,0)</f>
        <v>4.8993342716130437E-13</v>
      </c>
      <c r="AK188" s="13">
        <f t="shared" si="164"/>
        <v>6.1172634040517391E-12</v>
      </c>
      <c r="AL188" s="20">
        <f t="shared" si="165"/>
        <v>1.1507534481029384E-11</v>
      </c>
      <c r="AM188" s="59">
        <f t="shared" si="113"/>
        <v>293.3333333333448</v>
      </c>
      <c r="AN188" s="59">
        <f ca="1">AVERAGE(OFFSET($AM$3,0,0,'Données projet'!$E$10+1,1))-AVERAGE(OFFSET($H$3,0,0,'Données projet'!$E$10+1,1))</f>
        <v>646.50767193970182</v>
      </c>
      <c r="AO188" s="59">
        <f t="shared" si="144"/>
        <v>297.06786598620607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200.41609520661066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200.41609520661066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4.8316906031686813E-13</v>
      </c>
      <c r="O189" s="13">
        <f>N189*VLOOKUP('Données projet'!$B$9,Paramètres!$A$1:$I$89,3,0)*VLOOKUP('Données projet'!$B$9,Paramètres!$A$1:$I$89,5,0)</f>
        <v>4.3717136577470225E-13</v>
      </c>
      <c r="P189" s="13">
        <f t="shared" si="141"/>
        <v>5.5313598682231701E-12</v>
      </c>
      <c r="Q189" s="20">
        <f t="shared" si="162"/>
        <v>1.039519189921296E-11</v>
      </c>
      <c r="R189" s="59">
        <f t="shared" si="109"/>
        <v>293.33333333334372</v>
      </c>
      <c r="S189" s="59">
        <f ca="1">AVERAGE(OFFSET($R$3,0,0,'Données projet'!$E$9+1,1))-AVERAGE(OFFSET($H$3,0,0,'Données projet'!$E$9+1,1))</f>
        <v>581.88778927327667</v>
      </c>
      <c r="T189" s="59">
        <f t="shared" si="142"/>
        <v>269.67340993773422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175.32602082521063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175.32602082521063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4.8316906031686813E-13</v>
      </c>
      <c r="AJ189" s="13">
        <f>AI189*VLOOKUP('Données projet'!$B$10,Paramètres!$A$1:$I$89,3,0)*VLOOKUP('Données projet'!$B$10,Paramètres!$A$1:$I$89,5,0)</f>
        <v>4.8993342716130437E-13</v>
      </c>
      <c r="AK189" s="13">
        <f t="shared" si="164"/>
        <v>6.1172634040517391E-12</v>
      </c>
      <c r="AL189" s="20">
        <f t="shared" si="165"/>
        <v>1.1507534481029384E-11</v>
      </c>
      <c r="AM189" s="59">
        <f t="shared" si="113"/>
        <v>293.3333333333448</v>
      </c>
      <c r="AN189" s="59">
        <f ca="1">AVERAGE(OFFSET($AM$3,0,0,'Données projet'!$E$10+1,1))-AVERAGE(OFFSET($H$3,0,0,'Données projet'!$E$10+1,1))</f>
        <v>646.50767193970182</v>
      </c>
      <c r="AO189" s="59">
        <f t="shared" si="144"/>
        <v>297.06786598620607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196.48605782135672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196.48605782135672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4.8316906031686813E-13</v>
      </c>
      <c r="O190" s="13">
        <f>N190*VLOOKUP('Données projet'!$B$9,Paramètres!$A$1:$I$89,3,0)*VLOOKUP('Données projet'!$B$9,Paramètres!$A$1:$I$89,5,0)</f>
        <v>4.3717136577470225E-13</v>
      </c>
      <c r="P190" s="13">
        <f t="shared" si="141"/>
        <v>5.5313598682231701E-12</v>
      </c>
      <c r="Q190" s="20">
        <f t="shared" si="162"/>
        <v>1.039519189921296E-11</v>
      </c>
      <c r="R190" s="59">
        <f t="shared" si="109"/>
        <v>293.33333333334372</v>
      </c>
      <c r="S190" s="59">
        <f ca="1">AVERAGE(OFFSET($R$3,0,0,'Données projet'!$E$9+1,1))-AVERAGE(OFFSET($H$3,0,0,'Données projet'!$E$9+1,1))</f>
        <v>581.88778927327667</v>
      </c>
      <c r="T190" s="59">
        <f t="shared" si="142"/>
        <v>269.67340993773422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171.88798449514167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171.88798449514167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4.8316906031686813E-13</v>
      </c>
      <c r="AJ190" s="13">
        <f>AI190*VLOOKUP('Données projet'!$B$10,Paramètres!$A$1:$I$89,3,0)*VLOOKUP('Données projet'!$B$10,Paramètres!$A$1:$I$89,5,0)</f>
        <v>4.8993342716130437E-13</v>
      </c>
      <c r="AK190" s="13">
        <f t="shared" si="164"/>
        <v>6.1172634040517391E-12</v>
      </c>
      <c r="AL190" s="20">
        <f t="shared" si="165"/>
        <v>1.1507534481029384E-11</v>
      </c>
      <c r="AM190" s="59">
        <f t="shared" si="113"/>
        <v>293.3333333333448</v>
      </c>
      <c r="AN190" s="59">
        <f ca="1">AVERAGE(OFFSET($AM$3,0,0,'Données projet'!$E$10+1,1))-AVERAGE(OFFSET($H$3,0,0,'Données projet'!$E$10+1,1))</f>
        <v>646.50767193970182</v>
      </c>
      <c r="AO190" s="59">
        <f t="shared" si="144"/>
        <v>297.06786598620607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192.63308607214151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192.63308607214151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4.8316906031686813E-13</v>
      </c>
      <c r="O191" s="13">
        <f>N191*VLOOKUP('Données projet'!$B$9,Paramètres!$A$1:$I$89,3,0)*VLOOKUP('Données projet'!$B$9,Paramètres!$A$1:$I$89,5,0)</f>
        <v>4.3717136577470225E-13</v>
      </c>
      <c r="P191" s="13">
        <f t="shared" si="141"/>
        <v>5.5313598682231701E-12</v>
      </c>
      <c r="Q191" s="20">
        <f t="shared" si="162"/>
        <v>1.039519189921296E-11</v>
      </c>
      <c r="R191" s="59">
        <f t="shared" si="109"/>
        <v>293.33333333334372</v>
      </c>
      <c r="S191" s="59">
        <f ca="1">AVERAGE(OFFSET($R$3,0,0,'Données projet'!$E$9+1,1))-AVERAGE(OFFSET($H$3,0,0,'Données projet'!$E$9+1,1))</f>
        <v>581.88778927327667</v>
      </c>
      <c r="T191" s="59">
        <f t="shared" si="142"/>
        <v>269.67340993773422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168.51736596051026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168.51736596051026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4.8316906031686813E-13</v>
      </c>
      <c r="AJ191" s="13">
        <f>AI191*VLOOKUP('Données projet'!$B$10,Paramètres!$A$1:$I$89,3,0)*VLOOKUP('Données projet'!$B$10,Paramètres!$A$1:$I$89,5,0)</f>
        <v>4.8993342716130437E-13</v>
      </c>
      <c r="AK191" s="13">
        <f t="shared" si="164"/>
        <v>6.1172634040517391E-12</v>
      </c>
      <c r="AL191" s="20">
        <f t="shared" si="165"/>
        <v>1.1507534481029384E-11</v>
      </c>
      <c r="AM191" s="59">
        <f t="shared" si="113"/>
        <v>293.3333333333448</v>
      </c>
      <c r="AN191" s="59">
        <f ca="1">AVERAGE(OFFSET($AM$3,0,0,'Données projet'!$E$10+1,1))-AVERAGE(OFFSET($H$3,0,0,'Données projet'!$E$10+1,1))</f>
        <v>646.50767193970182</v>
      </c>
      <c r="AO191" s="59">
        <f t="shared" si="144"/>
        <v>297.06786598620607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188.85566874884771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188.85566874884771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4.8316906031686813E-13</v>
      </c>
      <c r="O192" s="13">
        <f>N192*VLOOKUP('Données projet'!$B$9,Paramètres!$A$1:$I$89,3,0)*VLOOKUP('Données projet'!$B$9,Paramètres!$A$1:$I$89,5,0)</f>
        <v>4.3717136577470225E-13</v>
      </c>
      <c r="P192" s="13">
        <f t="shared" si="141"/>
        <v>5.5313598682231701E-12</v>
      </c>
      <c r="Q192" s="20">
        <f t="shared" si="162"/>
        <v>1.039519189921296E-11</v>
      </c>
      <c r="R192" s="59">
        <f t="shared" si="109"/>
        <v>293.33333333334372</v>
      </c>
      <c r="S192" s="59">
        <f ca="1">AVERAGE(OFFSET($R$3,0,0,'Données projet'!$E$9+1,1))-AVERAGE(OFFSET($H$3,0,0,'Données projet'!$E$9+1,1))</f>
        <v>581.88778927327667</v>
      </c>
      <c r="T192" s="59">
        <f t="shared" si="142"/>
        <v>269.67340993773422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165.21284319946867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165.21284319946867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4.8316906031686813E-13</v>
      </c>
      <c r="AJ192" s="13">
        <f>AI192*VLOOKUP('Données projet'!$B$10,Paramètres!$A$1:$I$89,3,0)*VLOOKUP('Données projet'!$B$10,Paramètres!$A$1:$I$89,5,0)</f>
        <v>4.8993342716130437E-13</v>
      </c>
      <c r="AK192" s="13">
        <f t="shared" si="164"/>
        <v>6.1172634040517391E-12</v>
      </c>
      <c r="AL192" s="20">
        <f t="shared" si="165"/>
        <v>1.1507534481029384E-11</v>
      </c>
      <c r="AM192" s="59">
        <f t="shared" si="113"/>
        <v>293.3333333333448</v>
      </c>
      <c r="AN192" s="59">
        <f ca="1">AVERAGE(OFFSET($AM$3,0,0,'Données projet'!$E$10+1,1))-AVERAGE(OFFSET($H$3,0,0,'Données projet'!$E$10+1,1))</f>
        <v>646.50767193970182</v>
      </c>
      <c r="AO192" s="59">
        <f t="shared" si="144"/>
        <v>297.06786598620607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185.15232427526661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185.15232427526661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4.8316906031686813E-13</v>
      </c>
      <c r="O193" s="13">
        <f>N193*VLOOKUP('Données projet'!$B$9,Paramètres!$A$1:$I$89,3,0)*VLOOKUP('Données projet'!$B$9,Paramètres!$A$1:$I$89,5,0)</f>
        <v>4.3717136577470225E-13</v>
      </c>
      <c r="P193" s="13">
        <f t="shared" si="141"/>
        <v>5.5313598682231701E-12</v>
      </c>
      <c r="Q193" s="20">
        <f t="shared" si="162"/>
        <v>1.039519189921296E-11</v>
      </c>
      <c r="R193" s="59">
        <f t="shared" si="109"/>
        <v>293.33333333334372</v>
      </c>
      <c r="S193" s="59">
        <f ca="1">AVERAGE(OFFSET($R$3,0,0,'Données projet'!$E$9+1,1))-AVERAGE(OFFSET($H$3,0,0,'Données projet'!$E$9+1,1))</f>
        <v>581.88778927327667</v>
      </c>
      <c r="T193" s="59">
        <f t="shared" si="142"/>
        <v>269.67340993773422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161.97312011421124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161.97312011421124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4.8316906031686813E-13</v>
      </c>
      <c r="AJ193" s="13">
        <f>AI193*VLOOKUP('Données projet'!$B$10,Paramètres!$A$1:$I$89,3,0)*VLOOKUP('Données projet'!$B$10,Paramètres!$A$1:$I$89,5,0)</f>
        <v>4.8993342716130437E-13</v>
      </c>
      <c r="AK193" s="13">
        <f t="shared" si="164"/>
        <v>6.1172634040517391E-12</v>
      </c>
      <c r="AL193" s="20">
        <f t="shared" si="165"/>
        <v>1.1507534481029384E-11</v>
      </c>
      <c r="AM193" s="59">
        <f t="shared" si="113"/>
        <v>293.3333333333448</v>
      </c>
      <c r="AN193" s="59">
        <f ca="1">AVERAGE(OFFSET($AM$3,0,0,'Données projet'!$E$10+1,1))-AVERAGE(OFFSET($H$3,0,0,'Données projet'!$E$10+1,1))</f>
        <v>646.50767193970182</v>
      </c>
      <c r="AO193" s="59">
        <f t="shared" si="144"/>
        <v>297.06786598620607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181.52160012799536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181.52160012799536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4.8316906031686813E-13</v>
      </c>
      <c r="O194" s="13">
        <f>N194*VLOOKUP('Données projet'!$B$9,Paramètres!$A$1:$I$89,3,0)*VLOOKUP('Données projet'!$B$9,Paramètres!$A$1:$I$89,5,0)</f>
        <v>4.3717136577470225E-13</v>
      </c>
      <c r="P194" s="13">
        <f t="shared" si="141"/>
        <v>5.5313598682231701E-12</v>
      </c>
      <c r="Q194" s="20">
        <f t="shared" si="162"/>
        <v>1.039519189921296E-11</v>
      </c>
      <c r="R194" s="59">
        <f t="shared" si="109"/>
        <v>293.33333333334372</v>
      </c>
      <c r="S194" s="59">
        <f ca="1">AVERAGE(OFFSET($R$3,0,0,'Données projet'!$E$9+1,1))-AVERAGE(OFFSET($H$3,0,0,'Données projet'!$E$9+1,1))</f>
        <v>581.88778927327667</v>
      </c>
      <c r="T194" s="59">
        <f t="shared" si="142"/>
        <v>269.67340993773422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158.79692602261974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158.79692602261974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4.8316906031686813E-13</v>
      </c>
      <c r="AJ194" s="13">
        <f>AI194*VLOOKUP('Données projet'!$B$10,Paramètres!$A$1:$I$89,3,0)*VLOOKUP('Données projet'!$B$10,Paramètres!$A$1:$I$89,5,0)</f>
        <v>4.8993342716130437E-13</v>
      </c>
      <c r="AK194" s="13">
        <f t="shared" si="164"/>
        <v>6.1172634040517391E-12</v>
      </c>
      <c r="AL194" s="20">
        <f t="shared" si="165"/>
        <v>1.1507534481029384E-11</v>
      </c>
      <c r="AM194" s="59">
        <f t="shared" si="113"/>
        <v>293.3333333333448</v>
      </c>
      <c r="AN194" s="59">
        <f ca="1">AVERAGE(OFFSET($AM$3,0,0,'Données projet'!$E$10+1,1))-AVERAGE(OFFSET($H$3,0,0,'Données projet'!$E$10+1,1))</f>
        <v>646.50767193970182</v>
      </c>
      <c r="AO194" s="59">
        <f t="shared" si="144"/>
        <v>297.06786598620607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177.96207226672902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177.96207226672902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4.8316906031686813E-13</v>
      </c>
      <c r="O195" s="13">
        <f>N195*VLOOKUP('Données projet'!$B$9,Paramètres!$A$1:$I$89,3,0)*VLOOKUP('Données projet'!$B$9,Paramètres!$A$1:$I$89,5,0)</f>
        <v>4.3717136577470225E-13</v>
      </c>
      <c r="P195" s="13">
        <f t="shared" si="141"/>
        <v>5.5313598682231701E-12</v>
      </c>
      <c r="Q195" s="20">
        <f t="shared" si="162"/>
        <v>1.039519189921296E-11</v>
      </c>
      <c r="R195" s="59">
        <f t="shared" ref="R195:R203" si="191">Q195+(I195+J195)*44/12</f>
        <v>293.33333333334372</v>
      </c>
      <c r="S195" s="59">
        <f ca="1">AVERAGE(OFFSET($R$3,0,0,'Données projet'!$E$9+1,1))-AVERAGE(OFFSET($H$3,0,0,'Données projet'!$E$9+1,1))</f>
        <v>581.88778927327667</v>
      </c>
      <c r="T195" s="59">
        <f t="shared" si="142"/>
        <v>269.67340993773422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155.68301515987724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155.68301515987724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4.8316906031686813E-13</v>
      </c>
      <c r="AJ195" s="13">
        <f>AI195*VLOOKUP('Données projet'!$B$10,Paramètres!$A$1:$I$89,3,0)*VLOOKUP('Données projet'!$B$10,Paramètres!$A$1:$I$89,5,0)</f>
        <v>4.8993342716130437E-13</v>
      </c>
      <c r="AK195" s="13">
        <f t="shared" si="164"/>
        <v>6.1172634040517391E-12</v>
      </c>
      <c r="AL195" s="20">
        <f t="shared" si="165"/>
        <v>1.1507534481029384E-11</v>
      </c>
      <c r="AM195" s="59">
        <f t="shared" si="113"/>
        <v>293.3333333333448</v>
      </c>
      <c r="AN195" s="59">
        <f ca="1">AVERAGE(OFFSET($AM$3,0,0,'Données projet'!$E$10+1,1))-AVERAGE(OFFSET($H$3,0,0,'Données projet'!$E$10+1,1))</f>
        <v>646.50767193970182</v>
      </c>
      <c r="AO195" s="59">
        <f t="shared" si="144"/>
        <v>297.06786598620607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174.47234457572452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174.47234457572452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4.8316906031686813E-13</v>
      </c>
      <c r="O196" s="13">
        <f>N196*VLOOKUP('Données projet'!$B$9,Paramètres!$A$1:$I$89,3,0)*VLOOKUP('Données projet'!$B$9,Paramètres!$A$1:$I$89,5,0)</f>
        <v>4.3717136577470225E-13</v>
      </c>
      <c r="P196" s="13">
        <f t="shared" si="141"/>
        <v>5.5313598682231701E-12</v>
      </c>
      <c r="Q196" s="20">
        <f t="shared" si="162"/>
        <v>1.039519189921296E-11</v>
      </c>
      <c r="R196" s="59">
        <f t="shared" si="191"/>
        <v>293.33333333334372</v>
      </c>
      <c r="S196" s="59">
        <f ca="1">AVERAGE(OFFSET($R$3,0,0,'Données projet'!$E$9+1,1))-AVERAGE(OFFSET($H$3,0,0,'Données projet'!$E$9+1,1))</f>
        <v>581.88778927327667</v>
      </c>
      <c r="T196" s="59">
        <f t="shared" si="142"/>
        <v>269.67340993773422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152.63016618985506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152.63016618985506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4.8316906031686813E-13</v>
      </c>
      <c r="AJ196" s="13">
        <f>AI196*VLOOKUP('Données projet'!$B$10,Paramètres!$A$1:$I$89,3,0)*VLOOKUP('Données projet'!$B$10,Paramètres!$A$1:$I$89,5,0)</f>
        <v>4.8993342716130437E-13</v>
      </c>
      <c r="AK196" s="13">
        <f t="shared" si="164"/>
        <v>6.1172634040517391E-12</v>
      </c>
      <c r="AL196" s="20">
        <f t="shared" si="165"/>
        <v>1.1507534481029384E-11</v>
      </c>
      <c r="AM196" s="59">
        <f t="shared" ref="AM196:AM203" si="193">AL196+(AD196+AE196)*44/12</f>
        <v>293.3333333333448</v>
      </c>
      <c r="AN196" s="59">
        <f ca="1">AVERAGE(OFFSET($AM$3,0,0,'Données projet'!$E$10+1,1))-AVERAGE(OFFSET($H$3,0,0,'Données projet'!$E$10+1,1))</f>
        <v>646.50767193970182</v>
      </c>
      <c r="AO196" s="59">
        <f t="shared" si="144"/>
        <v>297.06786598620607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171.05104831621688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171.05104831621688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4.8316906031686813E-13</v>
      </c>
      <c r="O197" s="13">
        <f>N197*VLOOKUP('Données projet'!$B$9,Paramètres!$A$1:$I$89,3,0)*VLOOKUP('Données projet'!$B$9,Paramètres!$A$1:$I$89,5,0)</f>
        <v>4.3717136577470225E-13</v>
      </c>
      <c r="P197" s="13">
        <f t="shared" ref="P197:P203" si="203">EXP(-1.0587+0.8836*LN(O197)+0.284)</f>
        <v>5.5313598682231701E-12</v>
      </c>
      <c r="Q197" s="20">
        <f t="shared" si="162"/>
        <v>1.039519189921296E-11</v>
      </c>
      <c r="R197" s="59">
        <f t="shared" si="191"/>
        <v>293.33333333334372</v>
      </c>
      <c r="S197" s="59">
        <f ca="1">AVERAGE(OFFSET($R$3,0,0,'Données projet'!$E$9+1,1))-AVERAGE(OFFSET($H$3,0,0,'Données projet'!$E$9+1,1))</f>
        <v>581.88778927327667</v>
      </c>
      <c r="T197" s="59">
        <f t="shared" ref="T197:T203" si="204">$T$3</f>
        <v>269.67340993773422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149.637181726081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149.637181726081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4.8316906031686813E-13</v>
      </c>
      <c r="AJ197" s="13">
        <f>AI197*VLOOKUP('Données projet'!$B$10,Paramètres!$A$1:$I$89,3,0)*VLOOKUP('Données projet'!$B$10,Paramètres!$A$1:$I$89,5,0)</f>
        <v>4.8993342716130437E-13</v>
      </c>
      <c r="AK197" s="13">
        <f t="shared" si="164"/>
        <v>6.1172634040517391E-12</v>
      </c>
      <c r="AL197" s="20">
        <f t="shared" si="165"/>
        <v>1.1507534481029384E-11</v>
      </c>
      <c r="AM197" s="59">
        <f t="shared" si="193"/>
        <v>293.3333333333448</v>
      </c>
      <c r="AN197" s="59">
        <f ca="1">AVERAGE(OFFSET($AM$3,0,0,'Données projet'!$E$10+1,1))-AVERAGE(OFFSET($H$3,0,0,'Données projet'!$E$10+1,1))</f>
        <v>646.50767193970182</v>
      </c>
      <c r="AO197" s="59">
        <f t="shared" ref="AO197:AO203" si="205">$AO$3</f>
        <v>297.06786598620607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167.69684158957352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167.69684158957352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4.8316906031686813E-13</v>
      </c>
      <c r="O198" s="13">
        <f>N198*VLOOKUP('Données projet'!$B$9,Paramètres!$A$1:$I$89,3,0)*VLOOKUP('Données projet'!$B$9,Paramètres!$A$1:$I$89,5,0)</f>
        <v>4.3717136577470225E-13</v>
      </c>
      <c r="P198" s="13">
        <f t="shared" si="203"/>
        <v>5.5313598682231701E-12</v>
      </c>
      <c r="Q198" s="20">
        <f t="shared" si="162"/>
        <v>1.039519189921296E-11</v>
      </c>
      <c r="R198" s="59">
        <f t="shared" si="191"/>
        <v>293.33333333334372</v>
      </c>
      <c r="S198" s="59">
        <f ca="1">AVERAGE(OFFSET($R$3,0,0,'Données projet'!$E$9+1,1))-AVERAGE(OFFSET($H$3,0,0,'Données projet'!$E$9+1,1))</f>
        <v>581.88778927327667</v>
      </c>
      <c r="T198" s="59">
        <f t="shared" si="204"/>
        <v>269.67340993773422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146.70288786210128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146.70288786210128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4.8316906031686813E-13</v>
      </c>
      <c r="AJ198" s="13">
        <f>AI198*VLOOKUP('Données projet'!$B$10,Paramètres!$A$1:$I$89,3,0)*VLOOKUP('Données projet'!$B$10,Paramètres!$A$1:$I$89,5,0)</f>
        <v>4.8993342716130437E-13</v>
      </c>
      <c r="AK198" s="13">
        <f t="shared" si="164"/>
        <v>6.1172634040517391E-12</v>
      </c>
      <c r="AL198" s="20">
        <f t="shared" si="165"/>
        <v>1.1507534481029384E-11</v>
      </c>
      <c r="AM198" s="59">
        <f t="shared" si="193"/>
        <v>293.3333333333448</v>
      </c>
      <c r="AN198" s="59">
        <f ca="1">AVERAGE(OFFSET($AM$3,0,0,'Données projet'!$E$10+1,1))-AVERAGE(OFFSET($H$3,0,0,'Données projet'!$E$10+1,1))</f>
        <v>646.50767193970182</v>
      </c>
      <c r="AO198" s="59">
        <f t="shared" si="205"/>
        <v>297.06786598620607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164.40840881097554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164.40840881097554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4.8316906031686813E-13</v>
      </c>
      <c r="O199" s="13">
        <f>N199*VLOOKUP('Données projet'!$B$9,Paramètres!$A$1:$I$89,3,0)*VLOOKUP('Données projet'!$B$9,Paramètres!$A$1:$I$89,5,0)</f>
        <v>4.3717136577470225E-13</v>
      </c>
      <c r="P199" s="13">
        <f t="shared" si="203"/>
        <v>5.5313598682231701E-12</v>
      </c>
      <c r="Q199" s="20">
        <f t="shared" si="162"/>
        <v>1.039519189921296E-11</v>
      </c>
      <c r="R199" s="59">
        <f t="shared" si="191"/>
        <v>293.33333333334372</v>
      </c>
      <c r="S199" s="59">
        <f ca="1">AVERAGE(OFFSET($R$3,0,0,'Données projet'!$E$9+1,1))-AVERAGE(OFFSET($H$3,0,0,'Données projet'!$E$9+1,1))</f>
        <v>581.88778927327667</v>
      </c>
      <c r="T199" s="59">
        <f t="shared" si="204"/>
        <v>269.67340993773422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143.82613371105165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143.82613371105165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4.8316906031686813E-13</v>
      </c>
      <c r="AJ199" s="13">
        <f>AI199*VLOOKUP('Données projet'!$B$10,Paramètres!$A$1:$I$89,3,0)*VLOOKUP('Données projet'!$B$10,Paramètres!$A$1:$I$89,5,0)</f>
        <v>4.8993342716130437E-13</v>
      </c>
      <c r="AK199" s="13">
        <f t="shared" si="164"/>
        <v>6.1172634040517391E-12</v>
      </c>
      <c r="AL199" s="20">
        <f t="shared" si="165"/>
        <v>1.1507534481029384E-11</v>
      </c>
      <c r="AM199" s="59">
        <f t="shared" si="193"/>
        <v>293.3333333333448</v>
      </c>
      <c r="AN199" s="59">
        <f ca="1">AVERAGE(OFFSET($AM$3,0,0,'Données projet'!$E$10+1,1))-AVERAGE(OFFSET($H$3,0,0,'Données projet'!$E$10+1,1))</f>
        <v>646.50767193970182</v>
      </c>
      <c r="AO199" s="59">
        <f t="shared" si="205"/>
        <v>297.06786598620607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161.18446019341994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161.18446019341994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4.8316906031686813E-13</v>
      </c>
      <c r="O200" s="13">
        <f>N200*VLOOKUP('Données projet'!$B$9,Paramètres!$A$1:$I$89,3,0)*VLOOKUP('Données projet'!$B$9,Paramètres!$A$1:$I$89,5,0)</f>
        <v>4.3717136577470225E-13</v>
      </c>
      <c r="P200" s="13">
        <f t="shared" si="203"/>
        <v>5.5313598682231701E-12</v>
      </c>
      <c r="Q200" s="20">
        <f t="shared" si="162"/>
        <v>1.039519189921296E-11</v>
      </c>
      <c r="R200" s="59">
        <f t="shared" si="191"/>
        <v>293.33333333334372</v>
      </c>
      <c r="S200" s="59">
        <f ca="1">AVERAGE(OFFSET($R$3,0,0,'Données projet'!$E$9+1,1))-AVERAGE(OFFSET($H$3,0,0,'Données projet'!$E$9+1,1))</f>
        <v>581.88778927327667</v>
      </c>
      <c r="T200" s="59">
        <f t="shared" si="204"/>
        <v>269.67340993773422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141.00579095425735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141.00579095425735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4.8316906031686813E-13</v>
      </c>
      <c r="AJ200" s="13">
        <f>AI200*VLOOKUP('Données projet'!$B$10,Paramètres!$A$1:$I$89,3,0)*VLOOKUP('Données projet'!$B$10,Paramètres!$A$1:$I$89,5,0)</f>
        <v>4.8993342716130437E-13</v>
      </c>
      <c r="AK200" s="13">
        <f t="shared" si="164"/>
        <v>6.1172634040517391E-12</v>
      </c>
      <c r="AL200" s="20">
        <f t="shared" si="165"/>
        <v>1.1507534481029384E-11</v>
      </c>
      <c r="AM200" s="59">
        <f t="shared" si="193"/>
        <v>293.3333333333448</v>
      </c>
      <c r="AN200" s="59">
        <f ca="1">AVERAGE(OFFSET($AM$3,0,0,'Données projet'!$E$10+1,1))-AVERAGE(OFFSET($H$3,0,0,'Données projet'!$E$10+1,1))</f>
        <v>646.50767193970182</v>
      </c>
      <c r="AO200" s="59">
        <f t="shared" si="205"/>
        <v>297.06786598620607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158.0237312418401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158.0237312418401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4.8316906031686813E-13</v>
      </c>
      <c r="O201" s="13">
        <f>N201*VLOOKUP('Données projet'!$B$9,Paramètres!$A$1:$I$89,3,0)*VLOOKUP('Données projet'!$B$9,Paramètres!$A$1:$I$89,5,0)</f>
        <v>4.3717136577470225E-13</v>
      </c>
      <c r="P201" s="13">
        <f t="shared" si="203"/>
        <v>5.5313598682231701E-12</v>
      </c>
      <c r="Q201" s="20">
        <f t="shared" si="162"/>
        <v>1.039519189921296E-11</v>
      </c>
      <c r="R201" s="59">
        <f t="shared" si="191"/>
        <v>293.33333333334372</v>
      </c>
      <c r="S201" s="59">
        <f ca="1">AVERAGE(OFFSET($R$3,0,0,'Données projet'!$E$9+1,1))-AVERAGE(OFFSET($H$3,0,0,'Données projet'!$E$9+1,1))</f>
        <v>581.88778927327667</v>
      </c>
      <c r="T201" s="59">
        <f t="shared" si="204"/>
        <v>269.67340993773422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138.24075339868455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138.24075339868455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4.8316906031686813E-13</v>
      </c>
      <c r="AJ201" s="13">
        <f>AI201*VLOOKUP('Données projet'!$B$10,Paramètres!$A$1:$I$89,3,0)*VLOOKUP('Données projet'!$B$10,Paramètres!$A$1:$I$89,5,0)</f>
        <v>4.8993342716130437E-13</v>
      </c>
      <c r="AK201" s="13">
        <f t="shared" si="164"/>
        <v>6.1172634040517391E-12</v>
      </c>
      <c r="AL201" s="20">
        <f t="shared" si="165"/>
        <v>1.1507534481029384E-11</v>
      </c>
      <c r="AM201" s="59">
        <f t="shared" si="193"/>
        <v>293.3333333333448</v>
      </c>
      <c r="AN201" s="59">
        <f ca="1">AVERAGE(OFFSET($AM$3,0,0,'Données projet'!$E$10+1,1))-AVERAGE(OFFSET($H$3,0,0,'Données projet'!$E$10+1,1))</f>
        <v>646.50767193970182</v>
      </c>
      <c r="AO201" s="59">
        <f t="shared" si="205"/>
        <v>297.06786598620607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154.92498225714644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154.92498225714644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4.8316906031686813E-13</v>
      </c>
      <c r="O202" s="13">
        <f>N202*VLOOKUP('Données projet'!$B$9,Paramètres!$A$1:$I$89,3,0)*VLOOKUP('Données projet'!$B$9,Paramètres!$A$1:$I$89,5,0)</f>
        <v>4.3717136577470225E-13</v>
      </c>
      <c r="P202" s="13">
        <f t="shared" si="203"/>
        <v>5.5313598682231701E-12</v>
      </c>
      <c r="Q202" s="20">
        <f t="shared" si="162"/>
        <v>1.039519189921296E-11</v>
      </c>
      <c r="R202" s="59">
        <f t="shared" si="191"/>
        <v>293.33333333334372</v>
      </c>
      <c r="S202" s="59">
        <f ca="1">AVERAGE(OFFSET($R$3,0,0,'Données projet'!$E$9+1,1))-AVERAGE(OFFSET($H$3,0,0,'Données projet'!$E$9+1,1))</f>
        <v>581.88778927327667</v>
      </c>
      <c r="T202" s="59">
        <f t="shared" si="204"/>
        <v>269.67340993773422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135.52993654307016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135.52993654307016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4.8316906031686813E-13</v>
      </c>
      <c r="AJ202" s="13">
        <f>AI202*VLOOKUP('Données projet'!$B$10,Paramètres!$A$1:$I$89,3,0)*VLOOKUP('Données projet'!$B$10,Paramètres!$A$1:$I$89,5,0)</f>
        <v>4.8993342716130437E-13</v>
      </c>
      <c r="AK202" s="13">
        <f t="shared" si="164"/>
        <v>6.1172634040517391E-12</v>
      </c>
      <c r="AL202" s="20">
        <f t="shared" si="165"/>
        <v>1.1507534481029384E-11</v>
      </c>
      <c r="AM202" s="59">
        <f t="shared" si="193"/>
        <v>293.3333333333448</v>
      </c>
      <c r="AN202" s="59">
        <f ca="1">AVERAGE(OFFSET($AM$3,0,0,'Données projet'!$E$10+1,1))-AVERAGE(OFFSET($H$3,0,0,'Données projet'!$E$10+1,1))</f>
        <v>646.50767193970182</v>
      </c>
      <c r="AO202" s="59">
        <f t="shared" si="205"/>
        <v>297.06786598620607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151.88699784999238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151.88699784999238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4.8316906031686813E-13</v>
      </c>
      <c r="O203" s="13">
        <f>N203*VLOOKUP('Données projet'!$B$9,Paramètres!$A$1:$I$89,3,0)*VLOOKUP('Données projet'!$B$9,Paramètres!$A$1:$I$89,5,0)</f>
        <v>4.3717136577470225E-13</v>
      </c>
      <c r="P203" s="13">
        <f t="shared" si="203"/>
        <v>5.5313598682231701E-12</v>
      </c>
      <c r="Q203" s="20">
        <f t="shared" si="162"/>
        <v>1.039519189921296E-11</v>
      </c>
      <c r="R203" s="59">
        <f t="shared" si="191"/>
        <v>293.33333333334372</v>
      </c>
      <c r="S203" s="59">
        <f ca="1">AVERAGE(OFFSET($R$3,0,0,'Données projet'!$E$9+1,1))-AVERAGE(OFFSET($H$3,0,0,'Données projet'!$E$9+1,1))</f>
        <v>581.88778927327667</v>
      </c>
      <c r="T203" s="59">
        <f t="shared" si="204"/>
        <v>269.67340993773422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132.87227715255935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132.87227715255935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4.8316906031686813E-13</v>
      </c>
      <c r="AJ203" s="13">
        <f>AI203*VLOOKUP('Données projet'!$B$10,Paramètres!$A$1:$I$89,3,0)*VLOOKUP('Données projet'!$B$10,Paramètres!$A$1:$I$89,5,0)</f>
        <v>4.8993342716130437E-13</v>
      </c>
      <c r="AK203" s="13">
        <f t="shared" si="164"/>
        <v>6.1172634040517391E-12</v>
      </c>
      <c r="AL203" s="20">
        <f t="shared" si="165"/>
        <v>1.1507534481029384E-11</v>
      </c>
      <c r="AM203" s="59">
        <f t="shared" si="193"/>
        <v>293.3333333333448</v>
      </c>
      <c r="AN203" s="59">
        <f ca="1">AVERAGE(OFFSET($AM$3,0,0,'Données projet'!$E$10+1,1))-AVERAGE(OFFSET($H$3,0,0,'Données projet'!$E$10+1,1))</f>
        <v>646.50767193970182</v>
      </c>
      <c r="AO203" s="59">
        <f t="shared" si="205"/>
        <v>297.06786598620607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148.90858646407509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148.90858646407509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1.1289835501862808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1.1289835501862808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9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90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9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91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91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90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9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90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zoomScale="90" zoomScaleNormal="90" workbookViewId="0">
      <selection activeCell="O10" sqref="O10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0" t="s">
        <v>271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2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Chêne sessile</v>
      </c>
      <c r="B6" s="146">
        <f>'Données projet'!D9</f>
        <v>0.66600000000000004</v>
      </c>
      <c r="C6" s="147">
        <f ca="1">IF(OR('Données projet'!B9="",'Données projet'!C9="",'Données projet'!C9=0%),0,Calculateur!S3)</f>
        <v>581.88778927327667</v>
      </c>
      <c r="D6" s="147">
        <f>IF(OR('Données projet'!B9="",'Données projet'!C9="",'Données projet'!C9=0%),0,Calculateur!T3)</f>
        <v>269.67340993773422</v>
      </c>
      <c r="E6" s="147">
        <f ca="1">MIN(C6,D6)</f>
        <v>269.67340993773422</v>
      </c>
      <c r="F6" s="147">
        <f ca="1">E6*B6</f>
        <v>179.602491018531</v>
      </c>
      <c r="G6" s="147">
        <f ca="1">F6*(100%-'Données projet'!$C$24)*(100%-'Données projet'!$C$25)*(100%-'Données projet'!$C$26)*(100%-'Données projet'!$C$27)</f>
        <v>153.560129820844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153.560129820844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pubescent</v>
      </c>
      <c r="B7" s="154">
        <f>'Données projet'!D10</f>
        <v>0.33300000000000002</v>
      </c>
      <c r="C7" s="147">
        <f ca="1">IF(OR('Données projet'!B10="",'Données projet'!C10="",'Données projet'!C10=0%),0,Calculateur!AN3)</f>
        <v>646.50767193970182</v>
      </c>
      <c r="D7" s="147">
        <f>IF(OR('Données projet'!B10="",'Données projet'!C10="",'Données projet'!C10=0%),0,Calculateur!AO3)</f>
        <v>297.06786598620607</v>
      </c>
      <c r="E7" s="147">
        <f t="shared" ref="E7:E15" ca="1" si="0">MIN(C7,D7)</f>
        <v>297.06786598620607</v>
      </c>
      <c r="F7" s="147">
        <f t="shared" ref="F7:F15" ca="1" si="1">E7*B7</f>
        <v>98.923599373406631</v>
      </c>
      <c r="G7" s="147">
        <f ca="1">F7*(100%-'Données projet'!$C$24)*(100%-'Données projet'!$C$25)*(100%-'Données projet'!$C$26)*(100%-'Données projet'!$C$27)</f>
        <v>84.579677464262673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84.579677464262673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278.5260903919376</v>
      </c>
      <c r="G16" s="166">
        <f t="shared" ca="1" si="3"/>
        <v>238.13980728510666</v>
      </c>
      <c r="H16" s="167">
        <f t="shared" si="3"/>
        <v>0</v>
      </c>
      <c r="I16" s="167">
        <f t="shared" si="3"/>
        <v>0</v>
      </c>
      <c r="J16" s="168">
        <f t="shared" si="3"/>
        <v>0</v>
      </c>
      <c r="K16" s="168">
        <f t="shared" si="3"/>
        <v>0</v>
      </c>
      <c r="L16" s="169">
        <f t="shared" ca="1" si="3"/>
        <v>238.13980728510666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92" t="s">
        <v>246</v>
      </c>
      <c r="G17" s="293"/>
      <c r="H17" s="293"/>
      <c r="I17" s="293"/>
      <c r="J17" s="293"/>
      <c r="K17" s="293"/>
      <c r="L17" s="293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9"/>
      <c r="G18" s="279"/>
      <c r="H18" s="279"/>
      <c r="I18" s="279"/>
      <c r="J18" s="279"/>
      <c r="K18" s="279"/>
      <c r="L18" s="279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8" zoomScale="80" zoomScaleNormal="80" workbookViewId="0">
      <selection activeCell="U40" sqref="U40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0" t="s">
        <v>272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0" t="s">
        <v>315</v>
      </c>
      <c r="I4" s="270"/>
      <c r="K4" s="294" t="s">
        <v>253</v>
      </c>
      <c r="L4" s="295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304" t="s">
        <v>310</v>
      </c>
      <c r="S7" s="305"/>
      <c r="T7" s="305"/>
      <c r="U7" s="305"/>
      <c r="V7" s="306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I9" s="195"/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-14789.388760544573</v>
      </c>
      <c r="U10" s="178">
        <f>'Données projet'!D9</f>
        <v>0.66600000000000004</v>
      </c>
      <c r="V10" s="177">
        <f>U10*T10</f>
        <v>-9849.732914522685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pubescent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-16080.99942855472</v>
      </c>
      <c r="U11" s="178">
        <f>'Données projet'!D10</f>
        <v>0.33300000000000002</v>
      </c>
      <c r="V11" s="177">
        <f t="shared" ref="V11" si="0">U11*T11</f>
        <v>-5354.9728097087218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97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7"/>
      <c r="H16" s="190"/>
      <c r="I16" s="191"/>
      <c r="J16" s="202"/>
      <c r="K16" s="208"/>
      <c r="L16" s="294" t="s">
        <v>254</v>
      </c>
      <c r="M16" s="295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1600*(1.4+0.75+2.5+2.45)+420+1060</f>
        <v>12840</v>
      </c>
      <c r="F17" s="230"/>
      <c r="G17" s="297"/>
      <c r="I17" s="195"/>
      <c r="J17" s="202"/>
      <c r="K17" s="208"/>
      <c r="L17" s="267" t="s">
        <v>289</v>
      </c>
      <c r="M17" s="269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>
        <f>220+430</f>
        <v>650</v>
      </c>
      <c r="F18" s="230"/>
      <c r="G18" s="297"/>
      <c r="J18" s="202"/>
      <c r="K18" s="208"/>
      <c r="L18" s="267" t="s">
        <v>255</v>
      </c>
      <c r="M18" s="269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>
        <f>400+430+15%*E17</f>
        <v>2756</v>
      </c>
      <c r="F19" s="230"/>
      <c r="G19" s="297"/>
      <c r="H19" s="212" t="s">
        <v>178</v>
      </c>
      <c r="I19" s="212" t="s">
        <v>287</v>
      </c>
      <c r="J19" s="93"/>
      <c r="K19" s="173"/>
      <c r="L19" s="294" t="s">
        <v>288</v>
      </c>
      <c r="M19" s="295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>
        <f>220+430</f>
        <v>650</v>
      </c>
      <c r="F20" s="230"/>
      <c r="G20" s="297"/>
      <c r="H20" s="190">
        <v>1</v>
      </c>
      <c r="I20" s="191">
        <f>20+(400/SUM(U10:U19)+20)+(200/SUM(U10:U19)+10)</f>
        <v>650.6006006006005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20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20+200/SUM(U10:U19)+10</f>
        <v>230.20020020020019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42</v>
      </c>
      <c r="B23" s="181">
        <f>'Données projet'!D36</f>
        <v>43.21</v>
      </c>
      <c r="C23" s="193">
        <v>58</v>
      </c>
      <c r="D23" s="182">
        <f>B23*C23</f>
        <v>2506.1799999999998</v>
      </c>
      <c r="E23" s="193"/>
      <c r="F23" s="230"/>
      <c r="H23" s="190">
        <v>4</v>
      </c>
      <c r="I23" s="191">
        <v>20</v>
      </c>
      <c r="K23" s="208"/>
      <c r="L23" s="296" t="s">
        <v>260</v>
      </c>
      <c r="M23" s="296"/>
      <c r="N23" s="296"/>
      <c r="O23" s="23"/>
      <c r="P23" s="23"/>
      <c r="Q23" s="234"/>
      <c r="R23" s="23"/>
      <c r="S23" s="36" t="s">
        <v>264</v>
      </c>
      <c r="T23" s="30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-17447.51255043082</v>
      </c>
      <c r="U23" s="309"/>
      <c r="V23" s="309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50</v>
      </c>
      <c r="B24" s="181">
        <f>'Données projet'!D37</f>
        <v>35.58</v>
      </c>
      <c r="C24" s="193">
        <v>58</v>
      </c>
      <c r="D24" s="182">
        <f t="shared" ref="D24:D42" si="2">B24*C24</f>
        <v>2063.64</v>
      </c>
      <c r="E24" s="193"/>
      <c r="F24" s="233"/>
      <c r="H24" s="190">
        <v>5</v>
      </c>
      <c r="I24" s="2">
        <f>20+8%*(SUM(E17:E22)*U10+SUM(E$48:E53)*U11+SUM(E79:E84)*U12+SUM(E110:E115)*U13+SUM(E141:E146)*U14+SUM(E172:E177)*U15+SUM(E203:E208)*U16+SUM(E234:E239)*U17+SUM(E265:E270)*U18+SUM(E296:E301)*U19)/SUM(U10:U19)</f>
        <v>1371.6799999999998</v>
      </c>
      <c r="K24" s="208"/>
      <c r="O24" s="23"/>
      <c r="P24" s="23"/>
      <c r="Q24" s="234"/>
      <c r="R24" s="23"/>
      <c r="S24" s="36" t="s">
        <v>261</v>
      </c>
      <c r="T24" s="31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0"/>
      <c r="V24" s="310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58</v>
      </c>
      <c r="B25" s="181">
        <f>'Données projet'!D38</f>
        <v>44.93</v>
      </c>
      <c r="C25" s="193">
        <v>58</v>
      </c>
      <c r="D25" s="182">
        <f t="shared" si="2"/>
        <v>2605.94</v>
      </c>
      <c r="E25" s="193"/>
      <c r="F25" s="233"/>
      <c r="H25" s="190">
        <v>6</v>
      </c>
      <c r="I25" s="191">
        <v>20</v>
      </c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11">
        <f ca="1">T23-T24</f>
        <v>-17447.51255043082</v>
      </c>
      <c r="U25" s="311"/>
      <c r="V25" s="311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66</v>
      </c>
      <c r="B26" s="181">
        <f>'Données projet'!D39</f>
        <v>49.91</v>
      </c>
      <c r="C26" s="193">
        <v>106</v>
      </c>
      <c r="D26" s="182">
        <f t="shared" si="2"/>
        <v>5290.46</v>
      </c>
      <c r="E26" s="193"/>
      <c r="F26" s="233"/>
      <c r="G26" s="229"/>
      <c r="H26" s="190">
        <v>7</v>
      </c>
      <c r="I26" s="191">
        <v>20</v>
      </c>
      <c r="K26" s="208"/>
      <c r="L26" s="298" t="s">
        <v>258</v>
      </c>
      <c r="M26" s="299"/>
      <c r="N26" s="299"/>
      <c r="O26" s="299"/>
      <c r="P26" s="300"/>
      <c r="Q26" s="234"/>
      <c r="R26" s="23"/>
      <c r="S26" s="186" t="s">
        <v>265</v>
      </c>
      <c r="T26" s="308" t="str">
        <f ca="1">IF(T25&lt;0,"Votre projet est additionnel","Votre projet n'est pas additionnel")</f>
        <v>Votre projet est additionnel</v>
      </c>
      <c r="U26" s="308"/>
      <c r="V26" s="308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74</v>
      </c>
      <c r="B27" s="181">
        <f>'Données projet'!D40</f>
        <v>47.4</v>
      </c>
      <c r="C27" s="193">
        <v>106</v>
      </c>
      <c r="D27" s="182">
        <f t="shared" si="2"/>
        <v>5024.3999999999996</v>
      </c>
      <c r="E27" s="193"/>
      <c r="F27" s="233"/>
      <c r="G27" s="229"/>
      <c r="H27" s="190">
        <v>8</v>
      </c>
      <c r="I27" s="191">
        <v>20</v>
      </c>
      <c r="K27" s="208"/>
      <c r="L27" s="301"/>
      <c r="M27" s="302"/>
      <c r="N27" s="302"/>
      <c r="O27" s="302"/>
      <c r="P27" s="303"/>
      <c r="Q27" s="234"/>
      <c r="R27" s="23"/>
      <c r="S27" s="307" t="s">
        <v>267</v>
      </c>
      <c r="T27" s="307"/>
      <c r="U27" s="307"/>
      <c r="V27" s="307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84</v>
      </c>
      <c r="B28" s="181">
        <f>'Données projet'!D41</f>
        <v>61.47</v>
      </c>
      <c r="C28" s="193">
        <v>106</v>
      </c>
      <c r="D28" s="182">
        <f t="shared" si="2"/>
        <v>6515.82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94</v>
      </c>
      <c r="B29" s="181">
        <f>'Données projet'!D42</f>
        <v>61.85</v>
      </c>
      <c r="C29" s="193">
        <v>106</v>
      </c>
      <c r="D29" s="182">
        <f t="shared" si="2"/>
        <v>6556.1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S29" s="1" t="s">
        <v>327</v>
      </c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104</v>
      </c>
      <c r="B30" s="181">
        <f>'Données projet'!D43</f>
        <v>60.19</v>
      </c>
      <c r="C30" s="193">
        <v>106</v>
      </c>
      <c r="D30" s="182">
        <f t="shared" si="2"/>
        <v>6380.1399999999994</v>
      </c>
      <c r="E30" s="193"/>
      <c r="F30" s="233"/>
      <c r="G30" s="203"/>
      <c r="H30" s="190">
        <v>11</v>
      </c>
      <c r="I30" s="191">
        <v>20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S30" s="1" t="s">
        <v>328</v>
      </c>
      <c r="U30" s="264">
        <f>SUM(E17:E22)*U10+SUM(E$48:E53)*U11+SUM(E79:E84)*U12+SUM(E110:E115)*U13+SUM(E141:E146)*U14+SUM(E172:E177)*U15+SUM(E203:E208)*U16+SUM(E234:E239)*U17+SUM(E265:E270)*U18+SUM(E296:E301)*U19</f>
        <v>16879.103999999999</v>
      </c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114</v>
      </c>
      <c r="B31" s="181">
        <f>'Données projet'!D44</f>
        <v>56.07</v>
      </c>
      <c r="C31" s="193">
        <v>106</v>
      </c>
      <c r="D31" s="182">
        <f t="shared" si="2"/>
        <v>5943.42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S31" s="1" t="s">
        <v>326</v>
      </c>
      <c r="U31" s="264">
        <f>SUM(I19:I23)*SUM(U10:U19)</f>
        <v>919.88</v>
      </c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124</v>
      </c>
      <c r="B32" s="181">
        <f>'Données projet'!D45</f>
        <v>52.53</v>
      </c>
      <c r="C32" s="193">
        <v>106</v>
      </c>
      <c r="D32" s="182">
        <f t="shared" si="2"/>
        <v>5568.18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178</v>
      </c>
      <c r="P32" s="85" t="s">
        <v>252</v>
      </c>
      <c r="Q32" s="234"/>
      <c r="R32" s="23"/>
      <c r="S32" s="1" t="s">
        <v>325</v>
      </c>
      <c r="U32" s="1">
        <v>1500</v>
      </c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134</v>
      </c>
      <c r="B33" s="181">
        <f>'Données projet'!D46</f>
        <v>54.95</v>
      </c>
      <c r="C33" s="193">
        <v>106</v>
      </c>
      <c r="D33" s="182">
        <f t="shared" si="2"/>
        <v>5824.7000000000007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S33" s="1" t="s">
        <v>175</v>
      </c>
      <c r="U33" s="1">
        <f>SUM(U30:U32)</f>
        <v>19298.984</v>
      </c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144</v>
      </c>
      <c r="B34" s="181">
        <f>'Données projet'!D47</f>
        <v>56.01</v>
      </c>
      <c r="C34" s="193">
        <v>106</v>
      </c>
      <c r="D34" s="182">
        <f t="shared" si="2"/>
        <v>5937.0599999999995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154</v>
      </c>
      <c r="B35" s="181">
        <f>'Données projet'!D48</f>
        <v>55.13</v>
      </c>
      <c r="C35" s="193">
        <v>106</v>
      </c>
      <c r="D35" s="182">
        <f t="shared" si="2"/>
        <v>5843.7800000000007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164</v>
      </c>
      <c r="B36" s="181">
        <f>'Données projet'!D49</f>
        <v>59.58</v>
      </c>
      <c r="C36" s="193">
        <v>106</v>
      </c>
      <c r="D36" s="182">
        <f t="shared" si="2"/>
        <v>6315.48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174</v>
      </c>
      <c r="B37" s="181">
        <f>'Données projet'!D50</f>
        <v>214.77</v>
      </c>
      <c r="C37" s="193">
        <v>106</v>
      </c>
      <c r="D37" s="182">
        <f t="shared" si="2"/>
        <v>22765.620000000003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177</v>
      </c>
      <c r="B38" s="181">
        <f>'Données projet'!D51</f>
        <v>115.19</v>
      </c>
      <c r="C38" s="193">
        <v>106</v>
      </c>
      <c r="D38" s="182">
        <f t="shared" si="2"/>
        <v>12210.14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180</v>
      </c>
      <c r="B39" s="181">
        <f>'Données projet'!D52</f>
        <v>77.72</v>
      </c>
      <c r="C39" s="193">
        <v>106</v>
      </c>
      <c r="D39" s="182">
        <f t="shared" si="2"/>
        <v>8238.32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183</v>
      </c>
      <c r="B40" s="181">
        <f>'Données projet'!D53</f>
        <v>169.76</v>
      </c>
      <c r="C40" s="193">
        <v>106</v>
      </c>
      <c r="D40" s="182">
        <f t="shared" si="2"/>
        <v>17994.559999999998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pubescent</v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27</v>
      </c>
      <c r="I46" s="191">
        <v>20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28</v>
      </c>
      <c r="I47" s="191">
        <v>20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1600*(1.4+0.75+2.5+2.45)+420+1060</f>
        <v>12840</v>
      </c>
      <c r="F48" s="231"/>
      <c r="G48" s="203"/>
      <c r="H48" s="190">
        <v>29</v>
      </c>
      <c r="I48" s="191">
        <v>20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>
        <f>220+430</f>
        <v>650</v>
      </c>
      <c r="F49" s="231"/>
      <c r="G49" s="204"/>
      <c r="H49" s="190">
        <v>30</v>
      </c>
      <c r="I49" s="191">
        <v>20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>
        <f>400+430+15%*E48</f>
        <v>2756</v>
      </c>
      <c r="F50" s="231"/>
      <c r="G50" s="23"/>
      <c r="H50" s="190">
        <v>31</v>
      </c>
      <c r="I50" s="191">
        <v>20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>
        <f>220+430</f>
        <v>650</v>
      </c>
      <c r="F51" s="231"/>
      <c r="G51" s="23"/>
      <c r="H51" s="190">
        <v>32</v>
      </c>
      <c r="I51" s="191">
        <v>20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33</v>
      </c>
      <c r="I52" s="191">
        <v>20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34</v>
      </c>
      <c r="I53" s="191">
        <v>20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42</v>
      </c>
      <c r="B54" s="181">
        <f>'Données projet'!D62</f>
        <v>43.21</v>
      </c>
      <c r="C54" s="191">
        <v>18.5</v>
      </c>
      <c r="D54" s="179">
        <f>B54*C54</f>
        <v>799.38499999999999</v>
      </c>
      <c r="E54" s="193"/>
      <c r="F54" s="232"/>
      <c r="G54" s="205"/>
      <c r="H54" s="190">
        <v>35</v>
      </c>
      <c r="I54" s="191">
        <v>20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50</v>
      </c>
      <c r="B55" s="181">
        <f>'Données projet'!D63</f>
        <v>35.58</v>
      </c>
      <c r="C55" s="191">
        <v>18.5</v>
      </c>
      <c r="D55" s="179">
        <f t="shared" ref="D55:D73" si="4">B55*C55</f>
        <v>658.23</v>
      </c>
      <c r="E55" s="193"/>
      <c r="F55" s="232"/>
      <c r="G55" s="205"/>
      <c r="H55" s="190">
        <v>36</v>
      </c>
      <c r="I55" s="191">
        <v>20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58</v>
      </c>
      <c r="B56" s="181">
        <f>'Données projet'!D64</f>
        <v>44.93</v>
      </c>
      <c r="C56" s="191">
        <v>18.5</v>
      </c>
      <c r="D56" s="179">
        <f t="shared" si="4"/>
        <v>831.20500000000004</v>
      </c>
      <c r="E56" s="193"/>
      <c r="F56" s="232"/>
      <c r="G56" s="205"/>
      <c r="H56" s="190">
        <v>37</v>
      </c>
      <c r="I56" s="191">
        <v>20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66</v>
      </c>
      <c r="B57" s="181">
        <f>'Données projet'!D65</f>
        <v>49.91</v>
      </c>
      <c r="C57" s="191">
        <v>32</v>
      </c>
      <c r="D57" s="179">
        <f t="shared" si="4"/>
        <v>1597.12</v>
      </c>
      <c r="E57" s="193"/>
      <c r="F57" s="232"/>
      <c r="G57" s="205"/>
      <c r="H57" s="190">
        <v>38</v>
      </c>
      <c r="I57" s="191">
        <v>20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74</v>
      </c>
      <c r="B58" s="181">
        <f>'Données projet'!D66</f>
        <v>47.4</v>
      </c>
      <c r="C58" s="191">
        <v>32</v>
      </c>
      <c r="D58" s="179">
        <f t="shared" si="4"/>
        <v>1516.8</v>
      </c>
      <c r="E58" s="193"/>
      <c r="F58" s="232"/>
      <c r="G58" s="205"/>
      <c r="H58" s="190">
        <v>39</v>
      </c>
      <c r="I58" s="191">
        <v>20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84</v>
      </c>
      <c r="B59" s="181">
        <f>'Données projet'!D67</f>
        <v>61.47</v>
      </c>
      <c r="C59" s="191">
        <v>32</v>
      </c>
      <c r="D59" s="179">
        <f t="shared" si="4"/>
        <v>1967.04</v>
      </c>
      <c r="E59" s="193"/>
      <c r="F59" s="232"/>
      <c r="G59" s="205"/>
      <c r="H59" s="190">
        <v>40</v>
      </c>
      <c r="I59" s="191">
        <v>20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94</v>
      </c>
      <c r="B60" s="181">
        <f>'Données projet'!D68</f>
        <v>61.85</v>
      </c>
      <c r="C60" s="191">
        <v>32</v>
      </c>
      <c r="D60" s="179">
        <f t="shared" si="4"/>
        <v>1979.2</v>
      </c>
      <c r="E60" s="193"/>
      <c r="F60" s="232"/>
      <c r="G60" s="206"/>
      <c r="H60" s="190">
        <v>41</v>
      </c>
      <c r="I60" s="191">
        <v>20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104</v>
      </c>
      <c r="B61" s="181">
        <f>'Données projet'!D69</f>
        <v>60.19</v>
      </c>
      <c r="C61" s="191">
        <v>32</v>
      </c>
      <c r="D61" s="179">
        <f t="shared" si="4"/>
        <v>1926.08</v>
      </c>
      <c r="E61" s="193"/>
      <c r="F61" s="232"/>
      <c r="G61" s="206"/>
      <c r="H61" s="190">
        <v>42</v>
      </c>
      <c r="I61" s="191">
        <v>20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114</v>
      </c>
      <c r="B62" s="181">
        <f>'Données projet'!D70</f>
        <v>56.07</v>
      </c>
      <c r="C62" s="191">
        <v>32</v>
      </c>
      <c r="D62" s="179">
        <f t="shared" si="4"/>
        <v>1794.24</v>
      </c>
      <c r="E62" s="193"/>
      <c r="F62" s="232"/>
      <c r="G62" s="206"/>
      <c r="H62" s="190">
        <v>43</v>
      </c>
      <c r="I62" s="191">
        <v>20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124</v>
      </c>
      <c r="B63" s="181">
        <f>'Données projet'!D71</f>
        <v>52.53</v>
      </c>
      <c r="C63" s="191">
        <v>32</v>
      </c>
      <c r="D63" s="179">
        <f t="shared" si="4"/>
        <v>1680.96</v>
      </c>
      <c r="E63" s="193"/>
      <c r="F63" s="232"/>
      <c r="G63" s="206"/>
      <c r="H63" s="190">
        <v>44</v>
      </c>
      <c r="I63" s="191">
        <v>20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134</v>
      </c>
      <c r="B64" s="181">
        <f>'Données projet'!D72</f>
        <v>54.95</v>
      </c>
      <c r="C64" s="191">
        <v>32</v>
      </c>
      <c r="D64" s="179">
        <f t="shared" si="4"/>
        <v>1758.4</v>
      </c>
      <c r="E64" s="193"/>
      <c r="F64" s="232"/>
      <c r="G64" s="206"/>
      <c r="H64" s="190">
        <v>45</v>
      </c>
      <c r="I64" s="191">
        <v>20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144</v>
      </c>
      <c r="B65" s="181">
        <f>'Données projet'!D73</f>
        <v>56.01</v>
      </c>
      <c r="C65" s="191">
        <v>32</v>
      </c>
      <c r="D65" s="179">
        <f t="shared" si="4"/>
        <v>1792.32</v>
      </c>
      <c r="E65" s="193"/>
      <c r="F65" s="232"/>
      <c r="G65" s="206"/>
      <c r="H65" s="190">
        <v>46</v>
      </c>
      <c r="I65" s="191">
        <v>20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154</v>
      </c>
      <c r="B66" s="181">
        <f>'Données projet'!D74</f>
        <v>55.13</v>
      </c>
      <c r="C66" s="191">
        <v>32</v>
      </c>
      <c r="D66" s="179">
        <f t="shared" si="4"/>
        <v>1764.16</v>
      </c>
      <c r="E66" s="193"/>
      <c r="F66" s="232"/>
      <c r="G66" s="206"/>
      <c r="H66" s="190">
        <v>47</v>
      </c>
      <c r="I66" s="191">
        <v>20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164</v>
      </c>
      <c r="B67" s="181">
        <f>'Données projet'!D75</f>
        <v>59.58</v>
      </c>
      <c r="C67" s="191">
        <v>32</v>
      </c>
      <c r="D67" s="179">
        <f t="shared" si="4"/>
        <v>1906.56</v>
      </c>
      <c r="E67" s="193"/>
      <c r="F67" s="232"/>
      <c r="G67" s="206"/>
      <c r="H67" s="190">
        <v>48</v>
      </c>
      <c r="I67" s="191">
        <v>20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174</v>
      </c>
      <c r="B68" s="181">
        <f>'Données projet'!D76</f>
        <v>214.77</v>
      </c>
      <c r="C68" s="191">
        <v>32</v>
      </c>
      <c r="D68" s="179">
        <f t="shared" si="4"/>
        <v>6872.64</v>
      </c>
      <c r="E68" s="193"/>
      <c r="F68" s="232"/>
      <c r="G68" s="206"/>
      <c r="H68" s="190">
        <v>49</v>
      </c>
      <c r="I68" s="191">
        <v>20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177</v>
      </c>
      <c r="B69" s="181">
        <f>'Données projet'!D77</f>
        <v>115.19</v>
      </c>
      <c r="C69" s="191">
        <v>32</v>
      </c>
      <c r="D69" s="179">
        <f t="shared" si="4"/>
        <v>3686.08</v>
      </c>
      <c r="E69" s="193"/>
      <c r="F69" s="232"/>
      <c r="G69" s="206"/>
      <c r="H69" s="190">
        <v>50</v>
      </c>
      <c r="I69" s="191">
        <v>20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180</v>
      </c>
      <c r="B70" s="181">
        <f>'Données projet'!D78</f>
        <v>77.72</v>
      </c>
      <c r="C70" s="191">
        <v>32</v>
      </c>
      <c r="D70" s="179">
        <f t="shared" si="4"/>
        <v>2487.04</v>
      </c>
      <c r="E70" s="193"/>
      <c r="F70" s="232"/>
      <c r="G70" s="206"/>
      <c r="H70" s="190">
        <v>51</v>
      </c>
      <c r="I70" s="191">
        <v>20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183</v>
      </c>
      <c r="B71" s="181">
        <f>'Données projet'!D79</f>
        <v>169.76</v>
      </c>
      <c r="C71" s="191">
        <v>32</v>
      </c>
      <c r="D71" s="179">
        <f t="shared" si="4"/>
        <v>5432.32</v>
      </c>
      <c r="E71" s="193"/>
      <c r="F71" s="232"/>
      <c r="G71" s="206"/>
      <c r="H71" s="190">
        <v>52</v>
      </c>
      <c r="I71" s="191">
        <v>20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20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20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55</v>
      </c>
      <c r="I74" s="191">
        <v>20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56</v>
      </c>
      <c r="I75" s="191">
        <v>20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>
        <v>57</v>
      </c>
      <c r="I76" s="191">
        <v>20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58</v>
      </c>
      <c r="I77" s="191">
        <v>20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59</v>
      </c>
      <c r="I78" s="191">
        <v>20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>
        <v>60</v>
      </c>
      <c r="I79" s="191">
        <v>20</v>
      </c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>
        <f>IF(O113+1&lt;=MIN('Données projet'!$E$9:$E$18),O113+1,"STOP")</f>
        <v>81</v>
      </c>
      <c r="P114" s="185">
        <f t="shared" si="7"/>
        <v>0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>
        <f>IF(O114+1&lt;=MIN('Données projet'!$E$9:$E$18),O114+1,"STOP")</f>
        <v>82</v>
      </c>
      <c r="P115" s="185">
        <f t="shared" si="7"/>
        <v>0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>
        <f>IF(O115+1&lt;=MIN('Données projet'!$E$9:$E$18),O115+1,"STOP")</f>
        <v>83</v>
      </c>
      <c r="P116" s="185">
        <f t="shared" si="7"/>
        <v>0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>
        <f>IF(O116+1&lt;=MIN('Données projet'!$E$9:$E$18),O116+1,"STOP")</f>
        <v>84</v>
      </c>
      <c r="P117" s="185">
        <f t="shared" si="7"/>
        <v>0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>
        <f>IF(O117+1&lt;=MIN('Données projet'!$E$9:$E$18),O117+1,"STOP")</f>
        <v>85</v>
      </c>
      <c r="P118" s="185">
        <f t="shared" si="7"/>
        <v>0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>
        <f>IF(O118+1&lt;=MIN('Données projet'!$E$9:$E$18),O118+1,"STOP")</f>
        <v>86</v>
      </c>
      <c r="P119" s="185">
        <f t="shared" si="7"/>
        <v>0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>
        <f>IF(O119+1&lt;=MIN('Données projet'!$E$9:$E$18),O119+1,"STOP")</f>
        <v>87</v>
      </c>
      <c r="P120" s="185">
        <f t="shared" si="7"/>
        <v>0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>
        <f>IF(O120+1&lt;=MIN('Données projet'!$E$9:$E$18),O120+1,"STOP")</f>
        <v>88</v>
      </c>
      <c r="P121" s="185">
        <f t="shared" si="7"/>
        <v>0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>
        <f>IF(O121+1&lt;=MIN('Données projet'!$E$9:$E$18),O121+1,"STOP")</f>
        <v>89</v>
      </c>
      <c r="P122" s="185">
        <f t="shared" si="7"/>
        <v>0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>
        <f>IF(O122+1&lt;=MIN('Données projet'!$E$9:$E$18),O122+1,"STOP")</f>
        <v>90</v>
      </c>
      <c r="P123" s="185">
        <f t="shared" si="7"/>
        <v>0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>
        <f>IF(O123+1&lt;=MIN('Données projet'!$E$9:$E$18),O123+1,"STOP")</f>
        <v>91</v>
      </c>
      <c r="P124" s="185">
        <f t="shared" si="7"/>
        <v>0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>
        <f>IF(O124+1&lt;=MIN('Données projet'!$E$9:$E$18),O124+1,"STOP")</f>
        <v>92</v>
      </c>
      <c r="P125" s="185">
        <f t="shared" si="7"/>
        <v>0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>
        <f>IF(O125+1&lt;=MIN('Données projet'!$E$9:$E$18),O125+1,"STOP")</f>
        <v>93</v>
      </c>
      <c r="P126" s="185">
        <f t="shared" si="7"/>
        <v>0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>
        <f>IF(O126+1&lt;=MIN('Données projet'!$E$9:$E$18),O126+1,"STOP")</f>
        <v>94</v>
      </c>
      <c r="P127" s="185">
        <f t="shared" si="7"/>
        <v>0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>
        <f>IF(O127+1&lt;=MIN('Données projet'!$E$9:$E$18),O127+1,"STOP")</f>
        <v>95</v>
      </c>
      <c r="P128" s="185">
        <f t="shared" si="7"/>
        <v>0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>
        <f>IF(O128+1&lt;=MIN('Données projet'!$E$9:$E$18),O128+1,"STOP")</f>
        <v>96</v>
      </c>
      <c r="P129" s="185">
        <f t="shared" ref="P129:P132" si="9">$P$25/(1+$M$4)^O129</f>
        <v>0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>
        <f>IF(O129+1&lt;=MIN('Données projet'!$E$9:$E$18),O129+1,"STOP")</f>
        <v>97</v>
      </c>
      <c r="P130" s="185">
        <f t="shared" si="9"/>
        <v>0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>
        <f>IF(O130+1&lt;=MIN('Données projet'!$E$9:$E$18),O130+1,"STOP")</f>
        <v>98</v>
      </c>
      <c r="P131" s="185">
        <f t="shared" si="9"/>
        <v>0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>
        <f>IF(O131+1&lt;=MIN('Données projet'!$E$9:$E$18),O131+1,"STOP")</f>
        <v>99</v>
      </c>
      <c r="P132" s="185">
        <f t="shared" si="9"/>
        <v>0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  <Typedecontrat xmlns="4a0a9159-faee-4929-bc18-6e0874945fe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9" ma:contentTypeDescription="Crée un document." ma:contentTypeScope="" ma:versionID="da778f651e2b9172a0668a57e5259e37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21723ea34ef7bb0ee75fd50087f5b91c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Typedecontra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ypedecontrat" ma:index="26" nillable="true" ma:displayName="Type de contrat" ma:format="Dropdown" ma:internalName="Typedecontrat">
      <xsd:simpleType>
        <xsd:union memberTypes="dms:Text">
          <xsd:simpleType>
            <xsd:restriction base="dms:Choice">
              <xsd:enumeration value="Obligation de moyens"/>
              <xsd:enumeration value="Obligation de résultats"/>
              <xsd:enumeration value="Client final"/>
              <xsd:enumeration value="Intermédiair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8F28AA-24C9-4D1A-B276-45CFB6B287CF}">
  <ds:schemaRefs>
    <ds:schemaRef ds:uri="http://purl.org/dc/elements/1.1/"/>
    <ds:schemaRef ds:uri="http://schemas.openxmlformats.org/package/2006/metadata/core-properties"/>
    <ds:schemaRef ds:uri="37d24cdf-bbc6-4946-8747-982d14624cd4"/>
    <ds:schemaRef ds:uri="http://purl.org/dc/terms/"/>
    <ds:schemaRef ds:uri="http://schemas.microsoft.com/office/2006/metadata/properties"/>
    <ds:schemaRef ds:uri="http://schemas.microsoft.com/office/2006/documentManagement/types"/>
    <ds:schemaRef ds:uri="4a0a9159-faee-4929-bc18-6e0874945fe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64DF4A4-A92B-4E9D-9C32-DF299F6FD1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Nathan AMIENS</cp:lastModifiedBy>
  <dcterms:created xsi:type="dcterms:W3CDTF">2021-02-01T08:22:39Z</dcterms:created>
  <dcterms:modified xsi:type="dcterms:W3CDTF">2025-07-23T09:47:34Z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