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Desktop/"/>
    </mc:Choice>
  </mc:AlternateContent>
  <xr:revisionPtr revIDLastSave="0" documentId="13_ncr:1_{380A6E6C-9EA4-2443-8696-F695E3DAC511}" xr6:coauthVersionLast="47" xr6:coauthVersionMax="47" xr10:uidLastSave="{00000000-0000-0000-0000-000000000000}"/>
  <bookViews>
    <workbookView xWindow="0" yWindow="760" windowWidth="21240" windowHeight="1888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6" l="1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09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85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3" i="6"/>
  <c r="C228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BQ4" i="2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V7" i="2"/>
  <c r="HI7" i="2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A10" i="2"/>
  <c r="HG10" i="2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X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X18" i="2"/>
  <c r="HG18" i="2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EV20" i="2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W21" i="2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A22" i="2"/>
  <c r="EW22" i="2"/>
  <c r="HG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H24" i="2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B33" i="2" l="1"/>
  <c r="EA33" i="2"/>
  <c r="EW33" i="2"/>
  <c r="EV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EB35" i="2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EW38" i="2"/>
  <c r="EA38" i="2"/>
  <c r="HG38" i="2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HG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X45" i="2"/>
  <c r="EB45" i="2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H57" i="2"/>
  <c r="HI57" i="2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I60" i="2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A61" i="2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HI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I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B78" i="2"/>
  <c r="HI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I85" i="2"/>
  <c r="HG85" i="2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X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A107" i="2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G110" i="2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FS113" i="2"/>
  <c r="EX113" i="2"/>
  <c r="EW113" i="2"/>
  <c r="EC113" i="2"/>
  <c r="HG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EX120" i="2"/>
  <c r="FR120" i="2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FR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C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FS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EW130" i="2"/>
  <c r="HH130" i="2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I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EA146" i="2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V150" i="2"/>
  <c r="FS150" i="2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X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B154" i="2"/>
  <c r="HH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DI154" i="2"/>
  <c r="HJ154" i="2"/>
  <c r="HG155" i="2"/>
  <c r="ED154" i="2"/>
  <c r="EX155" i="2"/>
  <c r="EY154" i="2"/>
  <c r="EA155" i="2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HI156" i="2"/>
  <c r="EY155" i="2"/>
  <c r="DH156" i="2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CN156" i="2"/>
  <c r="HG157" i="2"/>
  <c r="HH157" i="2"/>
  <c r="EX157" i="2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HG158" i="2"/>
  <c r="EC158" i="2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HI159" i="2"/>
  <c r="EC159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HH160" i="2"/>
  <c r="HI160" i="2"/>
  <c r="ED159" i="2"/>
  <c r="HG160" i="2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G161" i="2" l="1"/>
  <c r="ED160" i="2"/>
  <c r="EA161" i="2"/>
  <c r="EB161" i="2"/>
  <c r="EX161" i="2"/>
  <c r="AB161" i="2"/>
  <c r="HH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HG162" i="2"/>
  <c r="HH162" i="2"/>
  <c r="EB162" i="2"/>
  <c r="DI161" i="2"/>
  <c r="EY161" i="2"/>
  <c r="EC162" i="2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H163" i="2" l="1"/>
  <c r="HG163" i="2"/>
  <c r="EY162" i="2"/>
  <c r="ED162" i="2"/>
  <c r="HI163" i="2"/>
  <c r="EB163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DI163" i="2" l="1"/>
  <c r="EA164" i="2"/>
  <c r="HH164" i="2"/>
  <c r="HG164" i="2"/>
  <c r="FS164" i="2"/>
  <c r="EY163" i="2"/>
  <c r="ED163" i="2"/>
  <c r="EV164" i="2"/>
  <c r="DH164" i="2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G165" i="2"/>
  <c r="EA165" i="2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CN165" i="2"/>
  <c r="ED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HJ166" i="2"/>
  <c r="HI167" i="2"/>
  <c r="EX167" i="2"/>
  <c r="DG167" i="2"/>
  <c r="EA167" i="2"/>
  <c r="EB167" i="2"/>
  <c r="FR167" i="2"/>
  <c r="EC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HH168" i="2"/>
  <c r="EV168" i="2"/>
  <c r="EB168" i="2"/>
  <c r="DI167" i="2"/>
  <c r="DG168" i="2"/>
  <c r="EW168" i="2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X169" i="2"/>
  <c r="EA169" i="2"/>
  <c r="EB169" i="2"/>
  <c r="HH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HI172" i="2"/>
  <c r="EY171" i="2"/>
  <c r="EB172" i="2"/>
  <c r="EA172" i="2"/>
  <c r="ED171" i="2"/>
  <c r="EW172" i="2"/>
  <c r="HG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HJ172" i="2"/>
  <c r="EW173" i="2"/>
  <c r="EB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G174" i="2" l="1"/>
  <c r="EY173" i="2"/>
  <c r="EC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FS175" i="2"/>
  <c r="EB175" i="2"/>
  <c r="EW175" i="2"/>
  <c r="HI175" i="2"/>
  <c r="E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Y175" i="2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FS177" i="2"/>
  <c r="EW177" i="2"/>
  <c r="EC177" i="2"/>
  <c r="FQ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HH178" i="2"/>
  <c r="FS178" i="2"/>
  <c r="EA178" i="2"/>
  <c r="HG178" i="2"/>
  <c r="EB178" i="2"/>
  <c r="FQ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HH179" i="2"/>
  <c r="EV179" i="2"/>
  <c r="HG179" i="2"/>
  <c r="HI179" i="2"/>
  <c r="DF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EX180" i="2"/>
  <c r="HG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ED180" i="2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DG182" i="2"/>
  <c r="FS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A183" i="2" l="1"/>
  <c r="EY182" i="2"/>
  <c r="ED182" i="2"/>
  <c r="FS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D184" i="2"/>
  <c r="HH185" i="2"/>
  <c r="EA185" i="2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EB186" i="2"/>
  <c r="FR186" i="2"/>
  <c r="EW186" i="2"/>
  <c r="HH186" i="2"/>
  <c r="HG186" i="2"/>
  <c r="ED185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B187" i="2"/>
  <c r="HG187" i="2"/>
  <c r="HH187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ED187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AA189" i="2"/>
  <c r="HH189" i="2"/>
  <c r="EB189" i="2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J189" i="2" l="1"/>
  <c r="ED189" i="2"/>
  <c r="HG190" i="2"/>
  <c r="HH190" i="2"/>
  <c r="EY189" i="2"/>
  <c r="EV190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ED190" i="2"/>
  <c r="EW191" i="2"/>
  <c r="HI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H192" i="2"/>
  <c r="HI192" i="2"/>
  <c r="EW192" i="2"/>
  <c r="EC192" i="2"/>
  <c r="HG192" i="2"/>
  <c r="EV192" i="2"/>
  <c r="EB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HI193" i="2"/>
  <c r="FQ193" i="2"/>
  <c r="EX193" i="2"/>
  <c r="EY192" i="2"/>
  <c r="DI192" i="2"/>
  <c r="EB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CN193" i="2"/>
  <c r="ED193" i="2"/>
  <c r="FQ194" i="2"/>
  <c r="EA194" i="2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HG195" i="2"/>
  <c r="FQ195" i="2"/>
  <c r="EY194" i="2"/>
  <c r="EB195" i="2"/>
  <c r="EA195" i="2"/>
  <c r="DH195" i="2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W196" i="2"/>
  <c r="EY195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C197" i="2" l="1"/>
  <c r="EY196" i="2"/>
  <c r="EW197" i="2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D197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FS199" i="2" l="1"/>
  <c r="EV199" i="2"/>
  <c r="EW199" i="2"/>
  <c r="EY198" i="2"/>
  <c r="HG199" i="2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AB199" i="2"/>
  <c r="BX4" i="2" a="1"/>
  <c r="BX4" i="2" s="1"/>
  <c r="BY4" i="2" s="1"/>
  <c r="AA199" i="2"/>
  <c r="AX197" i="2"/>
  <c r="HJ199" i="2" l="1"/>
  <c r="EW200" i="2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ED200" i="2" l="1"/>
  <c r="EY200" i="2"/>
  <c r="HH201" i="2"/>
  <c r="EB201" i="2"/>
  <c r="HJ200" i="2"/>
  <c r="FS201" i="2"/>
  <c r="DI200" i="2"/>
  <c r="HG201" i="2"/>
  <c r="EA201" i="2"/>
  <c r="ED201" i="2" s="1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HH202" i="2" l="1"/>
  <c r="FZ6" i="2"/>
  <c r="FS202" i="2"/>
  <c r="EY201" i="2"/>
  <c r="EW202" i="2"/>
  <c r="HG202" i="2"/>
  <c r="HI202" i="2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29" i="2" a="1"/>
  <c r="FY29" i="2" s="1"/>
  <c r="FY28" i="2" a="1"/>
  <c r="FY28" i="2" s="1"/>
  <c r="FY169" i="2" a="1"/>
  <c r="FY169" i="2" s="1"/>
  <c r="BC58" i="2" a="1"/>
  <c r="BC58" i="2" s="1"/>
  <c r="GT115" i="2" a="1"/>
  <c r="GT115" i="2" s="1"/>
  <c r="GT11" i="2" a="1"/>
  <c r="GT11" i="2" s="1"/>
  <c r="EI178" i="2" a="1"/>
  <c r="EI178" i="2" s="1"/>
  <c r="FY82" i="2" a="1"/>
  <c r="FY82" i="2" s="1"/>
  <c r="FY30" i="2" a="1"/>
  <c r="FY30" i="2" s="1"/>
  <c r="DN63" i="2" a="1"/>
  <c r="DN63" i="2" s="1"/>
  <c r="CS120" i="2" a="1"/>
  <c r="CS120" i="2" s="1"/>
  <c r="GT126" i="2" a="1"/>
  <c r="GT126" i="2" s="1"/>
  <c r="GT190" i="2" a="1"/>
  <c r="GT190" i="2" s="1"/>
  <c r="GT107" i="2" a="1"/>
  <c r="GT107" i="2" s="1"/>
  <c r="GT15" i="2" a="1"/>
  <c r="GT15" i="2" s="1"/>
  <c r="EI71" i="2" a="1"/>
  <c r="EI71" i="2" s="1"/>
  <c r="EI128" i="2" a="1"/>
  <c r="EI128" i="2" s="1"/>
  <c r="CS185" i="2" a="1"/>
  <c r="CS185" i="2" s="1"/>
  <c r="CS114" i="2" a="1"/>
  <c r="CS114" i="2" s="1"/>
  <c r="DN135" i="2" a="1"/>
  <c r="DN135" i="2" s="1"/>
  <c r="DN49" i="2" a="1"/>
  <c r="DN49" i="2" s="1"/>
  <c r="DN70" i="2" a="1"/>
  <c r="DN70" i="2" s="1"/>
  <c r="DN133" i="2" a="1"/>
  <c r="DN133" i="2" s="1"/>
  <c r="DN190" i="2" a="1"/>
  <c r="DN190" i="2" s="1"/>
  <c r="DN176" i="2" a="1"/>
  <c r="DN176" i="2" s="1"/>
  <c r="DN6" i="2" a="1"/>
  <c r="DN6" i="2" s="1"/>
  <c r="DO6" i="2" s="1"/>
  <c r="CS24" i="2" a="1"/>
  <c r="CS24" i="2" s="1"/>
  <c r="CS134" i="2" a="1"/>
  <c r="CS134" i="2" s="1"/>
  <c r="DN45" i="2" a="1"/>
  <c r="DN45" i="2" s="1"/>
  <c r="BX107" i="2" a="1"/>
  <c r="BX107" i="2" s="1"/>
  <c r="DN187" i="2" a="1"/>
  <c r="DN187" i="2" s="1"/>
  <c r="AX200" i="2"/>
  <c r="GT198" i="2" l="1" a="1"/>
  <c r="GT198" i="2" s="1"/>
  <c r="GT178" i="2" a="1"/>
  <c r="GT178" i="2" s="1"/>
  <c r="GT138" i="2" a="1"/>
  <c r="GT138" i="2" s="1"/>
  <c r="GT189" i="2" a="1"/>
  <c r="GT189" i="2" s="1"/>
  <c r="GT147" i="2" a="1"/>
  <c r="GT147" i="2" s="1"/>
  <c r="GT152" i="2" a="1"/>
  <c r="GT152" i="2" s="1"/>
  <c r="GT21" i="2" a="1"/>
  <c r="GT21" i="2" s="1"/>
  <c r="GT33" i="2" a="1"/>
  <c r="GT33" i="2" s="1"/>
  <c r="GT12" i="2" a="1"/>
  <c r="GT12" i="2" s="1"/>
  <c r="GT133" i="2" a="1"/>
  <c r="GT133" i="2" s="1"/>
  <c r="GT174" i="2" a="1"/>
  <c r="GT174" i="2" s="1"/>
  <c r="GT122" i="2" a="1"/>
  <c r="GT122" i="2" s="1"/>
  <c r="GT51" i="2" a="1"/>
  <c r="GT51" i="2" s="1"/>
  <c r="GT191" i="2" a="1"/>
  <c r="GT191" i="2" s="1"/>
  <c r="GT68" i="2" a="1"/>
  <c r="GT68" i="2" s="1"/>
  <c r="GT38" i="2" a="1"/>
  <c r="GT38" i="2" s="1"/>
  <c r="GT181" i="2" a="1"/>
  <c r="GT181" i="2" s="1"/>
  <c r="DN65" i="2" a="1"/>
  <c r="DN65" i="2" s="1"/>
  <c r="DN80" i="2" a="1"/>
  <c r="DN80" i="2" s="1"/>
  <c r="BC18" i="2" a="1"/>
  <c r="BC18" i="2" s="1"/>
  <c r="BC38" i="2" a="1"/>
  <c r="BC38" i="2" s="1"/>
  <c r="BC83" i="2" a="1"/>
  <c r="BC83" i="2" s="1"/>
  <c r="BC151" i="2" a="1"/>
  <c r="BC151" i="2" s="1"/>
  <c r="BC32" i="2" a="1"/>
  <c r="BC32" i="2" s="1"/>
  <c r="BC55" i="2" a="1"/>
  <c r="BC55" i="2" s="1"/>
  <c r="BC192" i="2" a="1"/>
  <c r="BC192" i="2" s="1"/>
  <c r="BC68" i="2" a="1"/>
  <c r="BC68" i="2" s="1"/>
  <c r="BC7" i="2" a="1"/>
  <c r="BC7" i="2" s="1"/>
  <c r="BC185" i="2" a="1"/>
  <c r="BC185" i="2" s="1"/>
  <c r="BC130" i="2" a="1"/>
  <c r="BC130" i="2" s="1"/>
  <c r="BC143" i="2" a="1"/>
  <c r="BC143" i="2" s="1"/>
  <c r="BC31" i="2" a="1"/>
  <c r="BC31" i="2" s="1"/>
  <c r="BC117" i="2" a="1"/>
  <c r="BC117" i="2" s="1"/>
  <c r="BC84" i="2" a="1"/>
  <c r="BC84" i="2" s="1"/>
  <c r="BC181" i="2" a="1"/>
  <c r="BC181" i="2" s="1"/>
  <c r="BC65" i="2" a="1"/>
  <c r="BC65" i="2" s="1"/>
  <c r="BC164" i="2" a="1"/>
  <c r="BC164" i="2" s="1"/>
  <c r="BC114" i="2" a="1"/>
  <c r="BC114" i="2" s="1"/>
  <c r="FY58" i="2" a="1"/>
  <c r="FY58" i="2" s="1"/>
  <c r="FY99" i="2" a="1"/>
  <c r="FY99" i="2" s="1"/>
  <c r="DN46" i="2" a="1"/>
  <c r="DN46" i="2" s="1"/>
  <c r="DN16" i="2" a="1"/>
  <c r="DN16" i="2" s="1"/>
  <c r="DN115" i="2" a="1"/>
  <c r="DN115" i="2" s="1"/>
  <c r="FY191" i="2" a="1"/>
  <c r="FY191" i="2" s="1"/>
  <c r="FY167" i="2" a="1"/>
  <c r="FY167" i="2" s="1"/>
  <c r="DN29" i="2" a="1"/>
  <c r="DN29" i="2" s="1"/>
  <c r="FY110" i="2" a="1"/>
  <c r="FY110" i="2" s="1"/>
  <c r="DN164" i="2" a="1"/>
  <c r="DN164" i="2" s="1"/>
  <c r="FY80" i="2" a="1"/>
  <c r="FY80" i="2" s="1"/>
  <c r="DN41" i="2" a="1"/>
  <c r="DN41" i="2" s="1"/>
  <c r="FY24" i="2" a="1"/>
  <c r="FY24" i="2" s="1"/>
  <c r="FY71" i="2" a="1"/>
  <c r="FY71" i="2" s="1"/>
  <c r="DN38" i="2" a="1"/>
  <c r="DN38" i="2" s="1"/>
  <c r="FY42" i="2" a="1"/>
  <c r="FY42" i="2" s="1"/>
  <c r="FY62" i="2" a="1"/>
  <c r="FY62" i="2" s="1"/>
  <c r="FY90" i="2" a="1"/>
  <c r="FY90" i="2" s="1"/>
  <c r="FY196" i="2" a="1"/>
  <c r="FY196" i="2" s="1"/>
  <c r="FY190" i="2" a="1"/>
  <c r="FY190" i="2" s="1"/>
  <c r="DN55" i="2" a="1"/>
  <c r="DN55" i="2" s="1"/>
  <c r="DN31" i="2" a="1"/>
  <c r="DN31" i="2" s="1"/>
  <c r="FY116" i="2" a="1"/>
  <c r="FY116" i="2" s="1"/>
  <c r="DN132" i="2" a="1"/>
  <c r="DN132" i="2" s="1"/>
  <c r="DN168" i="2" a="1"/>
  <c r="DN168" i="2" s="1"/>
  <c r="AH62" i="2" a="1"/>
  <c r="AH62" i="2" s="1"/>
  <c r="DN30" i="2" a="1"/>
  <c r="DN30" i="2" s="1"/>
  <c r="DN167" i="2" a="1"/>
  <c r="DN167" i="2" s="1"/>
  <c r="GT74" i="2" a="1"/>
  <c r="GT74" i="2" s="1"/>
  <c r="DN177" i="2" a="1"/>
  <c r="DN177" i="2" s="1"/>
  <c r="GT121" i="2" a="1"/>
  <c r="GT121" i="2" s="1"/>
  <c r="BC47" i="2" a="1"/>
  <c r="BC47" i="2" s="1"/>
  <c r="FY173" i="2" a="1"/>
  <c r="FY173" i="2" s="1"/>
  <c r="FY121" i="2" a="1"/>
  <c r="FY121" i="2" s="1"/>
  <c r="FY86" i="2" a="1"/>
  <c r="FY86" i="2" s="1"/>
  <c r="FY34" i="2" a="1"/>
  <c r="FY34" i="2" s="1"/>
  <c r="FY55" i="2" a="1"/>
  <c r="FY55" i="2" s="1"/>
  <c r="FY73" i="2" a="1"/>
  <c r="FY73" i="2" s="1"/>
  <c r="FY69" i="2" a="1"/>
  <c r="FY69" i="2" s="1"/>
  <c r="FY146" i="2" a="1"/>
  <c r="FY146" i="2" s="1"/>
  <c r="FY164" i="2" a="1"/>
  <c r="FY164" i="2" s="1"/>
  <c r="FY126" i="2" a="1"/>
  <c r="FY126" i="2" s="1"/>
  <c r="FY152" i="2" a="1"/>
  <c r="FY152" i="2" s="1"/>
  <c r="FY66" i="2" a="1"/>
  <c r="FY66" i="2" s="1"/>
  <c r="FY32" i="2" a="1"/>
  <c r="FY32" i="2" s="1"/>
  <c r="FY142" i="2" a="1"/>
  <c r="FY142" i="2" s="1"/>
  <c r="FY149" i="2" a="1"/>
  <c r="FY149" i="2" s="1"/>
  <c r="FY188" i="2" a="1"/>
  <c r="FY188" i="2" s="1"/>
  <c r="FY186" i="2" a="1"/>
  <c r="FY186" i="2" s="1"/>
  <c r="FY120" i="2" a="1"/>
  <c r="FY120" i="2" s="1"/>
  <c r="FY22" i="2" a="1"/>
  <c r="FY22" i="2" s="1"/>
  <c r="FY124" i="2" a="1"/>
  <c r="FY124" i="2" s="1"/>
  <c r="FY78" i="2" a="1"/>
  <c r="FY78" i="2" s="1"/>
  <c r="FY159" i="2" a="1"/>
  <c r="FY159" i="2" s="1"/>
  <c r="FY18" i="2" a="1"/>
  <c r="FY18" i="2" s="1"/>
  <c r="FY47" i="2" a="1"/>
  <c r="FY47" i="2" s="1"/>
  <c r="HJ202" i="2"/>
  <c r="FY174" i="2" a="1"/>
  <c r="FY174" i="2" s="1"/>
  <c r="FY143" i="2" a="1"/>
  <c r="FY143" i="2" s="1"/>
  <c r="FY133" i="2" a="1"/>
  <c r="FY133" i="2" s="1"/>
  <c r="FY140" i="2" a="1"/>
  <c r="FY140" i="2" s="1"/>
  <c r="FY172" i="2" a="1"/>
  <c r="FY172" i="2" s="1"/>
  <c r="FY92" i="2" a="1"/>
  <c r="FY92" i="2" s="1"/>
  <c r="FY35" i="2" a="1"/>
  <c r="FY35" i="2" s="1"/>
  <c r="FY182" i="2" a="1"/>
  <c r="FY182" i="2" s="1"/>
  <c r="FY72" i="2" a="1"/>
  <c r="FY72" i="2" s="1"/>
  <c r="FY153" i="2" a="1"/>
  <c r="FY153" i="2" s="1"/>
  <c r="DN162" i="2" a="1"/>
  <c r="DN162" i="2" s="1"/>
  <c r="FY115" i="2" a="1"/>
  <c r="FY115" i="2" s="1"/>
  <c r="GT102" i="2" a="1"/>
  <c r="GT102" i="2" s="1"/>
  <c r="GT184" i="2" a="1"/>
  <c r="GT184" i="2" s="1"/>
  <c r="FY104" i="2" a="1"/>
  <c r="FY104" i="2" s="1"/>
  <c r="FY178" i="2" a="1"/>
  <c r="FY178" i="2" s="1"/>
  <c r="FY111" i="2" a="1"/>
  <c r="FY111" i="2" s="1"/>
  <c r="FY102" i="2" a="1"/>
  <c r="FY102" i="2" s="1"/>
  <c r="FY165" i="2" a="1"/>
  <c r="FY165" i="2" s="1"/>
  <c r="FS203" i="2"/>
  <c r="EI109" i="2" a="1"/>
  <c r="EI109" i="2" s="1"/>
  <c r="EI67" i="2" a="1"/>
  <c r="EI67" i="2" s="1"/>
  <c r="EI29" i="2" a="1"/>
  <c r="EI29" i="2" s="1"/>
  <c r="EI198" i="2" a="1"/>
  <c r="EI198" i="2" s="1"/>
  <c r="CS161" i="2" a="1"/>
  <c r="CS161" i="2" s="1"/>
  <c r="CS66" i="2" a="1"/>
  <c r="CS66" i="2" s="1"/>
  <c r="CS72" i="2" a="1"/>
  <c r="CS72" i="2" s="1"/>
  <c r="CS56" i="2" a="1"/>
  <c r="CS56" i="2" s="1"/>
  <c r="CS38" i="2" a="1"/>
  <c r="CS38" i="2" s="1"/>
  <c r="CS105" i="2" a="1"/>
  <c r="CS105" i="2" s="1"/>
  <c r="CS129" i="2" a="1"/>
  <c r="CS129" i="2" s="1"/>
  <c r="CS52" i="2" a="1"/>
  <c r="CS52" i="2" s="1"/>
  <c r="CS77" i="2" a="1"/>
  <c r="CS77" i="2" s="1"/>
  <c r="CS137" i="2" a="1"/>
  <c r="CS137" i="2" s="1"/>
  <c r="CS116" i="2" a="1"/>
  <c r="CS116" i="2" s="1"/>
  <c r="BC126" i="2" a="1"/>
  <c r="BC126" i="2" s="1"/>
  <c r="BC82" i="2" a="1"/>
  <c r="BC82" i="2" s="1"/>
  <c r="AH163" i="2" a="1"/>
  <c r="AH163" i="2" s="1"/>
  <c r="AH166" i="2" a="1"/>
  <c r="AH166" i="2" s="1"/>
  <c r="AH151" i="2" a="1"/>
  <c r="AH151" i="2" s="1"/>
  <c r="FY57" i="2" a="1"/>
  <c r="FY57" i="2" s="1"/>
  <c r="FY54" i="2" a="1"/>
  <c r="FY54" i="2" s="1"/>
  <c r="HG203" i="2"/>
  <c r="FY50" i="2" a="1"/>
  <c r="FY50" i="2" s="1"/>
  <c r="FY109" i="2" a="1"/>
  <c r="FY109" i="2" s="1"/>
  <c r="FY79" i="2" a="1"/>
  <c r="FY79" i="2" s="1"/>
  <c r="FD19" i="2" a="1"/>
  <c r="FD19" i="2" s="1"/>
  <c r="FD107" i="2" a="1"/>
  <c r="FD107" i="2" s="1"/>
  <c r="FD44" i="2" a="1"/>
  <c r="FD44" i="2" s="1"/>
  <c r="FD160" i="2" a="1"/>
  <c r="FD160" i="2" s="1"/>
  <c r="FD167" i="2" a="1"/>
  <c r="FD167" i="2" s="1"/>
  <c r="FD64" i="2" a="1"/>
  <c r="FD64" i="2" s="1"/>
  <c r="FD188" i="2" a="1"/>
  <c r="FD188" i="2" s="1"/>
  <c r="FD189" i="2" a="1"/>
  <c r="FD189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D82" i="2" a="1"/>
  <c r="FD82" i="2" s="1"/>
  <c r="FD194" i="2" a="1"/>
  <c r="FD194" i="2" s="1"/>
  <c r="FD159" i="2" a="1"/>
  <c r="FD159" i="2" s="1"/>
  <c r="FD43" i="2" a="1"/>
  <c r="FD43" i="2" s="1"/>
  <c r="FD48" i="2" a="1"/>
  <c r="FD48" i="2" s="1"/>
  <c r="FD59" i="2" a="1"/>
  <c r="FD59" i="2" s="1"/>
  <c r="FD144" i="2" a="1"/>
  <c r="FD144" i="2" s="1"/>
  <c r="FD21" i="2" a="1"/>
  <c r="FD21" i="2" s="1"/>
  <c r="EI37" i="2" a="1"/>
  <c r="EI37" i="2" s="1"/>
  <c r="EI20" i="2" a="1"/>
  <c r="EI20" i="2" s="1"/>
  <c r="EI38" i="2" a="1"/>
  <c r="EI38" i="2" s="1"/>
  <c r="EI106" i="2" a="1"/>
  <c r="EI106" i="2" s="1"/>
  <c r="EI35" i="2" a="1"/>
  <c r="EI35" i="2" s="1"/>
  <c r="EI16" i="2" a="1"/>
  <c r="EI16" i="2" s="1"/>
  <c r="EI34" i="2" a="1"/>
  <c r="EI34" i="2" s="1"/>
  <c r="EI36" i="2" a="1"/>
  <c r="EI36" i="2" s="1"/>
  <c r="EI195" i="2" a="1"/>
  <c r="EI195" i="2" s="1"/>
  <c r="EI162" i="2" a="1"/>
  <c r="EI162" i="2" s="1"/>
  <c r="EI153" i="2" a="1"/>
  <c r="EI153" i="2" s="1"/>
  <c r="EI170" i="2" a="1"/>
  <c r="EI170" i="2" s="1"/>
  <c r="EI57" i="2" a="1"/>
  <c r="EI57" i="2" s="1"/>
  <c r="EI145" i="2" a="1"/>
  <c r="EI145" i="2" s="1"/>
  <c r="EI139" i="2" a="1"/>
  <c r="EI139" i="2" s="1"/>
  <c r="EI113" i="2" a="1"/>
  <c r="EI113" i="2" s="1"/>
  <c r="EI165" i="2" a="1"/>
  <c r="EI165" i="2" s="1"/>
  <c r="EI87" i="2" a="1"/>
  <c r="EI87" i="2" s="1"/>
  <c r="EI142" i="2" a="1"/>
  <c r="EI142" i="2" s="1"/>
  <c r="EI150" i="2" a="1"/>
  <c r="EI150" i="2" s="1"/>
  <c r="EI166" i="2" a="1"/>
  <c r="EI166" i="2" s="1"/>
  <c r="EY202" i="2"/>
  <c r="BC34" i="2" a="1"/>
  <c r="BC34" i="2" s="1"/>
  <c r="BP203" i="2"/>
  <c r="DN103" i="2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AH199" i="2" a="1"/>
  <c r="AH199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AH19" i="2" a="1"/>
  <c r="AH19" i="2" s="1"/>
  <c r="DN150" i="2" a="1"/>
  <c r="DN150" i="2" s="1"/>
  <c r="DN50" i="2" a="1"/>
  <c r="DN50" i="2" s="1"/>
  <c r="AH90" i="2" a="1"/>
  <c r="AH9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T203" i="2" l="1"/>
  <c r="EY203" i="2"/>
  <c r="ED203" i="2"/>
  <c r="DI203" i="2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GZ52" i="2" l="1"/>
  <c r="GZ91" i="2"/>
  <c r="GZ19" i="2"/>
  <c r="GZ151" i="2"/>
  <c r="GZ190" i="2"/>
  <c r="GZ26" i="2"/>
  <c r="GZ130" i="2"/>
  <c r="GZ133" i="2"/>
  <c r="GZ175" i="2"/>
  <c r="GZ148" i="2"/>
  <c r="GZ15" i="2"/>
  <c r="GZ83" i="2"/>
  <c r="GZ114" i="2"/>
  <c r="GZ88" i="2"/>
  <c r="GZ201" i="2"/>
  <c r="GZ65" i="2"/>
  <c r="GZ198" i="2"/>
  <c r="GZ135" i="2"/>
  <c r="GZ56" i="2"/>
  <c r="GZ40" i="2"/>
  <c r="GZ62" i="2"/>
  <c r="GZ79" i="2"/>
  <c r="GZ153" i="2"/>
  <c r="GZ129" i="2"/>
  <c r="GZ141" i="2"/>
  <c r="GZ174" i="2"/>
  <c r="GZ97" i="2"/>
  <c r="GZ54" i="2"/>
  <c r="GZ181" i="2"/>
  <c r="GZ81" i="2"/>
  <c r="GZ41" i="2"/>
  <c r="GZ132" i="2"/>
  <c r="GZ104" i="2"/>
  <c r="GZ4" i="2"/>
  <c r="GZ115" i="2"/>
  <c r="GZ111" i="2"/>
  <c r="GZ131" i="2"/>
  <c r="GZ155" i="2"/>
  <c r="GZ158" i="2"/>
  <c r="GZ72" i="2"/>
  <c r="GZ102" i="2"/>
  <c r="GZ124" i="2"/>
  <c r="GZ66" i="2"/>
  <c r="GZ74" i="2"/>
  <c r="GZ172" i="2"/>
  <c r="GZ128" i="2"/>
  <c r="GZ136" i="2"/>
  <c r="GZ166" i="2"/>
  <c r="GZ195" i="2"/>
  <c r="GZ53" i="2"/>
  <c r="GZ22" i="2"/>
  <c r="GZ51" i="2"/>
  <c r="GZ189" i="2"/>
  <c r="GZ45" i="2"/>
  <c r="GZ165" i="2"/>
  <c r="GZ186" i="2"/>
  <c r="GZ69" i="2"/>
  <c r="GZ44" i="2"/>
  <c r="GZ90" i="2"/>
  <c r="GZ13" i="2"/>
  <c r="GZ46" i="2"/>
  <c r="GZ122" i="2"/>
  <c r="GZ156" i="2"/>
  <c r="GZ89" i="2"/>
  <c r="GZ48" i="2"/>
  <c r="GZ23" i="2"/>
  <c r="GZ199" i="2"/>
  <c r="GZ9" i="2"/>
  <c r="GZ33" i="2"/>
  <c r="GZ64" i="2"/>
  <c r="GZ193" i="2"/>
  <c r="GZ144" i="2"/>
  <c r="GZ146" i="2"/>
  <c r="GZ112" i="2"/>
  <c r="GZ10" i="2"/>
  <c r="GZ160" i="2"/>
  <c r="GZ154" i="2"/>
  <c r="GZ100" i="2"/>
  <c r="GZ185" i="2"/>
  <c r="GZ68" i="2"/>
  <c r="GZ37" i="2"/>
  <c r="GZ14" i="2"/>
  <c r="GZ119" i="2"/>
  <c r="GZ49" i="2"/>
  <c r="GZ142" i="2"/>
  <c r="GZ168" i="2"/>
  <c r="GZ140" i="2"/>
  <c r="GZ150" i="2"/>
  <c r="GZ24" i="2"/>
  <c r="GZ76" i="2"/>
  <c r="GZ16" i="2"/>
  <c r="GZ176" i="2"/>
  <c r="GZ71" i="2"/>
  <c r="GZ18" i="2"/>
  <c r="GZ137" i="2"/>
  <c r="GZ87" i="2"/>
  <c r="GZ105" i="2"/>
  <c r="GZ67" i="2"/>
  <c r="GZ126" i="2"/>
  <c r="GZ27" i="2"/>
  <c r="GZ32" i="2"/>
  <c r="GZ134" i="2"/>
  <c r="GZ77" i="2"/>
  <c r="GZ149" i="2"/>
  <c r="GZ30" i="2"/>
  <c r="GZ121" i="2"/>
  <c r="GZ109" i="2"/>
  <c r="GZ117" i="2"/>
  <c r="GZ42" i="2"/>
  <c r="GZ17" i="2"/>
  <c r="GZ29" i="2"/>
  <c r="GZ36" i="2"/>
  <c r="GZ110" i="2"/>
  <c r="GZ78" i="2"/>
  <c r="GZ94" i="2"/>
  <c r="GZ35" i="2"/>
  <c r="GZ96" i="2"/>
  <c r="GZ188" i="2"/>
  <c r="GZ31" i="2"/>
  <c r="GZ194" i="2"/>
  <c r="GZ191" i="2"/>
  <c r="GZ21" i="2"/>
  <c r="GZ139" i="2"/>
  <c r="GZ179" i="2"/>
  <c r="GZ86" i="2"/>
  <c r="GZ73" i="2"/>
  <c r="GZ55" i="2"/>
  <c r="GZ183" i="2"/>
  <c r="GZ8" i="2"/>
  <c r="GZ12" i="2"/>
  <c r="GZ200" i="2"/>
  <c r="GZ182" i="2"/>
  <c r="GZ127" i="2"/>
  <c r="GZ164" i="2"/>
  <c r="GZ84" i="2"/>
  <c r="GZ116" i="2"/>
  <c r="GZ75" i="2"/>
  <c r="GZ171" i="2"/>
  <c r="GZ138" i="2"/>
  <c r="GZ143" i="2"/>
  <c r="GZ98" i="2"/>
  <c r="GZ169" i="2"/>
  <c r="GZ197" i="2"/>
  <c r="GZ123" i="2"/>
  <c r="GZ20" i="2"/>
  <c r="GZ167" i="2"/>
  <c r="GZ177" i="2"/>
  <c r="GZ187" i="2"/>
  <c r="GZ58" i="2"/>
  <c r="GZ107" i="2"/>
  <c r="GZ43" i="2"/>
  <c r="GZ63" i="2"/>
  <c r="GZ192" i="2"/>
  <c r="GZ61" i="2"/>
  <c r="GZ145" i="2"/>
  <c r="GZ80" i="2"/>
  <c r="GZ152" i="2"/>
  <c r="GZ113" i="2"/>
  <c r="GZ39" i="2"/>
  <c r="GZ103" i="2"/>
  <c r="GZ196" i="2"/>
  <c r="GZ34" i="2"/>
  <c r="GZ184" i="2"/>
  <c r="GZ11" i="2"/>
  <c r="GZ70" i="2"/>
  <c r="GZ57" i="2"/>
  <c r="GZ202" i="2"/>
  <c r="GZ5" i="2"/>
  <c r="GZ178" i="2"/>
  <c r="GZ157" i="2"/>
  <c r="GZ82" i="2"/>
  <c r="GZ125" i="2"/>
  <c r="GZ50" i="2"/>
  <c r="GZ59" i="2"/>
  <c r="GZ173" i="2"/>
  <c r="GZ180" i="2"/>
  <c r="GZ85" i="2"/>
  <c r="GZ161" i="2"/>
  <c r="GZ147" i="2"/>
  <c r="GZ159" i="2"/>
  <c r="GZ120" i="2"/>
  <c r="GZ38" i="2"/>
  <c r="GZ203" i="2"/>
  <c r="GZ47" i="2"/>
  <c r="GZ92" i="2"/>
  <c r="GZ170" i="2"/>
  <c r="GZ6" i="2"/>
  <c r="GZ101" i="2"/>
  <c r="GZ28" i="2"/>
  <c r="GZ108" i="2"/>
  <c r="GZ106" i="2"/>
  <c r="GZ163" i="2"/>
  <c r="GZ118" i="2"/>
  <c r="GZ93" i="2"/>
  <c r="GZ60" i="2"/>
  <c r="GZ162" i="2"/>
  <c r="GZ25" i="2"/>
  <c r="GZ7" i="2"/>
  <c r="GZ99" i="2"/>
  <c r="GZ95" i="2"/>
  <c r="GZ3" i="2"/>
  <c r="C15" i="4" s="1"/>
  <c r="E15" i="4" s="1"/>
  <c r="F15" i="4" s="1"/>
  <c r="G15" i="4" s="1"/>
  <c r="L15" i="4" s="1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J191" i="2" l="1"/>
  <c r="FJ156" i="2"/>
  <c r="FJ113" i="2"/>
  <c r="FJ196" i="2"/>
  <c r="FJ82" i="2"/>
  <c r="FJ93" i="2"/>
  <c r="FJ29" i="2"/>
  <c r="FJ185" i="2"/>
  <c r="FJ177" i="2"/>
  <c r="FJ86" i="2"/>
  <c r="FJ151" i="2"/>
  <c r="FJ125" i="2"/>
  <c r="FJ19" i="2"/>
  <c r="FJ175" i="2"/>
  <c r="FJ187" i="2"/>
  <c r="FJ149" i="2"/>
  <c r="FJ14" i="2"/>
  <c r="FJ168" i="2"/>
  <c r="FJ87" i="2"/>
  <c r="FJ181" i="2"/>
  <c r="FJ23" i="2"/>
  <c r="FJ99" i="2"/>
  <c r="FJ186" i="2"/>
  <c r="FJ166" i="2"/>
  <c r="FJ5" i="2"/>
  <c r="FJ59" i="2"/>
  <c r="FJ120" i="2"/>
  <c r="FJ39" i="2"/>
  <c r="FJ18" i="2"/>
  <c r="FJ195" i="2"/>
  <c r="FJ34" i="2"/>
  <c r="FJ45" i="2"/>
  <c r="FJ78" i="2"/>
  <c r="FJ180" i="2"/>
  <c r="FJ116" i="2"/>
  <c r="FJ4" i="2"/>
  <c r="FJ130" i="2"/>
  <c r="FJ121" i="2"/>
  <c r="FJ65" i="2"/>
  <c r="FJ199" i="2"/>
  <c r="FJ16" i="2"/>
  <c r="FJ122" i="2"/>
  <c r="FJ17" i="2"/>
  <c r="FJ97" i="2"/>
  <c r="FJ37" i="2"/>
  <c r="FJ184" i="2"/>
  <c r="FJ189" i="2"/>
  <c r="FJ26" i="2"/>
  <c r="FJ79" i="2"/>
  <c r="FJ136" i="2"/>
  <c r="FJ141" i="2"/>
  <c r="FJ43" i="2"/>
  <c r="FJ167" i="2"/>
  <c r="FJ112" i="2"/>
  <c r="FJ42" i="2"/>
  <c r="FJ173" i="2"/>
  <c r="FJ119" i="2"/>
  <c r="FJ61" i="2"/>
  <c r="FJ161" i="2"/>
  <c r="FJ183" i="2"/>
  <c r="FJ91" i="2"/>
  <c r="FJ54" i="2"/>
  <c r="FJ188" i="2"/>
  <c r="FJ60" i="2"/>
  <c r="FJ36" i="2"/>
  <c r="FJ20" i="2"/>
  <c r="FJ110" i="2"/>
  <c r="FJ182" i="2"/>
  <c r="FJ135" i="2"/>
  <c r="FJ104" i="2"/>
  <c r="FJ107" i="2"/>
  <c r="FJ118" i="2"/>
  <c r="FJ145" i="2"/>
  <c r="FJ153" i="2"/>
  <c r="FJ7" i="2"/>
  <c r="FJ98" i="2"/>
  <c r="FJ25" i="2"/>
  <c r="FJ32" i="2"/>
  <c r="FJ62" i="2"/>
  <c r="FJ178" i="2"/>
  <c r="FJ200" i="2"/>
  <c r="FJ131" i="2"/>
  <c r="FJ67" i="2"/>
  <c r="FJ101" i="2"/>
  <c r="FJ71" i="2"/>
  <c r="FJ192" i="2"/>
  <c r="FJ171" i="2"/>
  <c r="FJ44" i="2"/>
  <c r="FJ27" i="2"/>
  <c r="FJ140" i="2"/>
  <c r="FJ148" i="2"/>
  <c r="FJ48" i="2"/>
  <c r="FJ92" i="2"/>
  <c r="FJ63" i="2"/>
  <c r="FJ47" i="2"/>
  <c r="FJ129" i="2"/>
  <c r="FJ69" i="2"/>
  <c r="FJ46" i="2"/>
  <c r="FJ162" i="2"/>
  <c r="FJ28" i="2"/>
  <c r="FJ105" i="2"/>
  <c r="FJ155" i="2"/>
  <c r="FJ100" i="2"/>
  <c r="FJ88" i="2"/>
  <c r="FJ85" i="2"/>
  <c r="FJ139" i="2"/>
  <c r="FJ56" i="2"/>
  <c r="FJ10" i="2"/>
  <c r="FJ111" i="2"/>
  <c r="FJ137" i="2"/>
  <c r="FJ58" i="2"/>
  <c r="FJ128" i="2"/>
  <c r="FJ106" i="2"/>
  <c r="FJ203" i="2"/>
  <c r="FJ126" i="2"/>
  <c r="FJ94" i="2"/>
  <c r="FJ103" i="2"/>
  <c r="FJ152" i="2"/>
  <c r="FJ40" i="2"/>
  <c r="FJ133" i="2"/>
  <c r="FJ158" i="2"/>
  <c r="FJ144" i="2"/>
  <c r="FJ138" i="2"/>
  <c r="FJ70" i="2"/>
  <c r="FJ102" i="2"/>
  <c r="FJ90" i="2"/>
  <c r="FJ49" i="2"/>
  <c r="FJ24" i="2"/>
  <c r="FJ134" i="2"/>
  <c r="FJ96" i="2"/>
  <c r="FJ170" i="2"/>
  <c r="FJ35" i="2"/>
  <c r="FJ31" i="2"/>
  <c r="FJ164" i="2"/>
  <c r="FJ76" i="2"/>
  <c r="FJ159" i="2"/>
  <c r="FJ176" i="2"/>
  <c r="FJ146" i="2"/>
  <c r="FJ109" i="2"/>
  <c r="FJ15" i="2"/>
  <c r="FJ8" i="2"/>
  <c r="FJ3" i="2"/>
  <c r="C13" i="4" s="1"/>
  <c r="E13" i="4" s="1"/>
  <c r="F13" i="4" s="1"/>
  <c r="G13" i="4" s="1"/>
  <c r="L13" i="4" s="1"/>
  <c r="FJ132" i="2"/>
  <c r="FJ22" i="2"/>
  <c r="FJ163" i="2"/>
  <c r="FJ11" i="2"/>
  <c r="FJ150" i="2"/>
  <c r="FJ66" i="2"/>
  <c r="FJ147" i="2"/>
  <c r="FJ117" i="2"/>
  <c r="FJ83" i="2"/>
  <c r="FJ13" i="2"/>
  <c r="FJ74" i="2"/>
  <c r="FJ114" i="2"/>
  <c r="FJ174" i="2"/>
  <c r="FJ123" i="2"/>
  <c r="FJ81" i="2"/>
  <c r="FJ21" i="2"/>
  <c r="FJ80" i="2"/>
  <c r="FJ50" i="2"/>
  <c r="FJ198" i="2"/>
  <c r="FJ154" i="2"/>
  <c r="FJ95" i="2"/>
  <c r="FJ194" i="2"/>
  <c r="FJ127" i="2"/>
  <c r="FJ157" i="2"/>
  <c r="FJ172" i="2"/>
  <c r="FJ190" i="2"/>
  <c r="FJ179" i="2"/>
  <c r="FJ142" i="2"/>
  <c r="FJ51" i="2"/>
  <c r="FJ169" i="2"/>
  <c r="FJ124" i="2"/>
  <c r="FJ202" i="2"/>
  <c r="FJ115" i="2"/>
  <c r="FJ6" i="2"/>
  <c r="FJ108" i="2"/>
  <c r="FJ84" i="2"/>
  <c r="FJ193" i="2"/>
  <c r="FJ143" i="2"/>
  <c r="FJ30" i="2"/>
  <c r="FJ57" i="2"/>
  <c r="FJ77" i="2"/>
  <c r="FJ53" i="2"/>
  <c r="FJ12" i="2"/>
  <c r="FJ9" i="2"/>
  <c r="FJ38" i="2"/>
  <c r="FJ33" i="2"/>
  <c r="FJ72" i="2"/>
  <c r="FJ73" i="2"/>
  <c r="FJ89" i="2"/>
  <c r="FJ201" i="2"/>
  <c r="FJ197" i="2"/>
  <c r="FJ75" i="2"/>
  <c r="FJ68" i="2"/>
  <c r="FJ41" i="2"/>
  <c r="FJ165" i="2"/>
  <c r="FJ55" i="2"/>
  <c r="FJ64" i="2"/>
  <c r="FJ52" i="2"/>
  <c r="FJ160" i="2"/>
  <c r="CY24" i="2"/>
  <c r="CY146" i="2"/>
  <c r="CY143" i="2"/>
  <c r="CY148" i="2"/>
  <c r="CY3" i="2"/>
  <c r="C10" i="4" s="1"/>
  <c r="E10" i="4" s="1"/>
  <c r="F10" i="4" s="1"/>
  <c r="G10" i="4" s="1"/>
  <c r="L10" i="4" s="1"/>
  <c r="CY168" i="2"/>
  <c r="CY82" i="2"/>
  <c r="CY192" i="2"/>
  <c r="CY139" i="2"/>
  <c r="CY25" i="2"/>
  <c r="CY110" i="2"/>
  <c r="CY79" i="2"/>
  <c r="CY178" i="2"/>
  <c r="CY41" i="2"/>
  <c r="CY158" i="2"/>
  <c r="CY45" i="2"/>
  <c r="CY165" i="2"/>
  <c r="CY161" i="2"/>
  <c r="CY59" i="2"/>
  <c r="CY50" i="2"/>
  <c r="CY77" i="2"/>
  <c r="CY20" i="2"/>
  <c r="CY32" i="2"/>
  <c r="CY69" i="2"/>
  <c r="CY188" i="2"/>
  <c r="CY27" i="2"/>
  <c r="CY150" i="2"/>
  <c r="CY66" i="2"/>
  <c r="CY153" i="2"/>
  <c r="CY203" i="2"/>
  <c r="CY118" i="2"/>
  <c r="CY31" i="2"/>
  <c r="CY103" i="2"/>
  <c r="CY47" i="2"/>
  <c r="CY145" i="2"/>
  <c r="CY99" i="2"/>
  <c r="CY156" i="2"/>
  <c r="CY17" i="2"/>
  <c r="CY71" i="2"/>
  <c r="CY4" i="2"/>
  <c r="CY141" i="2"/>
  <c r="CY171" i="2"/>
  <c r="CY19" i="2"/>
  <c r="CY160" i="2"/>
  <c r="CY155" i="2"/>
  <c r="CY116" i="2"/>
  <c r="CY170" i="2"/>
  <c r="CY51" i="2"/>
  <c r="CY10" i="2"/>
  <c r="CY174" i="2"/>
  <c r="CY107" i="2"/>
  <c r="CY14" i="2"/>
  <c r="CY87" i="2"/>
  <c r="CY101" i="2"/>
  <c r="CY58" i="2"/>
  <c r="CY42" i="2"/>
  <c r="CY73" i="2"/>
  <c r="CY15" i="2"/>
  <c r="CY30" i="2"/>
  <c r="CY96" i="2"/>
  <c r="CY105" i="2"/>
  <c r="CY61" i="2"/>
  <c r="CY56" i="2"/>
  <c r="CY113" i="2"/>
  <c r="CY166" i="2"/>
  <c r="CY202" i="2"/>
  <c r="CY22" i="2"/>
  <c r="CY65" i="2"/>
  <c r="CY177" i="2"/>
  <c r="CY23" i="2"/>
  <c r="CY6" i="2"/>
  <c r="CY138" i="2"/>
  <c r="CY136" i="2"/>
  <c r="CY36" i="2"/>
  <c r="CY151" i="2"/>
  <c r="CY200" i="2"/>
  <c r="CY132" i="2"/>
  <c r="CY60" i="2"/>
  <c r="CY63" i="2"/>
  <c r="CY34" i="2"/>
  <c r="CY18" i="2"/>
  <c r="CY181" i="2"/>
  <c r="CY184" i="2"/>
  <c r="CY194" i="2"/>
  <c r="CY11" i="2"/>
  <c r="CY85" i="2"/>
  <c r="CY114" i="2"/>
  <c r="CY44" i="2"/>
  <c r="CY90" i="2"/>
  <c r="CY78" i="2"/>
  <c r="CY94" i="2"/>
  <c r="CY115" i="2"/>
  <c r="CY111" i="2"/>
  <c r="CY93" i="2"/>
  <c r="CY125" i="2"/>
  <c r="CY33" i="2"/>
  <c r="CY123" i="2"/>
  <c r="CY70" i="2"/>
  <c r="CY121" i="2"/>
  <c r="CY122" i="2"/>
  <c r="CY5" i="2"/>
  <c r="CY179" i="2"/>
  <c r="CY152" i="2"/>
  <c r="CY140" i="2"/>
  <c r="CY176" i="2"/>
  <c r="CY172" i="2"/>
  <c r="CY64" i="2"/>
  <c r="CY135" i="2"/>
  <c r="CY95" i="2"/>
  <c r="CY164" i="2"/>
  <c r="CY81" i="2"/>
  <c r="CY157" i="2"/>
  <c r="CY53" i="2"/>
  <c r="CY9" i="2"/>
  <c r="CY40" i="2"/>
  <c r="CY54" i="2"/>
  <c r="CY163" i="2"/>
  <c r="CY7" i="2"/>
  <c r="CY195" i="2"/>
  <c r="CY128" i="2"/>
  <c r="CY89" i="2"/>
  <c r="CY167" i="2"/>
  <c r="CY201" i="2"/>
  <c r="CY72" i="2"/>
  <c r="CY67" i="2"/>
  <c r="CY199" i="2"/>
  <c r="CY133" i="2"/>
  <c r="CY198" i="2"/>
  <c r="CY108" i="2"/>
  <c r="CY130" i="2"/>
  <c r="CY83" i="2"/>
  <c r="CY169" i="2"/>
  <c r="CY120" i="2"/>
  <c r="CY185" i="2"/>
  <c r="CY117" i="2"/>
  <c r="CY38" i="2"/>
  <c r="CY119" i="2"/>
  <c r="CY80" i="2"/>
  <c r="CY186" i="2"/>
  <c r="CY129" i="2"/>
  <c r="CY35" i="2"/>
  <c r="CY49" i="2"/>
  <c r="CY55" i="2"/>
  <c r="CY191" i="2"/>
  <c r="CY134" i="2"/>
  <c r="CY100" i="2"/>
  <c r="CY183" i="2"/>
  <c r="CY92" i="2"/>
  <c r="CY104" i="2"/>
  <c r="CY75" i="2"/>
  <c r="CY144" i="2"/>
  <c r="CY131" i="2"/>
  <c r="CY28" i="2"/>
  <c r="CY8" i="2"/>
  <c r="CY48" i="2"/>
  <c r="CY91" i="2"/>
  <c r="CY127" i="2"/>
  <c r="CY154" i="2"/>
  <c r="CY189" i="2"/>
  <c r="CY97" i="2"/>
  <c r="CY112" i="2"/>
  <c r="CY147" i="2"/>
  <c r="CY149" i="2"/>
  <c r="CY86" i="2"/>
  <c r="CY109" i="2"/>
  <c r="CY12" i="2"/>
  <c r="CY26" i="2"/>
  <c r="CY137" i="2"/>
  <c r="CY84" i="2"/>
  <c r="CY68" i="2"/>
  <c r="CY106" i="2"/>
  <c r="CY102" i="2"/>
  <c r="CY16" i="2"/>
  <c r="CY43" i="2"/>
  <c r="CY187" i="2"/>
  <c r="CY76" i="2"/>
  <c r="CY180" i="2"/>
  <c r="CY175" i="2"/>
  <c r="CY124" i="2"/>
  <c r="CY190" i="2"/>
  <c r="CY39" i="2"/>
  <c r="CY21" i="2"/>
  <c r="CY162" i="2"/>
  <c r="CY46" i="2"/>
  <c r="CY182" i="2"/>
  <c r="CY37" i="2"/>
  <c r="CY173" i="2"/>
  <c r="CY159" i="2"/>
  <c r="CY193" i="2"/>
  <c r="CY74" i="2"/>
  <c r="CY126" i="2"/>
  <c r="CY142" i="2"/>
  <c r="CY57" i="2"/>
  <c r="CY197" i="2"/>
  <c r="CY196" i="2"/>
  <c r="CY52" i="2"/>
  <c r="CY13" i="2"/>
  <c r="CY62" i="2"/>
  <c r="CY98" i="2"/>
  <c r="CY29" i="2"/>
  <c r="CY88" i="2"/>
  <c r="CD60" i="2"/>
  <c r="CD16" i="2"/>
  <c r="CD4" i="2"/>
  <c r="CD117" i="2"/>
  <c r="CD5" i="2"/>
  <c r="CD165" i="2"/>
  <c r="CD188" i="2"/>
  <c r="CD80" i="2"/>
  <c r="CD173" i="2"/>
  <c r="CD137" i="2"/>
  <c r="CD189" i="2"/>
  <c r="CD101" i="2"/>
  <c r="CD123" i="2"/>
  <c r="CD153" i="2"/>
  <c r="CD126" i="2"/>
  <c r="CD61" i="2"/>
  <c r="CD110" i="2"/>
  <c r="CD68" i="2"/>
  <c r="CD168" i="2"/>
  <c r="CD41" i="2"/>
  <c r="CD12" i="2"/>
  <c r="CD96" i="2"/>
  <c r="CD150" i="2"/>
  <c r="CD182" i="2"/>
  <c r="CD135" i="2"/>
  <c r="CD130" i="2"/>
  <c r="CD10" i="2"/>
  <c r="CD125" i="2"/>
  <c r="CD39" i="2"/>
  <c r="CD192" i="2"/>
  <c r="CD19" i="2"/>
  <c r="CD151" i="2"/>
  <c r="CD17" i="2"/>
  <c r="CD74" i="2"/>
  <c r="CD134" i="2"/>
  <c r="CD155" i="2"/>
  <c r="CD175" i="2"/>
  <c r="CD194" i="2"/>
  <c r="CD94" i="2"/>
  <c r="CD97" i="2"/>
  <c r="CD33" i="2"/>
  <c r="CD120" i="2"/>
  <c r="CD111" i="2"/>
  <c r="CD95" i="2"/>
  <c r="CD45" i="2"/>
  <c r="CD170" i="2"/>
  <c r="CD14" i="2"/>
  <c r="CD187" i="2"/>
  <c r="CD107" i="2"/>
  <c r="CD180" i="2"/>
  <c r="CD159" i="2"/>
  <c r="CD198" i="2"/>
  <c r="CD40" i="2"/>
  <c r="CD71" i="2"/>
  <c r="CD195" i="2"/>
  <c r="CD127" i="2"/>
  <c r="CD122" i="2"/>
  <c r="CD47" i="2"/>
  <c r="CD185" i="2"/>
  <c r="CD114" i="2"/>
  <c r="CD158" i="2"/>
  <c r="CD9" i="2"/>
  <c r="CD72" i="2"/>
  <c r="CD129" i="2"/>
  <c r="CD124" i="2"/>
  <c r="CD67" i="2"/>
  <c r="CD139" i="2"/>
  <c r="CD113" i="2"/>
  <c r="CD52" i="2"/>
  <c r="CD178" i="2"/>
  <c r="CD85" i="2"/>
  <c r="CD54" i="2"/>
  <c r="CD118" i="2"/>
  <c r="CD66" i="2"/>
  <c r="CD42" i="2"/>
  <c r="CD70" i="2"/>
  <c r="CD32" i="2"/>
  <c r="CD91" i="2"/>
  <c r="CD78" i="2"/>
  <c r="CD25" i="2"/>
  <c r="CD87" i="2"/>
  <c r="CD100" i="2"/>
  <c r="CD179" i="2"/>
  <c r="CD174" i="2"/>
  <c r="CD89" i="2"/>
  <c r="CD143" i="2"/>
  <c r="CD38" i="2"/>
  <c r="CD131" i="2"/>
  <c r="CD162" i="2"/>
  <c r="CD62" i="2"/>
  <c r="CD146" i="2"/>
  <c r="CD35" i="2"/>
  <c r="CD172" i="2"/>
  <c r="CD191" i="2"/>
  <c r="CD26" i="2"/>
  <c r="CD138" i="2"/>
  <c r="CD46" i="2"/>
  <c r="CD49" i="2"/>
  <c r="CD164" i="2"/>
  <c r="CD15" i="2"/>
  <c r="CD37" i="2"/>
  <c r="CD104" i="2"/>
  <c r="CD147" i="2"/>
  <c r="CD157" i="2"/>
  <c r="CD197" i="2"/>
  <c r="CD203" i="2"/>
  <c r="CD21" i="2"/>
  <c r="CD176" i="2"/>
  <c r="CD31" i="2"/>
  <c r="CD27" i="2"/>
  <c r="CD115" i="2"/>
  <c r="CD59" i="2"/>
  <c r="CD161" i="2"/>
  <c r="CD7" i="2"/>
  <c r="CD83" i="2"/>
  <c r="CD44" i="2"/>
  <c r="CD82" i="2"/>
  <c r="CD145" i="2"/>
  <c r="CD156" i="2"/>
  <c r="CD75" i="2"/>
  <c r="CD63" i="2"/>
  <c r="CD51" i="2"/>
  <c r="CD201" i="2"/>
  <c r="CD88" i="2"/>
  <c r="CD121" i="2"/>
  <c r="CD160" i="2"/>
  <c r="CD99" i="2"/>
  <c r="CD69" i="2"/>
  <c r="CD73" i="2"/>
  <c r="CD29" i="2"/>
  <c r="CD22" i="2"/>
  <c r="CD43" i="2"/>
  <c r="CD20" i="2"/>
  <c r="CD140" i="2"/>
  <c r="CD183" i="2"/>
  <c r="CD177" i="2"/>
  <c r="CD77" i="2"/>
  <c r="CD128" i="2"/>
  <c r="CD152" i="2"/>
  <c r="CD24" i="2"/>
  <c r="CD81" i="2"/>
  <c r="CD86" i="2"/>
  <c r="CD169" i="2"/>
  <c r="CD200" i="2"/>
  <c r="CD55" i="2"/>
  <c r="CD53" i="2"/>
  <c r="CD6" i="2"/>
  <c r="CD79" i="2"/>
  <c r="CD30" i="2"/>
  <c r="CD108" i="2"/>
  <c r="CD106" i="2"/>
  <c r="CD136" i="2"/>
  <c r="CD76" i="2"/>
  <c r="CD142" i="2"/>
  <c r="CD23" i="2"/>
  <c r="CD50" i="2"/>
  <c r="CD144" i="2"/>
  <c r="CD154" i="2"/>
  <c r="CD132" i="2"/>
  <c r="CD13" i="2"/>
  <c r="CD119" i="2"/>
  <c r="CD11" i="2"/>
  <c r="CD48" i="2"/>
  <c r="CD98" i="2"/>
  <c r="CD3" i="2"/>
  <c r="C9" i="4" s="1"/>
  <c r="E9" i="4" s="1"/>
  <c r="F9" i="4" s="1"/>
  <c r="G9" i="4" s="1"/>
  <c r="L9" i="4" s="1"/>
  <c r="CD64" i="2"/>
  <c r="CD112" i="2"/>
  <c r="CD202" i="2"/>
  <c r="CD58" i="2"/>
  <c r="CD8" i="2"/>
  <c r="CD102" i="2"/>
  <c r="CD181" i="2"/>
  <c r="CD93" i="2"/>
  <c r="CD141" i="2"/>
  <c r="CD65" i="2"/>
  <c r="CD148" i="2"/>
  <c r="CD171" i="2"/>
  <c r="CD190" i="2"/>
  <c r="CD56" i="2"/>
  <c r="CD57" i="2"/>
  <c r="CD186" i="2"/>
  <c r="CD196" i="2"/>
  <c r="CD109" i="2"/>
  <c r="CD103" i="2"/>
  <c r="CD184" i="2"/>
  <c r="CD199" i="2"/>
  <c r="CD36" i="2"/>
  <c r="CD18" i="2"/>
  <c r="CD193" i="2"/>
  <c r="CD167" i="2"/>
  <c r="CD105" i="2"/>
  <c r="CD116" i="2"/>
  <c r="CD90" i="2"/>
  <c r="CD166" i="2"/>
  <c r="CD163" i="2"/>
  <c r="CD149" i="2"/>
  <c r="CD133" i="2"/>
  <c r="CD28" i="2"/>
  <c r="CD34" i="2"/>
  <c r="CD92" i="2"/>
  <c r="CD84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42" i="2" l="1"/>
  <c r="BI86" i="2"/>
  <c r="BI6" i="2"/>
  <c r="BI64" i="2"/>
  <c r="BI195" i="2"/>
  <c r="BI93" i="2"/>
  <c r="BI97" i="2"/>
  <c r="BI118" i="2"/>
  <c r="BI181" i="2"/>
  <c r="BI141" i="2"/>
  <c r="BI174" i="2"/>
  <c r="BI115" i="2"/>
  <c r="BI116" i="2"/>
  <c r="BI91" i="2"/>
  <c r="BI33" i="2"/>
  <c r="BI200" i="2"/>
  <c r="BI177" i="2"/>
  <c r="BI85" i="2"/>
  <c r="BI161" i="2"/>
  <c r="BI15" i="2"/>
  <c r="BI71" i="2"/>
  <c r="BI183" i="2"/>
  <c r="BI31" i="2"/>
  <c r="BI143" i="2"/>
  <c r="BI148" i="2"/>
  <c r="BI123" i="2"/>
  <c r="BI54" i="2"/>
  <c r="BI20" i="2"/>
  <c r="BI75" i="2"/>
  <c r="BI170" i="2"/>
  <c r="BI69" i="2"/>
  <c r="BI196" i="2"/>
  <c r="BI190" i="2"/>
  <c r="BI98" i="2"/>
  <c r="BI169" i="2"/>
  <c r="BI62" i="2"/>
  <c r="BI166" i="2"/>
  <c r="BI129" i="2"/>
  <c r="BI35" i="2"/>
  <c r="BI37" i="2"/>
  <c r="BI22" i="2"/>
  <c r="BI52" i="2"/>
  <c r="BI175" i="2"/>
  <c r="BI18" i="2"/>
  <c r="BI176" i="2"/>
  <c r="BI180" i="2"/>
  <c r="BI8" i="2"/>
  <c r="BI149" i="2"/>
  <c r="BI165" i="2"/>
  <c r="BI7" i="2"/>
  <c r="BI155" i="2"/>
  <c r="BI107" i="2"/>
  <c r="BI38" i="2"/>
  <c r="BI103" i="2"/>
  <c r="BI121" i="2"/>
  <c r="BI101" i="2"/>
  <c r="BI159" i="2"/>
  <c r="BI146" i="2"/>
  <c r="BI9" i="2"/>
  <c r="BI133" i="2"/>
  <c r="BI4" i="2"/>
  <c r="BI39" i="2"/>
  <c r="BI138" i="2"/>
  <c r="BI44" i="2"/>
  <c r="BI171" i="2"/>
  <c r="BI160" i="2"/>
  <c r="BI142" i="2"/>
  <c r="BI105" i="2"/>
  <c r="BI126" i="2"/>
  <c r="BI144" i="2"/>
  <c r="BI65" i="2"/>
  <c r="BI189" i="2"/>
  <c r="BI84" i="2"/>
  <c r="BI58" i="2"/>
  <c r="BI158" i="2"/>
  <c r="BI74" i="2"/>
  <c r="BI50" i="2"/>
  <c r="BI28" i="2"/>
  <c r="BI134" i="2"/>
  <c r="BI194" i="2"/>
  <c r="BI30" i="2"/>
  <c r="BI135" i="2"/>
  <c r="BI47" i="2"/>
  <c r="BI197" i="2"/>
  <c r="BI145" i="2"/>
  <c r="BI73" i="2"/>
  <c r="BI156" i="2"/>
  <c r="BI124" i="2"/>
  <c r="BI191" i="2"/>
  <c r="BI68" i="2"/>
  <c r="BI201" i="2"/>
  <c r="BI34" i="2"/>
  <c r="BI81" i="2"/>
  <c r="BI76" i="2"/>
  <c r="BI182" i="2"/>
  <c r="BI152" i="2"/>
  <c r="BI46" i="2"/>
  <c r="BI113" i="2"/>
  <c r="BI48" i="2"/>
  <c r="BI168" i="2"/>
  <c r="BI163" i="2"/>
  <c r="BI199" i="2"/>
  <c r="BI100" i="2"/>
  <c r="BI198" i="2"/>
  <c r="BI151" i="2"/>
  <c r="BI110" i="2"/>
  <c r="BI154" i="2"/>
  <c r="BI114" i="2"/>
  <c r="BI119" i="2"/>
  <c r="BI203" i="2"/>
  <c r="BI102" i="2"/>
  <c r="BI157" i="2"/>
  <c r="BI53" i="2"/>
  <c r="BI13" i="2"/>
  <c r="BI88" i="2"/>
  <c r="BI72" i="2"/>
  <c r="BI49" i="2"/>
  <c r="BI66" i="2"/>
  <c r="BI130" i="2"/>
  <c r="BI90" i="2"/>
  <c r="BI11" i="2"/>
  <c r="BI27" i="2"/>
  <c r="BI70" i="2"/>
  <c r="BI32" i="2"/>
  <c r="BI122" i="2"/>
  <c r="BI78" i="2"/>
  <c r="BI24" i="2"/>
  <c r="BI82" i="2"/>
  <c r="BI36" i="2"/>
  <c r="BI16" i="2"/>
  <c r="BI125" i="2"/>
  <c r="BI150" i="2"/>
  <c r="BI131" i="2"/>
  <c r="BI185" i="2"/>
  <c r="BI61" i="2"/>
  <c r="BI5" i="2"/>
  <c r="BI104" i="2"/>
  <c r="BI21" i="2"/>
  <c r="BI178" i="2"/>
  <c r="BI184" i="2"/>
  <c r="BI192" i="2"/>
  <c r="BI83" i="2"/>
  <c r="BI51" i="2"/>
  <c r="BI26" i="2"/>
  <c r="BI55" i="2"/>
  <c r="BI57" i="2"/>
  <c r="BI29" i="2"/>
  <c r="BI96" i="2"/>
  <c r="BI3" i="2"/>
  <c r="C8" i="4" s="1"/>
  <c r="E8" i="4" s="1"/>
  <c r="F8" i="4" s="1"/>
  <c r="G8" i="4" s="1"/>
  <c r="L8" i="4" s="1"/>
  <c r="BI153" i="2"/>
  <c r="BI117" i="2"/>
  <c r="BI136" i="2"/>
  <c r="BI172" i="2"/>
  <c r="BI187" i="2"/>
  <c r="BI167" i="2"/>
  <c r="BI140" i="2"/>
  <c r="BI164" i="2"/>
  <c r="BI41" i="2"/>
  <c r="BI60" i="2"/>
  <c r="BI188" i="2"/>
  <c r="BI80" i="2"/>
  <c r="BI202" i="2"/>
  <c r="BI23" i="2"/>
  <c r="BI147" i="2"/>
  <c r="BI12" i="2"/>
  <c r="BI139" i="2"/>
  <c r="BI193" i="2"/>
  <c r="BI127" i="2"/>
  <c r="BI87" i="2"/>
  <c r="BI111" i="2"/>
  <c r="BI109" i="2"/>
  <c r="BI77" i="2"/>
  <c r="BI186" i="2"/>
  <c r="BI99" i="2"/>
  <c r="BI162" i="2"/>
  <c r="BI25" i="2"/>
  <c r="BI40" i="2"/>
  <c r="BI45" i="2"/>
  <c r="BI14" i="2"/>
  <c r="BI59" i="2"/>
  <c r="BI92" i="2"/>
  <c r="BI120" i="2"/>
  <c r="BI94" i="2"/>
  <c r="BI10" i="2"/>
  <c r="BI132" i="2"/>
  <c r="BI173" i="2"/>
  <c r="BI179" i="2"/>
  <c r="BI63" i="2"/>
  <c r="BI89" i="2"/>
  <c r="BI112" i="2"/>
  <c r="BI67" i="2"/>
  <c r="BI56" i="2"/>
  <c r="BI17" i="2"/>
  <c r="BI95" i="2"/>
  <c r="BI108" i="2"/>
  <c r="BI128" i="2"/>
  <c r="BI79" i="2"/>
  <c r="BI106" i="2"/>
  <c r="BI137" i="2"/>
  <c r="BI19" i="2"/>
  <c r="BI43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<sst xmlns="http://schemas.openxmlformats.org/spreadsheetml/2006/main" count="1189" uniqueCount="333">
  <si>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</si>
  <si>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</si>
  <si>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</si>
  <si>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</si>
  <si>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</si>
  <si>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</si>
  <si>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</si>
  <si>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</si>
  <si>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</si>
  <si>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</si>
  <si>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</si>
  <si>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</si>
  <si>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</si>
  <si>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</si>
  <si>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</si>
  <si>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</si>
  <si>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</si>
  <si>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</si>
  <si>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</si>
  <si>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</si>
  <si>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</si>
  <si>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</si>
  <si>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</si>
  <si>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</si>
  <si>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</si>
  <si>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</si>
  <si>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</si>
  <si>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</si>
  <si>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</si>
  <si>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</si>
  <si>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</si>
  <si>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</si>
  <si>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</si>
  <si>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</si>
  <si>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</si>
  <si>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</si>
  <si>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</si>
  <si>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</si>
  <si>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</si>
  <si>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</si>
  <si>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</si>
  <si>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</si>
  <si>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</si>
  <si>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</si>
  <si>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</si>
  <si>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</si>
  <si>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</si>
  <si>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</si>
  <si>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</si>
  <si>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</si>
  <si>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</si>
  <si>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</si>
  <si>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</si>
  <si>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</si>
  <si>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</si>
  <si>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</si>
  <si>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</si>
  <si>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</si>
  <si>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</si>
  <si>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</si>
  <si>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</si>
  <si>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</si>
  <si>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</si>
  <si>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</si>
  <si>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</si>
  <si>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</si>
  <si>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</si>
  <si>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</si>
  <si>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</si>
  <si>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</si>
  <si>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</si>
  <si>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</si>
  <si>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</si>
  <si>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</si>
  <si>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</si>
  <si>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</si>
  <si>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</si>
  <si>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</si>
  <si>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</si>
  <si>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</si>
  <si>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</si>
  <si>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</si>
  <si>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</si>
  <si>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</si>
  <si>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</si>
  <si>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</si>
  <si>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</si>
  <si>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</si>
  <si>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</si>
  <si>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</si>
  <si>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</si>
  <si>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</si>
  <si>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</si>
  <si>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</si>
  <si>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</si>
  <si>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</si>
  <si>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</si>
  <si>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</si>
  <si>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</si>
  <si>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</si>
  <si>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</si>
  <si>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</si>
  <si>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</si>
  <si>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</si>
  <si>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</si>
  <si>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</si>
  <si>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</si>
  <si>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</si>
  <si>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</si>
  <si>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</si>
  <si>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</si>
  <si>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</si>
  <si>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</si>
  <si>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</si>
  <si>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</si>
  <si>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</si>
  <si>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</si>
  <si>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</si>
  <si>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</si>
  <si>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</si>
  <si>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</si>
  <si>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</si>
  <si>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</si>
  <si>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</si>
  <si>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</si>
  <si>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</si>
  <si>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</si>
  <si>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</si>
  <si>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</si>
  <si>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</si>
  <si>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</si>
  <si>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</si>
  <si>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</si>
  <si>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</si>
  <si>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</si>
  <si>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</si>
  <si>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</si>
  <si>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</si>
  <si>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</si>
  <si>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</si>
  <si>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</si>
  <si>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</si>
  <si>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</si>
  <si>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</si>
  <si>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</si>
  <si>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</si>
  <si>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</si>
  <si>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</si>
  <si>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</si>
  <si>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</si>
  <si>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</si>
  <si>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</si>
  <si>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</si>
  <si>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</si>
  <si>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</si>
  <si>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</si>
  <si>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</si>
  <si>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</si>
  <si>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</si>
  <si>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</si>
  <si>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</si>
  <si>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</si>
  <si>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</si>
  <si>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</si>
  <si>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</si>
  <si>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</si>
  <si>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</si>
  <si>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</si>
  <si>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</si>
  <si>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</si>
  <si>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</si>
  <si>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</si>
  <si>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</si>
  <si>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</si>
  <si>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</si>
  <si>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</si>
  <si>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</si>
  <si>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</si>
  <si>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</si>
  <si>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</si>
  <si>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</si>
  <si>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</si>
  <si>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</si>
  <si>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</si>
  <si>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</si>
  <si>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</si>
  <si>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</si>
  <si>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</si>
  <si>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</si>
  <si>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</si>
  <si>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</si>
  <si>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</si>
  <si>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</si>
  <si>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</si>
  <si>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</si>
  <si>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</si>
  <si>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</si>
  <si>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</si>
  <si>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</si>
  <si>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</si>
  <si>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</si>
  <si>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</si>
  <si>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</si>
  <si>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</si>
  <si>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</si>
  <si>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</si>
  <si>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</si>
  <si>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</si>
  <si>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</si>
  <si>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</si>
  <si>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</si>
  <si>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</si>
  <si>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</si>
  <si>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</si>
  <si>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</si>
  <si>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</si>
  <si>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</si>
  <si>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</si>
  <si>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</si>
  <si>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</si>
  <si>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</si>
  <si>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</si>
  <si>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</si>
  <si>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</si>
  <si>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</si>
  <si>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</si>
  <si>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</si>
  <si>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</si>
  <si>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</si>
  <si>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</si>
  <si>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</si>
  <si>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</si>
  <si>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</si>
  <si>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</si>
  <si>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</si>
  <si>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</si>
  <si>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</si>
  <si>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</si>
  <si>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</si>
  <si>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</si>
  <si>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</si>
  <si>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</si>
  <si>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</si>
  <si>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</si>
  <si>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</si>
  <si>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</si>
  <si>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</si>
  <si>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</si>
  <si>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</si>
  <si>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</si>
  <si>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</si>
  <si>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</si>
  <si>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</si>
  <si>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</si>
  <si>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</si>
  <si>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</si>
  <si>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</si>
  <si>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</si>
  <si>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</si>
  <si>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</si>
  <si>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</si>
  <si>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</si>
  <si>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</si>
  <si>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</si>
  <si>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</si>
  <si>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</si>
  <si>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</si>
  <si>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</si>
  <si>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</si>
  <si>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</si>
  <si>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</si>
  <si>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</si>
  <si>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</si>
  <si>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</si>
  <si>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</si>
  <si>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</si>
  <si>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</si>
  <si>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</si>
  <si>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</si>
  <si>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</si>
  <si>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</si>
  <si>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</si>
  <si>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</si>
  <si>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</si>
  <si>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</si>
  <si>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</si>
  <si>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</si>
  <si>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</si>
  <si>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</si>
  <si>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</si>
  <si>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</si>
  <si>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</si>
  <si>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</si>
  <si>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</si>
  <si>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</si>
  <si>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</si>
  <si>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</si>
  <si>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</si>
  <si>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</si>
  <si>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</si>
  <si>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</si>
  <si>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</si>
  <si>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</si>
  <si>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</si>
  <si>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</si>
  <si>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</si>
  <si>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</si>
  <si>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</si>
  <si>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</si>
  <si>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</si>
  <si>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</si>
  <si>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</si>
  <si>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</si>
  <si>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</si>
  <si>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</si>
  <si>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</si>
  <si>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</si>
  <si>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</si>
  <si>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</si>
  <si>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</si>
  <si>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</si>
  <si>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</si>
  <si>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</si>
  <si>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</si>
  <si>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CHÊNE SESSILE NORD-EST CLASSE 2(1/2/3) ONF 2022</t>
  </si>
  <si>
    <t>EQUIVALENCE CHÊNE SESSILE NORD-EST CLASSE 2(1/2/3) ONF 2022</t>
  </si>
  <si>
    <t>EQUIVALENCE CHÊNE BRITANNIQUE CLASSE 4(4/6/8) FORESTRY COMMISSION 1971</t>
  </si>
  <si>
    <t>EQUIVALENCE ERABLE SYCOMORE 10(4/6/8/10/12) FORESTRY COMMISSION 1971</t>
  </si>
  <si>
    <t>AULNE HOLLANDE CLASSE  8(4-8) JANSEN SEVENSTER FABER 1996</t>
  </si>
  <si>
    <t>DOUGLAS 1(1/2/3) ONF</t>
  </si>
  <si>
    <t>HÊTRE NORD ATLANTIQUE CLASSE 1(1/2/3) ONF</t>
  </si>
  <si>
    <t>MELEZE D'EUROPE CLASSE  12(4/6/8/10/12) FORESTRY COMMISSION 1971</t>
  </si>
  <si>
    <t>CHARME ALLEMAGNE CLASSE 3(1-15) LOCKOW &amp; ENGEL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</si>
</sst>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0"/>
      <color theme="1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14" borderId="1" xfId="1" applyFont="1" applyFill="1" applyBorder="1" applyAlignment="1" applyProtection="1">
      <alignment horizontal="center" vertic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2.9397746868298928</c:v>
                </c:pt>
                <c:pt idx="2">
                  <c:v>3.3517128427294267</c:v>
                </c:pt>
                <c:pt idx="3">
                  <c:v>3.8215785182927724</c:v>
                </c:pt>
                <c:pt idx="4">
                  <c:v>4.357544741629817</c:v>
                </c:pt>
                <c:pt idx="5">
                  <c:v>4.9689412725572728</c:v>
                </c:pt>
                <c:pt idx="6">
                  <c:v>5.6664187895100824</c:v>
                </c:pt>
                <c:pt idx="7">
                  <c:v>6.4621364435798609</c:v>
                </c:pt>
                <c:pt idx="8">
                  <c:v>7.3699761134774882</c:v>
                </c:pt>
                <c:pt idx="9">
                  <c:v>8.4057871719211263</c:v>
                </c:pt>
                <c:pt idx="10">
                  <c:v>9.5876661189594543</c:v>
                </c:pt>
                <c:pt idx="11">
                  <c:v>10.936276060857622</c:v>
                </c:pt>
                <c:pt idx="12">
                  <c:v>12.4752117256155</c:v>
                </c:pt>
                <c:pt idx="13">
                  <c:v>14.231416520782107</c:v>
                </c:pt>
                <c:pt idx="14">
                  <c:v>16.235659070649749</c:v>
                </c:pt>
                <c:pt idx="15">
                  <c:v>18.523077734940472</c:v>
                </c:pt>
                <c:pt idx="16">
                  <c:v>21.133802828935874</c:v>
                </c:pt>
                <c:pt idx="17">
                  <c:v>24.113667657611057</c:v>
                </c:pt>
                <c:pt idx="18">
                  <c:v>27.515021068839172</c:v>
                </c:pt>
                <c:pt idx="19">
                  <c:v>31.397656051876599</c:v>
                </c:pt>
                <c:pt idx="20">
                  <c:v>35.829870989999293</c:v>
                </c:pt>
                <c:pt idx="21">
                  <c:v>40.889682557955688</c:v>
                </c:pt>
                <c:pt idx="22">
                  <c:v>46.666211978863579</c:v>
                </c:pt>
                <c:pt idx="23">
                  <c:v>53.261269470543994</c:v>
                </c:pt>
                <c:pt idx="24">
                  <c:v>60.7911652743812</c:v>
                </c:pt>
                <c:pt idx="25">
                  <c:v>69.388779735073783</c:v>
                </c:pt>
                <c:pt idx="26">
                  <c:v>80.165002252238452</c:v>
                </c:pt>
                <c:pt idx="27">
                  <c:v>90.90448288189036</c:v>
                </c:pt>
                <c:pt idx="28">
                  <c:v>101.6121846030364</c:v>
                </c:pt>
                <c:pt idx="29">
                  <c:v>112.29193461821403</c:v>
                </c:pt>
                <c:pt idx="30">
                  <c:v>122.94677025652987</c:v>
                </c:pt>
                <c:pt idx="31">
                  <c:v>134.02171836924822</c:v>
                </c:pt>
                <c:pt idx="32">
                  <c:v>145.07460486529592</c:v>
                </c:pt>
                <c:pt idx="33">
                  <c:v>156.10734926897979</c:v>
                </c:pt>
                <c:pt idx="34">
                  <c:v>167.12157714245114</c:v>
                </c:pt>
                <c:pt idx="35">
                  <c:v>178.11868194628323</c:v>
                </c:pt>
                <c:pt idx="36">
                  <c:v>161.3963988836461</c:v>
                </c:pt>
                <c:pt idx="37">
                  <c:v>173.28198421740612</c:v>
                </c:pt>
                <c:pt idx="38">
                  <c:v>185.14840694275611</c:v>
                </c:pt>
                <c:pt idx="39">
                  <c:v>196.99706917130376</c:v>
                </c:pt>
                <c:pt idx="40">
                  <c:v>208.82919038278203</c:v>
                </c:pt>
                <c:pt idx="41">
                  <c:v>190.41659540288185</c:v>
                </c:pt>
                <c:pt idx="42">
                  <c:v>202.69601208813609</c:v>
                </c:pt>
                <c:pt idx="43">
                  <c:v>214.95821110174333</c:v>
                </c:pt>
                <c:pt idx="44">
                  <c:v>227.20431355624603</c:v>
                </c:pt>
                <c:pt idx="45">
                  <c:v>239.43530973942802</c:v>
                </c:pt>
                <c:pt idx="46">
                  <c:v>221.08320971383421</c:v>
                </c:pt>
                <c:pt idx="47">
                  <c:v>233.32164253354537</c:v>
                </c:pt>
                <c:pt idx="48">
                  <c:v>245.54542201156005</c:v>
                </c:pt>
                <c:pt idx="49">
                  <c:v>257.7553807542198</c:v>
                </c:pt>
                <c:pt idx="50">
                  <c:v>269.95226599479992</c:v>
                </c:pt>
                <c:pt idx="51">
                  <c:v>251.65208042823193</c:v>
                </c:pt>
                <c:pt idx="52">
                  <c:v>263.85541384215657</c:v>
                </c:pt>
                <c:pt idx="53">
                  <c:v>276.046019292822</c:v>
                </c:pt>
                <c:pt idx="54">
                  <c:v>288.22453829402536</c:v>
                </c:pt>
                <c:pt idx="55">
                  <c:v>300.3915536943141</c:v>
                </c:pt>
                <c:pt idx="56">
                  <c:v>281.70179813149139</c:v>
                </c:pt>
                <c:pt idx="57">
                  <c:v>293.44034996889701</c:v>
                </c:pt>
                <c:pt idx="58">
                  <c:v>305.16842283850025</c:v>
                </c:pt>
                <c:pt idx="59">
                  <c:v>316.8864763741696</c:v>
                </c:pt>
                <c:pt idx="60">
                  <c:v>328.5949334270008</c:v>
                </c:pt>
                <c:pt idx="61">
                  <c:v>309.94362938891317</c:v>
                </c:pt>
                <c:pt idx="62">
                  <c:v>321.6577241361818</c:v>
                </c:pt>
                <c:pt idx="63">
                  <c:v>333.3623851108037</c:v>
                </c:pt>
                <c:pt idx="64">
                  <c:v>345.05799032946646</c:v>
                </c:pt>
                <c:pt idx="65">
                  <c:v>356.7448900832191</c:v>
                </c:pt>
                <c:pt idx="66">
                  <c:v>337.26190853958735</c:v>
                </c:pt>
                <c:pt idx="67">
                  <c:v>348.08874968614623</c:v>
                </c:pt>
                <c:pt idx="68">
                  <c:v>358.90820183854044</c:v>
                </c:pt>
                <c:pt idx="69">
                  <c:v>369.72051922288409</c:v>
                </c:pt>
                <c:pt idx="70">
                  <c:v>380.52593997693936</c:v>
                </c:pt>
                <c:pt idx="71">
                  <c:v>361.07122825453939</c:v>
                </c:pt>
                <c:pt idx="72">
                  <c:v>371.88214774985948</c:v>
                </c:pt>
                <c:pt idx="73">
                  <c:v>382.68621644309741</c:v>
                </c:pt>
                <c:pt idx="74">
                  <c:v>393.4836550724026</c:v>
                </c:pt>
                <c:pt idx="75">
                  <c:v>404.27467126938313</c:v>
                </c:pt>
                <c:pt idx="76">
                  <c:v>383.98225493635573</c:v>
                </c:pt>
                <c:pt idx="77">
                  <c:v>393.91541769108943</c:v>
                </c:pt>
                <c:pt idx="78">
                  <c:v>403.84315144097854</c:v>
                </c:pt>
                <c:pt idx="79">
                  <c:v>413.76560851360483</c:v>
                </c:pt>
                <c:pt idx="80">
                  <c:v>423.68293333202695</c:v>
                </c:pt>
                <c:pt idx="81">
                  <c:v>402.98008185125178</c:v>
                </c:pt>
                <c:pt idx="82">
                  <c:v>412.4716690472755</c:v>
                </c:pt>
                <c:pt idx="83">
                  <c:v>421.95854377334393</c:v>
                </c:pt>
                <c:pt idx="84">
                  <c:v>431.44082695809374</c:v>
                </c:pt>
                <c:pt idx="85">
                  <c:v>440.91863377904156</c:v>
                </c:pt>
                <c:pt idx="86">
                  <c:v>419.80284331345229</c:v>
                </c:pt>
                <c:pt idx="87">
                  <c:v>428.85519840828562</c:v>
                </c:pt>
                <c:pt idx="88">
                  <c:v>437.9034467468835</c:v>
                </c:pt>
                <c:pt idx="89">
                  <c:v>446.94768518373354</c:v>
                </c:pt>
                <c:pt idx="90">
                  <c:v>455.98800633231934</c:v>
                </c:pt>
                <c:pt idx="91">
                  <c:v>434.02612258593177</c:v>
                </c:pt>
                <c:pt idx="92">
                  <c:v>442.21072127655157</c:v>
                </c:pt>
                <c:pt idx="93">
                  <c:v>450.39207405650865</c:v>
                </c:pt>
                <c:pt idx="94">
                  <c:v>458.57024822962643</c:v>
                </c:pt>
                <c:pt idx="95">
                  <c:v>466.74530850225375</c:v>
                </c:pt>
                <c:pt idx="96">
                  <c:v>444.36402075569328</c:v>
                </c:pt>
                <c:pt idx="97">
                  <c:v>452.11405687747123</c:v>
                </c:pt>
                <c:pt idx="98">
                  <c:v>459.86125261266926</c:v>
                </c:pt>
                <c:pt idx="99">
                  <c:v>467.60566258446232</c:v>
                </c:pt>
                <c:pt idx="100">
                  <c:v>475.34733945827867</c:v>
                </c:pt>
                <c:pt idx="101">
                  <c:v>452.11405687747123</c:v>
                </c:pt>
                <c:pt idx="102">
                  <c:v>459.00059163685847</c:v>
                </c:pt>
                <c:pt idx="103">
                  <c:v>465.88492060890104</c:v>
                </c:pt>
                <c:pt idx="104">
                  <c:v>472.76708100439259</c:v>
                </c:pt>
                <c:pt idx="105">
                  <c:v>479.64710886178568</c:v>
                </c:pt>
                <c:pt idx="106">
                  <c:v>455.98800633231934</c:v>
                </c:pt>
                <c:pt idx="107">
                  <c:v>462.44302949249544</c:v>
                </c:pt>
                <c:pt idx="108">
                  <c:v>468.89613046728778</c:v>
                </c:pt>
                <c:pt idx="109">
                  <c:v>475.34733945827844</c:v>
                </c:pt>
                <c:pt idx="110">
                  <c:v>481.79668577992373</c:v>
                </c:pt>
                <c:pt idx="111">
                  <c:v>459.43092642813195</c:v>
                </c:pt>
                <c:pt idx="112">
                  <c:v>465.02449883304195</c:v>
                </c:pt>
                <c:pt idx="113">
                  <c:v>470.61663663308497</c:v>
                </c:pt>
                <c:pt idx="114">
                  <c:v>476.20735929225475</c:v>
                </c:pt>
                <c:pt idx="115">
                  <c:v>481.79668577992373</c:v>
                </c:pt>
                <c:pt idx="116">
                  <c:v>460.29157019967283</c:v>
                </c:pt>
                <c:pt idx="117">
                  <c:v>466.74530850225341</c:v>
                </c:pt>
                <c:pt idx="118">
                  <c:v>473.19714485434059</c:v>
                </c:pt>
                <c:pt idx="119">
                  <c:v>479.64710886178568</c:v>
                </c:pt>
                <c:pt idx="120">
                  <c:v>486.09522926878549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1.951371910228932</c:v>
                </c:pt>
                <c:pt idx="2">
                  <c:v>2.6802412801453954</c:v>
                </c:pt>
                <c:pt idx="3">
                  <c:v>3.682522731357011</c:v>
                </c:pt>
                <c:pt idx="4">
                  <c:v>5.0611905693754276</c:v>
                </c:pt>
                <c:pt idx="5">
                  <c:v>6.9581471011504137</c:v>
                </c:pt>
                <c:pt idx="6">
                  <c:v>9.5689896763886502</c:v>
                </c:pt>
                <c:pt idx="7">
                  <c:v>13.163397246701761</c:v>
                </c:pt>
                <c:pt idx="8">
                  <c:v>18.113281096081419</c:v>
                </c:pt>
                <c:pt idx="9">
                  <c:v>24.931665031646826</c:v>
                </c:pt>
                <c:pt idx="10">
                  <c:v>34.326395709716536</c:v>
                </c:pt>
                <c:pt idx="11">
                  <c:v>48.814554178975946</c:v>
                </c:pt>
                <c:pt idx="12">
                  <c:v>63.187191019914188</c:v>
                </c:pt>
                <c:pt idx="13">
                  <c:v>77.474616883044959</c:v>
                </c:pt>
                <c:pt idx="14">
                  <c:v>91.694865273781815</c:v>
                </c:pt>
                <c:pt idx="15">
                  <c:v>105.85986329993615</c:v>
                </c:pt>
                <c:pt idx="16">
                  <c:v>101.54363811496934</c:v>
                </c:pt>
                <c:pt idx="17">
                  <c:v>118.78325444868754</c:v>
                </c:pt>
                <c:pt idx="18">
                  <c:v>135.96176121490689</c:v>
                </c:pt>
                <c:pt idx="19">
                  <c:v>153.08797965351815</c:v>
                </c:pt>
                <c:pt idx="20">
                  <c:v>170.16858903875504</c:v>
                </c:pt>
                <c:pt idx="21">
                  <c:v>139.7718435296224</c:v>
                </c:pt>
                <c:pt idx="22">
                  <c:v>159.26093919570374</c:v>
                </c:pt>
                <c:pt idx="23">
                  <c:v>178.69346731764236</c:v>
                </c:pt>
                <c:pt idx="24">
                  <c:v>198.07644923102649</c:v>
                </c:pt>
                <c:pt idx="25">
                  <c:v>217.41541708927392</c:v>
                </c:pt>
                <c:pt idx="26">
                  <c:v>187.44522113224843</c:v>
                </c:pt>
                <c:pt idx="27">
                  <c:v>207.04359025710687</c:v>
                </c:pt>
                <c:pt idx="28">
                  <c:v>226.59909976948109</c:v>
                </c:pt>
                <c:pt idx="29">
                  <c:v>246.11596889508897</c:v>
                </c:pt>
                <c:pt idx="30">
                  <c:v>265.59769251928259</c:v>
                </c:pt>
                <c:pt idx="31">
                  <c:v>234.59842131171897</c:v>
                </c:pt>
                <c:pt idx="32">
                  <c:v>252.92667016047719</c:v>
                </c:pt>
                <c:pt idx="33">
                  <c:v>271.22484141561085</c:v>
                </c:pt>
                <c:pt idx="34">
                  <c:v>289.49524945300323</c:v>
                </c:pt>
                <c:pt idx="35">
                  <c:v>307.73989261056749</c:v>
                </c:pt>
                <c:pt idx="36">
                  <c:v>275.67780205580448</c:v>
                </c:pt>
                <c:pt idx="37">
                  <c:v>292.77177269495894</c:v>
                </c:pt>
                <c:pt idx="38">
                  <c:v>309.84346710446158</c:v>
                </c:pt>
                <c:pt idx="39">
                  <c:v>326.8942851894675</c:v>
                </c:pt>
                <c:pt idx="40">
                  <c:v>343.92546889640727</c:v>
                </c:pt>
                <c:pt idx="41">
                  <c:v>312.64774022045975</c:v>
                </c:pt>
                <c:pt idx="42">
                  <c:v>328.06141769701787</c:v>
                </c:pt>
                <c:pt idx="43">
                  <c:v>343.45911273341716</c:v>
                </c:pt>
                <c:pt idx="44">
                  <c:v>358.84164266475454</c:v>
                </c:pt>
                <c:pt idx="45">
                  <c:v>374.20974903573409</c:v>
                </c:pt>
                <c:pt idx="46">
                  <c:v>345.79075477962851</c:v>
                </c:pt>
                <c:pt idx="47">
                  <c:v>359.30755121028363</c:v>
                </c:pt>
                <c:pt idx="48">
                  <c:v>372.81322626817496</c:v>
                </c:pt>
                <c:pt idx="49">
                  <c:v>386.30823961156824</c:v>
                </c:pt>
                <c:pt idx="50">
                  <c:v>399.79301616201775</c:v>
                </c:pt>
                <c:pt idx="51">
                  <c:v>374.90796779687253</c:v>
                </c:pt>
                <c:pt idx="52">
                  <c:v>387.23854818019009</c:v>
                </c:pt>
                <c:pt idx="53">
                  <c:v>399.56060449432658</c:v>
                </c:pt>
                <c:pt idx="54">
                  <c:v>411.874436683667</c:v>
                </c:pt>
                <c:pt idx="55">
                  <c:v>424.18032529272642</c:v>
                </c:pt>
                <c:pt idx="56">
                  <c:v>401.41981603727226</c:v>
                </c:pt>
                <c:pt idx="57">
                  <c:v>412.33895235831307</c:v>
                </c:pt>
                <c:pt idx="58">
                  <c:v>423.25185013219874</c:v>
                </c:pt>
                <c:pt idx="59">
                  <c:v>434.15869291655486</c:v>
                </c:pt>
                <c:pt idx="60">
                  <c:v>445.05965429231668</c:v>
                </c:pt>
                <c:pt idx="61">
                  <c:v>424.64454646320024</c:v>
                </c:pt>
                <c:pt idx="62">
                  <c:v>434.39068890365462</c:v>
                </c:pt>
                <c:pt idx="63">
                  <c:v>444.13213772747071</c:v>
                </c:pt>
                <c:pt idx="64">
                  <c:v>453.869010426942</c:v>
                </c:pt>
                <c:pt idx="65">
                  <c:v>463.60141904065904</c:v>
                </c:pt>
                <c:pt idx="66">
                  <c:v>444.13213772747054</c:v>
                </c:pt>
                <c:pt idx="67">
                  <c:v>452.47830448052264</c:v>
                </c:pt>
                <c:pt idx="68">
                  <c:v>460.82118005626131</c:v>
                </c:pt>
                <c:pt idx="69">
                  <c:v>469.16083246623975</c:v>
                </c:pt>
                <c:pt idx="70">
                  <c:v>477.4973271059435</c:v>
                </c:pt>
                <c:pt idx="71">
                  <c:v>460.58947734369491</c:v>
                </c:pt>
                <c:pt idx="72">
                  <c:v>468.00273769986558</c:v>
                </c:pt>
                <c:pt idx="73">
                  <c:v>475.41349600485592</c:v>
                </c:pt>
                <c:pt idx="74">
                  <c:v>482.82179678008805</c:v>
                </c:pt>
                <c:pt idx="75">
                  <c:v>490.22768306866232</c:v>
                </c:pt>
                <c:pt idx="76">
                  <c:v>474.7188424891736</c:v>
                </c:pt>
                <c:pt idx="77">
                  <c:v>481.2014387734659</c:v>
                </c:pt>
                <c:pt idx="78">
                  <c:v>487.68217937268969</c:v>
                </c:pt>
                <c:pt idx="79">
                  <c:v>494.16109243883125</c:v>
                </c:pt>
                <c:pt idx="80">
                  <c:v>500.63820532506952</c:v>
                </c:pt>
                <c:pt idx="81">
                  <c:v>486.7564718246656</c:v>
                </c:pt>
                <c:pt idx="82">
                  <c:v>492.54153399430987</c:v>
                </c:pt>
                <c:pt idx="83">
                  <c:v>498.32515568877437</c:v>
                </c:pt>
                <c:pt idx="84">
                  <c:v>504.10735599489294</c:v>
                </c:pt>
                <c:pt idx="85">
                  <c:v>509.88815352566644</c:v>
                </c:pt>
                <c:pt idx="86">
                  <c:v>496.47455229763165</c:v>
                </c:pt>
                <c:pt idx="87">
                  <c:v>501.56336177209982</c:v>
                </c:pt>
                <c:pt idx="88">
                  <c:v>506.65107864631972</c:v>
                </c:pt>
                <c:pt idx="89">
                  <c:v>511.73771544716743</c:v>
                </c:pt>
                <c:pt idx="90">
                  <c:v>516.82328443201152</c:v>
                </c:pt>
                <c:pt idx="91">
                  <c:v>505.26362713560292</c:v>
                </c:pt>
                <c:pt idx="92">
                  <c:v>509.88815352566627</c:v>
                </c:pt>
                <c:pt idx="93">
                  <c:v>514.51179376798757</c:v>
                </c:pt>
                <c:pt idx="94">
                  <c:v>519.13455695492598</c:v>
                </c:pt>
                <c:pt idx="95">
                  <c:v>523.75645200359133</c:v>
                </c:pt>
                <c:pt idx="96">
                  <c:v>512.43126473426423</c:v>
                </c:pt>
                <c:pt idx="97">
                  <c:v>516.12986018837069</c:v>
                </c:pt>
                <c:pt idx="98">
                  <c:v>519.82789634038954</c:v>
                </c:pt>
                <c:pt idx="99">
                  <c:v>523.52537773373467</c:v>
                </c:pt>
                <c:pt idx="100">
                  <c:v>527.22230884235705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9.5169979671789093</c:v>
                </c:pt>
                <c:pt idx="2">
                  <c:v>18.617705008577001</c:v>
                </c:pt>
                <c:pt idx="3">
                  <c:v>27.583970977445158</c:v>
                </c:pt>
                <c:pt idx="4">
                  <c:v>36.467364341107171</c:v>
                </c:pt>
                <c:pt idx="5">
                  <c:v>45.291257619480326</c:v>
                </c:pt>
                <c:pt idx="6">
                  <c:v>54.068983473755416</c:v>
                </c:pt>
                <c:pt idx="7">
                  <c:v>62.80913695508724</c:v>
                </c:pt>
                <c:pt idx="8">
                  <c:v>71.517704855937595</c:v>
                </c:pt>
                <c:pt idx="9">
                  <c:v>80.19908754492397</c:v>
                </c:pt>
                <c:pt idx="10">
                  <c:v>88.85665016470476</c:v>
                </c:pt>
                <c:pt idx="11">
                  <c:v>97.493045883044317</c:v>
                </c:pt>
                <c:pt idx="12">
                  <c:v>106.11041780502711</c:v>
                </c:pt>
                <c:pt idx="13">
                  <c:v>114.71053148340779</c:v>
                </c:pt>
                <c:pt idx="14">
                  <c:v>123.29486541747771</c:v>
                </c:pt>
                <c:pt idx="15">
                  <c:v>131.86467492395187</c:v>
                </c:pt>
                <c:pt idx="16">
                  <c:v>140.42103847477497</c:v>
                </c:pt>
                <c:pt idx="17">
                  <c:v>148.96489211346997</c:v>
                </c:pt>
                <c:pt idx="18">
                  <c:v>157.4970555398767</c:v>
                </c:pt>
                <c:pt idx="19">
                  <c:v>166.01825223209946</c:v>
                </c:pt>
                <c:pt idx="20">
                  <c:v>174.52912521140465</c:v>
                </c:pt>
                <c:pt idx="21">
                  <c:v>183.0302495645376</c:v>
                </c:pt>
                <c:pt idx="22">
                  <c:v>191.52214251325447</c:v>
                </c:pt>
                <c:pt idx="23">
                  <c:v>200.00527160127737</c:v>
                </c:pt>
                <c:pt idx="24">
                  <c:v>208.48006141725565</c:v>
                </c:pt>
                <c:pt idx="25">
                  <c:v>216.94689916565926</c:v>
                </c:pt>
                <c:pt idx="26">
                  <c:v>225.40613932124006</c:v>
                </c:pt>
                <c:pt idx="27">
                  <c:v>233.85810754728024</c:v>
                </c:pt>
                <c:pt idx="28">
                  <c:v>242.30310401704142</c:v>
                </c:pt>
                <c:pt idx="29">
                  <c:v>250.74140624738729</c:v>
                </c:pt>
                <c:pt idx="30">
                  <c:v>259.17327153058113</c:v>
                </c:pt>
                <c:pt idx="31">
                  <c:v>267.59893903273559</c:v>
                </c:pt>
                <c:pt idx="32">
                  <c:v>276.01863161388769</c:v>
                </c:pt>
                <c:pt idx="33">
                  <c:v>284.43255741417448</c:v>
                </c:pt>
                <c:pt idx="34">
                  <c:v>292.84091124234214</c:v>
                </c:pt>
                <c:pt idx="35">
                  <c:v>301.24387579631144</c:v>
                </c:pt>
                <c:pt idx="36">
                  <c:v>309.64162274032839</c:v>
                </c:pt>
                <c:pt idx="37">
                  <c:v>318.03431365906772</c:v>
                </c:pt>
                <c:pt idx="38">
                  <c:v>326.42210090568886</c:v>
                </c:pt>
                <c:pt idx="39">
                  <c:v>334.8051283581114</c:v>
                </c:pt>
                <c:pt idx="40">
                  <c:v>343.18353209554238</c:v>
                </c:pt>
                <c:pt idx="41">
                  <c:v>351.55744100544524</c:v>
                </c:pt>
                <c:pt idx="42">
                  <c:v>359.926977329625</c:v>
                </c:pt>
                <c:pt idx="43">
                  <c:v>368.29225715684197</c:v>
                </c:pt>
                <c:pt idx="44">
                  <c:v>376.65339086830772</c:v>
                </c:pt>
                <c:pt idx="45">
                  <c:v>249.58380271536342</c:v>
                </c:pt>
                <c:pt idx="46">
                  <c:v>265.89162074445932</c:v>
                </c:pt>
                <c:pt idx="47">
                  <c:v>282.17690071187548</c:v>
                </c:pt>
                <c:pt idx="48">
                  <c:v>300.17237862218713</c:v>
                </c:pt>
                <c:pt idx="49">
                  <c:v>318.14383687917336</c:v>
                </c:pt>
                <c:pt idx="50">
                  <c:v>336.092822891227</c:v>
                </c:pt>
                <c:pt idx="51">
                  <c:v>354.02070531132608</c:v>
                </c:pt>
                <c:pt idx="52">
                  <c:v>279.40811538698296</c:v>
                </c:pt>
                <c:pt idx="53">
                  <c:v>294.11847543832704</c:v>
                </c:pt>
                <c:pt idx="54">
                  <c:v>308.81242147961865</c:v>
                </c:pt>
                <c:pt idx="55">
                  <c:v>325.53495996009366</c:v>
                </c:pt>
                <c:pt idx="56">
                  <c:v>342.23852609018689</c:v>
                </c:pt>
                <c:pt idx="57">
                  <c:v>358.92417600004984</c:v>
                </c:pt>
                <c:pt idx="58">
                  <c:v>375.93030844986924</c:v>
                </c:pt>
                <c:pt idx="59">
                  <c:v>392.91969119132</c:v>
                </c:pt>
                <c:pt idx="60">
                  <c:v>312.15592013284589</c:v>
                </c:pt>
                <c:pt idx="61">
                  <c:v>325.96696059632137</c:v>
                </c:pt>
                <c:pt idx="62">
                  <c:v>339.76507845421929</c:v>
                </c:pt>
                <c:pt idx="63">
                  <c:v>355.21775194387709</c:v>
                </c:pt>
                <c:pt idx="64">
                  <c:v>370.65570672266432</c:v>
                </c:pt>
                <c:pt idx="65">
                  <c:v>386.07964206160869</c:v>
                </c:pt>
                <c:pt idx="66">
                  <c:v>401.49019680716083</c:v>
                </c:pt>
                <c:pt idx="67">
                  <c:v>416.88795676980067</c:v>
                </c:pt>
                <c:pt idx="68">
                  <c:v>352.69805869060696</c:v>
                </c:pt>
                <c:pt idx="69">
                  <c:v>366.83614442258431</c:v>
                </c:pt>
                <c:pt idx="70">
                  <c:v>380.96233727738223</c:v>
                </c:pt>
                <c:pt idx="71">
                  <c:v>395.07714034322402</c:v>
                </c:pt>
                <c:pt idx="72">
                  <c:v>409.18101782903972</c:v>
                </c:pt>
                <c:pt idx="73">
                  <c:v>423.27439933376724</c:v>
                </c:pt>
                <c:pt idx="74">
                  <c:v>437.35768351738102</c:v>
                </c:pt>
                <c:pt idx="75">
                  <c:v>451.43124127443986</c:v>
                </c:pt>
                <c:pt idx="76">
                  <c:v>388.97226287682344</c:v>
                </c:pt>
                <c:pt idx="77">
                  <c:v>402.59198257385236</c:v>
                </c:pt>
                <c:pt idx="78">
                  <c:v>416.2017381656147</c:v>
                </c:pt>
                <c:pt idx="79">
                  <c:v>429.8019013581561</c:v>
                </c:pt>
                <c:pt idx="80">
                  <c:v>443.3928184164518</c:v>
                </c:pt>
                <c:pt idx="81">
                  <c:v>456.97481264851626</c:v>
                </c:pt>
                <c:pt idx="82">
                  <c:v>470.54818657881646</c:v>
                </c:pt>
                <c:pt idx="83">
                  <c:v>484.11322385787395</c:v>
                </c:pt>
                <c:pt idx="84">
                  <c:v>497.67019094671736</c:v>
                </c:pt>
                <c:pt idx="85">
                  <c:v>423.9475474188759</c:v>
                </c:pt>
                <c:pt idx="86">
                  <c:v>436.42551129808612</c:v>
                </c:pt>
                <c:pt idx="87">
                  <c:v>448.89582155855493</c:v>
                </c:pt>
                <c:pt idx="88">
                  <c:v>461.35872077450625</c:v>
                </c:pt>
                <c:pt idx="89">
                  <c:v>473.81443734608928</c:v>
                </c:pt>
                <c:pt idx="90">
                  <c:v>486.26318668629875</c:v>
                </c:pt>
                <c:pt idx="91">
                  <c:v>500.16812387750014</c:v>
                </c:pt>
                <c:pt idx="92">
                  <c:v>514.06488031488152</c:v>
                </c:pt>
                <c:pt idx="93">
                  <c:v>527.95370824253087</c:v>
                </c:pt>
                <c:pt idx="94">
                  <c:v>466.93492020790228</c:v>
                </c:pt>
                <c:pt idx="95">
                  <c:v>479.85744571942928</c:v>
                </c:pt>
                <c:pt idx="96">
                  <c:v>492.77257586023921</c:v>
                </c:pt>
                <c:pt idx="97">
                  <c:v>505.68053173775655</c:v>
                </c:pt>
                <c:pt idx="98">
                  <c:v>518.58152225284641</c:v>
                </c:pt>
                <c:pt idx="99">
                  <c:v>531.47574506697708</c:v>
                </c:pt>
                <c:pt idx="100">
                  <c:v>544.36338747066077</c:v>
                </c:pt>
                <c:pt idx="101">
                  <c:v>557.24462716539801</c:v>
                </c:pt>
                <c:pt idx="102">
                  <c:v>570.1196329695797</c:v>
                </c:pt>
                <c:pt idx="103">
                  <c:v>582.98856545732622</c:v>
                </c:pt>
                <c:pt idx="104">
                  <c:v>498.8201673961259</c:v>
                </c:pt>
                <c:pt idx="105">
                  <c:v>511.31298927350787</c:v>
                </c:pt>
                <c:pt idx="106">
                  <c:v>523.79936555998461</c:v>
                </c:pt>
                <c:pt idx="107">
                  <c:v>536.27947153087837</c:v>
                </c:pt>
                <c:pt idx="108">
                  <c:v>548.75347363998844</c:v>
                </c:pt>
                <c:pt idx="109">
                  <c:v>561.22153015822335</c:v>
                </c:pt>
                <c:pt idx="110">
                  <c:v>573.68379175254745</c:v>
                </c:pt>
                <c:pt idx="111">
                  <c:v>586.1404020120184</c:v>
                </c:pt>
                <c:pt idx="112">
                  <c:v>598.59149792679887</c:v>
                </c:pt>
                <c:pt idx="113">
                  <c:v>611.03721032525073</c:v>
                </c:pt>
                <c:pt idx="114">
                  <c:v>546.67648442297389</c:v>
                </c:pt>
                <c:pt idx="115">
                  <c:v>559.66971616139926</c:v>
                </c:pt>
                <c:pt idx="116">
                  <c:v>572.65663538260094</c:v>
                </c:pt>
                <c:pt idx="117">
                  <c:v>585.63740537030219</c:v>
                </c:pt>
                <c:pt idx="118">
                  <c:v>598.61218158207066</c:v>
                </c:pt>
                <c:pt idx="119">
                  <c:v>611.58111218947329</c:v>
                </c:pt>
                <c:pt idx="120">
                  <c:v>624.54433857004938</c:v>
                </c:pt>
                <c:pt idx="121">
                  <c:v>637.50199575633144</c:v>
                </c:pt>
                <c:pt idx="122">
                  <c:v>650.45421284648</c:v>
                </c:pt>
                <c:pt idx="123">
                  <c:v>663.40111338052748</c:v>
                </c:pt>
                <c:pt idx="124">
                  <c:v>676.34281568573817</c:v>
                </c:pt>
                <c:pt idx="125">
                  <c:v>689.27943319417807</c:v>
                </c:pt>
                <c:pt idx="126">
                  <c:v>584.80966977593391</c:v>
                </c:pt>
                <c:pt idx="127">
                  <c:v>597.63048708648216</c:v>
                </c:pt>
                <c:pt idx="128">
                  <c:v>610.44558636377292</c:v>
                </c:pt>
                <c:pt idx="129">
                  <c:v>623.25510451599882</c:v>
                </c:pt>
                <c:pt idx="130">
                  <c:v>636.05917236713901</c:v>
                </c:pt>
                <c:pt idx="131">
                  <c:v>648.85791504693748</c:v>
                </c:pt>
                <c:pt idx="132">
                  <c:v>661.651452348524</c:v>
                </c:pt>
                <c:pt idx="133">
                  <c:v>674.43989905695571</c:v>
                </c:pt>
                <c:pt idx="134">
                  <c:v>687.22336525155686</c:v>
                </c:pt>
                <c:pt idx="135">
                  <c:v>700.00195658460461</c:v>
                </c:pt>
                <c:pt idx="136">
                  <c:v>712.77577453862307</c:v>
                </c:pt>
                <c:pt idx="137">
                  <c:v>725.54491666428282</c:v>
                </c:pt>
                <c:pt idx="138">
                  <c:v>613.14119609980662</c:v>
                </c:pt>
                <c:pt idx="139">
                  <c:v>625.5855416284511</c:v>
                </c:pt>
                <c:pt idx="140">
                  <c:v>638.02476422171935</c:v>
                </c:pt>
                <c:pt idx="141">
                  <c:v>650.45897779350105</c:v>
                </c:pt>
                <c:pt idx="142">
                  <c:v>662.88829154928635</c:v>
                </c:pt>
                <c:pt idx="143">
                  <c:v>675.31281026725912</c:v>
                </c:pt>
                <c:pt idx="144">
                  <c:v>687.73263455763947</c:v>
                </c:pt>
                <c:pt idx="145">
                  <c:v>700.1478611023291</c:v>
                </c:pt>
                <c:pt idx="146">
                  <c:v>712.55858287668434</c:v>
                </c:pt>
                <c:pt idx="147">
                  <c:v>724.96488935504658</c:v>
                </c:pt>
                <c:pt idx="148">
                  <c:v>737.36686670147844</c:v>
                </c:pt>
                <c:pt idx="149">
                  <c:v>749.7645979470135</c:v>
                </c:pt>
                <c:pt idx="150">
                  <c:v>464.0270289367557</c:v>
                </c:pt>
                <c:pt idx="151">
                  <c:v>471.49271979345605</c:v>
                </c:pt>
                <c:pt idx="152">
                  <c:v>478.95589373663512</c:v>
                </c:pt>
                <c:pt idx="153">
                  <c:v>486.41659553463313</c:v>
                </c:pt>
                <c:pt idx="154">
                  <c:v>318.90827691847267</c:v>
                </c:pt>
                <c:pt idx="155">
                  <c:v>323.36831753272367</c:v>
                </c:pt>
                <c:pt idx="156">
                  <c:v>327.82699816654639</c:v>
                </c:pt>
                <c:pt idx="157">
                  <c:v>332.28433995451388</c:v>
                </c:pt>
                <c:pt idx="158">
                  <c:v>222.49291772691615</c:v>
                </c:pt>
                <c:pt idx="159">
                  <c:v>225.22882601301433</c:v>
                </c:pt>
                <c:pt idx="160">
                  <c:v>227.96397272956747</c:v>
                </c:pt>
                <c:pt idx="161">
                  <c:v>230.69836832699772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2.3771589152136832</c:v>
                </c:pt>
                <c:pt idx="2">
                  <c:v>2.9949424842304286</c:v>
                </c:pt>
                <c:pt idx="3">
                  <c:v>3.7739077794462492</c:v>
                </c:pt>
                <c:pt idx="4">
                  <c:v>4.7562627052095419</c:v>
                </c:pt>
                <c:pt idx="5">
                  <c:v>5.9953059624826457</c:v>
                </c:pt>
                <c:pt idx="6">
                  <c:v>7.5583506142245538</c:v>
                </c:pt>
                <c:pt idx="7">
                  <c:v>9.5304205700421178</c:v>
                </c:pt>
                <c:pt idx="8">
                  <c:v>12.018924879161736</c:v>
                </c:pt>
                <c:pt idx="9">
                  <c:v>15.159569166298086</c:v>
                </c:pt>
                <c:pt idx="10">
                  <c:v>19.123832490408656</c:v>
                </c:pt>
                <c:pt idx="11">
                  <c:v>37.129924657008708</c:v>
                </c:pt>
                <c:pt idx="12">
                  <c:v>54.88875090739392</c:v>
                </c:pt>
                <c:pt idx="13">
                  <c:v>72.494513498617124</c:v>
                </c:pt>
                <c:pt idx="14">
                  <c:v>89.990173613778268</c:v>
                </c:pt>
                <c:pt idx="15">
                  <c:v>107.40030981071855</c:v>
                </c:pt>
                <c:pt idx="16">
                  <c:v>78.012881309795674</c:v>
                </c:pt>
                <c:pt idx="17">
                  <c:v>100.31646113802792</c:v>
                </c:pt>
                <c:pt idx="18">
                  <c:v>122.49645924610253</c:v>
                </c:pt>
                <c:pt idx="19">
                  <c:v>144.57852045501949</c:v>
                </c:pt>
                <c:pt idx="20">
                  <c:v>166.57974956981323</c:v>
                </c:pt>
                <c:pt idx="21">
                  <c:v>134.34850957742924</c:v>
                </c:pt>
                <c:pt idx="22">
                  <c:v>157.97933796889382</c:v>
                </c:pt>
                <c:pt idx="23">
                  <c:v>181.52619054784418</c:v>
                </c:pt>
                <c:pt idx="24">
                  <c:v>205.0015053728589</c:v>
                </c:pt>
                <c:pt idx="25">
                  <c:v>228.41463048777476</c:v>
                </c:pt>
                <c:pt idx="26">
                  <c:v>195.49245385292792</c:v>
                </c:pt>
                <c:pt idx="27">
                  <c:v>217.98082037329846</c:v>
                </c:pt>
                <c:pt idx="28">
                  <c:v>240.41585018926619</c:v>
                </c:pt>
                <c:pt idx="29">
                  <c:v>262.80321996128214</c:v>
                </c:pt>
                <c:pt idx="30">
                  <c:v>285.14755944378322</c:v>
                </c:pt>
                <c:pt idx="31">
                  <c:v>250.19618568369199</c:v>
                </c:pt>
                <c:pt idx="32">
                  <c:v>270.36084436950489</c:v>
                </c:pt>
                <c:pt idx="33">
                  <c:v>290.4916672508881</c:v>
                </c:pt>
                <c:pt idx="34">
                  <c:v>310.59132815273165</c:v>
                </c:pt>
                <c:pt idx="35">
                  <c:v>330.66212656242288</c:v>
                </c:pt>
                <c:pt idx="36">
                  <c:v>293.6342310126339</c:v>
                </c:pt>
                <c:pt idx="37">
                  <c:v>311.53277495970798</c:v>
                </c:pt>
                <c:pt idx="38">
                  <c:v>329.40850810618275</c:v>
                </c:pt>
                <c:pt idx="39">
                  <c:v>347.26284215565846</c:v>
                </c:pt>
                <c:pt idx="40">
                  <c:v>365.09703181844549</c:v>
                </c:pt>
                <c:pt idx="41">
                  <c:v>325.64701898414177</c:v>
                </c:pt>
                <c:pt idx="42">
                  <c:v>341.00051892831283</c:v>
                </c:pt>
                <c:pt idx="43">
                  <c:v>356.33882114313155</c:v>
                </c:pt>
                <c:pt idx="44">
                  <c:v>371.6626718429784</c:v>
                </c:pt>
                <c:pt idx="45">
                  <c:v>386.97275069119183</c:v>
                </c:pt>
                <c:pt idx="46">
                  <c:v>362.90791424748937</c:v>
                </c:pt>
                <c:pt idx="47">
                  <c:v>376.35086351579019</c:v>
                </c:pt>
                <c:pt idx="48">
                  <c:v>389.78335896423386</c:v>
                </c:pt>
                <c:pt idx="49">
                  <c:v>403.20581160192484</c:v>
                </c:pt>
                <c:pt idx="50">
                  <c:v>416.61860284059549</c:v>
                </c:pt>
                <c:pt idx="51">
                  <c:v>398.52467686288401</c:v>
                </c:pt>
                <c:pt idx="52">
                  <c:v>410.06935400448907</c:v>
                </c:pt>
                <c:pt idx="53">
                  <c:v>421.60701499488988</c:v>
                </c:pt>
                <c:pt idx="54">
                  <c:v>433.13787892530354</c:v>
                </c:pt>
                <c:pt idx="55">
                  <c:v>444.66215226871259</c:v>
                </c:pt>
                <c:pt idx="56">
                  <c:v>429.39887113927824</c:v>
                </c:pt>
                <c:pt idx="57">
                  <c:v>439.05655970073695</c:v>
                </c:pt>
                <c:pt idx="58">
                  <c:v>448.70969327309916</c:v>
                </c:pt>
                <c:pt idx="59">
                  <c:v>458.35838369213019</c:v>
                </c:pt>
                <c:pt idx="60">
                  <c:v>468.00273769986558</c:v>
                </c:pt>
                <c:pt idx="61">
                  <c:v>454.31269266448368</c:v>
                </c:pt>
                <c:pt idx="62">
                  <c:v>462.40331218251168</c:v>
                </c:pt>
                <c:pt idx="63">
                  <c:v>470.49091188062221</c:v>
                </c:pt>
                <c:pt idx="64">
                  <c:v>478.57555101045637</c:v>
                </c:pt>
                <c:pt idx="65">
                  <c:v>486.65728665769001</c:v>
                </c:pt>
                <c:pt idx="66">
                  <c:v>473.60073566758007</c:v>
                </c:pt>
                <c:pt idx="67">
                  <c:v>480.75168621261065</c:v>
                </c:pt>
                <c:pt idx="68">
                  <c:v>487.90037643155364</c:v>
                </c:pt>
                <c:pt idx="69">
                  <c:v>495.04684412923598</c:v>
                </c:pt>
                <c:pt idx="70">
                  <c:v>502.19112592946141</c:v>
                </c:pt>
                <c:pt idx="71">
                  <c:v>488.52189609916542</c:v>
                </c:pt>
                <c:pt idx="72">
                  <c:v>495.04684412923598</c:v>
                </c:pt>
                <c:pt idx="73">
                  <c:v>501.56996990242982</c:v>
                </c:pt>
                <c:pt idx="74">
                  <c:v>508.09130047272885</c:v>
                </c:pt>
                <c:pt idx="75">
                  <c:v>514.61086214265538</c:v>
                </c:pt>
                <c:pt idx="76">
                  <c:v>501.56996990242982</c:v>
                </c:pt>
                <c:pt idx="77">
                  <c:v>507.15979072537579</c:v>
                </c:pt>
                <c:pt idx="78">
                  <c:v>512.74830923215643</c:v>
                </c:pt>
                <c:pt idx="79">
                  <c:v>518.33554162748942</c:v>
                </c:pt>
                <c:pt idx="80">
                  <c:v>523.92150373805168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2.8977061647832971</c:v>
                </c:pt>
                <c:pt idx="2">
                  <c:v>3.4620736252936051</c:v>
                </c:pt>
                <c:pt idx="3">
                  <c:v>4.1367659864538506</c:v>
                </c:pt>
                <c:pt idx="4">
                  <c:v>4.9434250291541888</c:v>
                </c:pt>
                <c:pt idx="5">
                  <c:v>5.9079516573110773</c:v>
                </c:pt>
                <c:pt idx="6">
                  <c:v>7.0613466212750886</c:v>
                </c:pt>
                <c:pt idx="7">
                  <c:v>8.4407176552966874</c:v>
                </c:pt>
                <c:pt idx="8">
                  <c:v>10.090486053132079</c:v>
                </c:pt>
                <c:pt idx="9">
                  <c:v>12.063832274557399</c:v>
                </c:pt>
                <c:pt idx="10">
                  <c:v>14.424428053550036</c:v>
                </c:pt>
                <c:pt idx="11">
                  <c:v>17.248511927665501</c:v>
                </c:pt>
                <c:pt idx="12">
                  <c:v>20.627376441469149</c:v>
                </c:pt>
                <c:pt idx="13">
                  <c:v>24.670348871343624</c:v>
                </c:pt>
                <c:pt idx="14">
                  <c:v>29.508363626524812</c:v>
                </c:pt>
                <c:pt idx="15">
                  <c:v>35.298244044240072</c:v>
                </c:pt>
                <c:pt idx="16">
                  <c:v>42.227834766366875</c:v>
                </c:pt>
                <c:pt idx="17">
                  <c:v>50.522154042535938</c:v>
                </c:pt>
                <c:pt idx="18">
                  <c:v>60.450769088059324</c:v>
                </c:pt>
                <c:pt idx="19">
                  <c:v>72.336638160427825</c:v>
                </c:pt>
                <c:pt idx="20">
                  <c:v>86.566711657027497</c:v>
                </c:pt>
                <c:pt idx="21">
                  <c:v>103.60464290178443</c:v>
                </c:pt>
                <c:pt idx="22">
                  <c:v>124.00602932764254</c:v>
                </c:pt>
                <c:pt idx="23">
                  <c:v>148.43668881379588</c:v>
                </c:pt>
                <c:pt idx="24">
                  <c:v>177.69457680928107</c:v>
                </c:pt>
                <c:pt idx="25">
                  <c:v>212.73607093912582</c:v>
                </c:pt>
                <c:pt idx="26">
                  <c:v>216.02195727183437</c:v>
                </c:pt>
                <c:pt idx="27">
                  <c:v>245.95487635245414</c:v>
                </c:pt>
                <c:pt idx="28">
                  <c:v>275.80500562250137</c:v>
                </c:pt>
                <c:pt idx="29">
                  <c:v>305.58256210041844</c:v>
                </c:pt>
                <c:pt idx="30">
                  <c:v>335.2956070957909</c:v>
                </c:pt>
                <c:pt idx="31">
                  <c:v>316.9865887388741</c:v>
                </c:pt>
                <c:pt idx="32">
                  <c:v>341.39365353317515</c:v>
                </c:pt>
                <c:pt idx="33">
                  <c:v>365.76236018396577</c:v>
                </c:pt>
                <c:pt idx="34">
                  <c:v>390.09562155502158</c:v>
                </c:pt>
                <c:pt idx="35">
                  <c:v>414.39595763230818</c:v>
                </c:pt>
                <c:pt idx="36">
                  <c:v>383.20464327461104</c:v>
                </c:pt>
                <c:pt idx="37">
                  <c:v>404.67962697044453</c:v>
                </c:pt>
                <c:pt idx="38">
                  <c:v>426.12998088246673</c:v>
                </c:pt>
                <c:pt idx="39">
                  <c:v>447.55711830783912</c:v>
                </c:pt>
                <c:pt idx="40">
                  <c:v>468.96230626547168</c:v>
                </c:pt>
                <c:pt idx="41">
                  <c:v>430.17457368980763</c:v>
                </c:pt>
                <c:pt idx="42">
                  <c:v>449.98142660551815</c:v>
                </c:pt>
                <c:pt idx="43">
                  <c:v>469.76963499064937</c:v>
                </c:pt>
                <c:pt idx="44">
                  <c:v>489.54009419456355</c:v>
                </c:pt>
                <c:pt idx="45">
                  <c:v>509.29362139720428</c:v>
                </c:pt>
                <c:pt idx="46">
                  <c:v>465.73269460991469</c:v>
                </c:pt>
                <c:pt idx="47">
                  <c:v>484.69994477440224</c:v>
                </c:pt>
                <c:pt idx="48">
                  <c:v>503.65143938740749</c:v>
                </c:pt>
                <c:pt idx="49">
                  <c:v>522.58785434745289</c:v>
                </c:pt>
                <c:pt idx="50">
                  <c:v>541.50981260805463</c:v>
                </c:pt>
                <c:pt idx="51">
                  <c:v>494.37922843874429</c:v>
                </c:pt>
                <c:pt idx="52">
                  <c:v>511.7112941295286</c:v>
                </c:pt>
                <c:pt idx="53">
                  <c:v>529.03096526266245</c:v>
                </c:pt>
                <c:pt idx="54">
                  <c:v>546.33870450994368</c:v>
                </c:pt>
                <c:pt idx="55">
                  <c:v>563.634942856218</c:v>
                </c:pt>
                <c:pt idx="56">
                  <c:v>514.53160747513652</c:v>
                </c:pt>
                <c:pt idx="57">
                  <c:v>531.84930555696292</c:v>
                </c:pt>
                <c:pt idx="58">
                  <c:v>549.15514398564108</c:v>
                </c:pt>
                <c:pt idx="59">
                  <c:v>566.44954889170708</c:v>
                </c:pt>
                <c:pt idx="60">
                  <c:v>583.73291828020945</c:v>
                </c:pt>
                <c:pt idx="61">
                  <c:v>533.86221327471196</c:v>
                </c:pt>
                <c:pt idx="62">
                  <c:v>550.36209663597197</c:v>
                </c:pt>
                <c:pt idx="63">
                  <c:v>566.85161156049696</c:v>
                </c:pt>
                <c:pt idx="64">
                  <c:v>583.33110195913002</c:v>
                </c:pt>
                <c:pt idx="65">
                  <c:v>599.80089073891168</c:v>
                </c:pt>
                <c:pt idx="66">
                  <c:v>549.15514398564108</c:v>
                </c:pt>
                <c:pt idx="67">
                  <c:v>564.84123849584205</c:v>
                </c:pt>
                <c:pt idx="68">
                  <c:v>580.51822588576931</c:v>
                </c:pt>
                <c:pt idx="69">
                  <c:v>596.18638659850455</c:v>
                </c:pt>
                <c:pt idx="70">
                  <c:v>611.84598514336176</c:v>
                </c:pt>
                <c:pt idx="71">
                  <c:v>560.82004275683414</c:v>
                </c:pt>
                <c:pt idx="72">
                  <c:v>576.09741701420569</c:v>
                </c:pt>
                <c:pt idx="73">
                  <c:v>591.3663380000919</c:v>
                </c:pt>
                <c:pt idx="74">
                  <c:v>606.62705460156792</c:v>
                </c:pt>
                <c:pt idx="75">
                  <c:v>621.87980216948165</c:v>
                </c:pt>
                <c:pt idx="76">
                  <c:v>570.87191111087543</c:v>
                </c:pt>
                <c:pt idx="77">
                  <c:v>586.14369528207772</c:v>
                </c:pt>
                <c:pt idx="78">
                  <c:v>601.40719150322104</c:v>
                </c:pt>
                <c:pt idx="79">
                  <c:v>616.66263963124072</c:v>
                </c:pt>
                <c:pt idx="80">
                  <c:v>631.91026669491839</c:v>
                </c:pt>
                <c:pt idx="81">
                  <c:v>581.72377892545092</c:v>
                </c:pt>
                <c:pt idx="82">
                  <c:v>595.78474694239401</c:v>
                </c:pt>
                <c:pt idx="83">
                  <c:v>609.83881394520984</c:v>
                </c:pt>
                <c:pt idx="84">
                  <c:v>623.88616130163655</c:v>
                </c:pt>
                <c:pt idx="85">
                  <c:v>637.92696155032422</c:v>
                </c:pt>
                <c:pt idx="86">
                  <c:v>587.75076511427437</c:v>
                </c:pt>
                <c:pt idx="87">
                  <c:v>601.80875275182723</c:v>
                </c:pt>
                <c:pt idx="88">
                  <c:v>615.85991822759183</c:v>
                </c:pt>
                <c:pt idx="89">
                  <c:v>629.90443904577774</c:v>
                </c:pt>
                <c:pt idx="90">
                  <c:v>643.94248415395793</c:v>
                </c:pt>
                <c:pt idx="91">
                  <c:v>595.38310165344785</c:v>
                </c:pt>
                <c:pt idx="92">
                  <c:v>609.03590710096876</c:v>
                </c:pt>
                <c:pt idx="93">
                  <c:v>622.68236188587059</c:v>
                </c:pt>
                <c:pt idx="94">
                  <c:v>636.32262473094715</c:v>
                </c:pt>
                <c:pt idx="95">
                  <c:v>649.95684700277218</c:v>
                </c:pt>
                <c:pt idx="96">
                  <c:v>601.00562468188264</c:v>
                </c:pt>
                <c:pt idx="97">
                  <c:v>614.25441030438833</c:v>
                </c:pt>
                <c:pt idx="98">
                  <c:v>627.49727139423101</c:v>
                </c:pt>
                <c:pt idx="99">
                  <c:v>640.73435054600952</c:v>
                </c:pt>
                <c:pt idx="100">
                  <c:v>653.9657839849466</c:v>
                </c:pt>
                <c:pt idx="101">
                  <c:v>606.22555989627074</c:v>
                </c:pt>
                <c:pt idx="102">
                  <c:v>618.66934843822833</c:v>
                </c:pt>
                <c:pt idx="103">
                  <c:v>631.10795146183068</c:v>
                </c:pt>
                <c:pt idx="104">
                  <c:v>643.54148553186076</c:v>
                </c:pt>
                <c:pt idx="105">
                  <c:v>655.97006234354512</c:v>
                </c:pt>
                <c:pt idx="106">
                  <c:v>610.24025913802825</c:v>
                </c:pt>
                <c:pt idx="107">
                  <c:v>622.68236188587059</c:v>
                </c:pt>
                <c:pt idx="108">
                  <c:v>635.11931726791238</c:v>
                </c:pt>
                <c:pt idx="109">
                  <c:v>647.55124024451368</c:v>
                </c:pt>
                <c:pt idx="110">
                  <c:v>659.9782410038963</c:v>
                </c:pt>
                <c:pt idx="111">
                  <c:v>617.06399220770038</c:v>
                </c:pt>
                <c:pt idx="112">
                  <c:v>628.29968180581602</c:v>
                </c:pt>
                <c:pt idx="113">
                  <c:v>639.53121501099452</c:v>
                </c:pt>
                <c:pt idx="114">
                  <c:v>650.75867508421936</c:v>
                </c:pt>
                <c:pt idx="115">
                  <c:v>661.98214218018541</c:v>
                </c:pt>
                <c:pt idx="116">
                  <c:v>620.67592235714278</c:v>
                </c:pt>
                <c:pt idx="117">
                  <c:v>631.50911171358382</c:v>
                </c:pt>
                <c:pt idx="118">
                  <c:v>642.33845870262564</c:v>
                </c:pt>
                <c:pt idx="119">
                  <c:v>653.16403721643064</c:v>
                </c:pt>
                <c:pt idx="120">
                  <c:v>663.9859184987962</c:v>
                </c:pt>
                <c:pt idx="121">
                  <c:v>1.0301085784130276E-11</c:v>
                </c:pt>
                <c:pt idx="122">
                  <c:v>1.0301085784130276E-11</c:v>
                </c:pt>
                <c:pt idx="123">
                  <c:v>1.0301085784130276E-11</c:v>
                </c:pt>
                <c:pt idx="124">
                  <c:v>1.0301085784130276E-11</c:v>
                </c:pt>
                <c:pt idx="125">
                  <c:v>1.0301085784130276E-11</c:v>
                </c:pt>
                <c:pt idx="126">
                  <c:v>1.0301085784130276E-11</c:v>
                </c:pt>
                <c:pt idx="127">
                  <c:v>1.0301085784130276E-11</c:v>
                </c:pt>
                <c:pt idx="128">
                  <c:v>1.0301085784130276E-11</c:v>
                </c:pt>
                <c:pt idx="129">
                  <c:v>1.0301085784130276E-11</c:v>
                </c:pt>
                <c:pt idx="130">
                  <c:v>1.0301085784130276E-11</c:v>
                </c:pt>
                <c:pt idx="131">
                  <c:v>1.0301085784130276E-11</c:v>
                </c:pt>
                <c:pt idx="132">
                  <c:v>1.0301085784130276E-11</c:v>
                </c:pt>
                <c:pt idx="133">
                  <c:v>1.0301085784130276E-11</c:v>
                </c:pt>
                <c:pt idx="134">
                  <c:v>1.0301085784130276E-11</c:v>
                </c:pt>
                <c:pt idx="135">
                  <c:v>1.0301085784130276E-11</c:v>
                </c:pt>
                <c:pt idx="136">
                  <c:v>1.0301085784130276E-11</c:v>
                </c:pt>
                <c:pt idx="137">
                  <c:v>1.0301085784130276E-11</c:v>
                </c:pt>
                <c:pt idx="138">
                  <c:v>1.0301085784130276E-11</c:v>
                </c:pt>
                <c:pt idx="139">
                  <c:v>1.0301085784130276E-11</c:v>
                </c:pt>
                <c:pt idx="140">
                  <c:v>1.0301085784130276E-11</c:v>
                </c:pt>
                <c:pt idx="141">
                  <c:v>1.0301085784130276E-11</c:v>
                </c:pt>
                <c:pt idx="142">
                  <c:v>1.0301085784130276E-11</c:v>
                </c:pt>
                <c:pt idx="143">
                  <c:v>1.0301085784130276E-11</c:v>
                </c:pt>
                <c:pt idx="144">
                  <c:v>1.0301085784130276E-11</c:v>
                </c:pt>
                <c:pt idx="145">
                  <c:v>1.0301085784130276E-11</c:v>
                </c:pt>
                <c:pt idx="146">
                  <c:v>1.0301085784130276E-11</c:v>
                </c:pt>
                <c:pt idx="147">
                  <c:v>1.0301085784130276E-11</c:v>
                </c:pt>
                <c:pt idx="148">
                  <c:v>1.0301085784130276E-11</c:v>
                </c:pt>
                <c:pt idx="149">
                  <c:v>1.0301085784130276E-11</c:v>
                </c:pt>
                <c:pt idx="150">
                  <c:v>1.0301085784130276E-11</c:v>
                </c:pt>
                <c:pt idx="151">
                  <c:v>1.0301085784130276E-11</c:v>
                </c:pt>
                <c:pt idx="152">
                  <c:v>1.0301085784130276E-11</c:v>
                </c:pt>
                <c:pt idx="153">
                  <c:v>1.0301085784130276E-11</c:v>
                </c:pt>
                <c:pt idx="154">
                  <c:v>1.0301085784130276E-11</c:v>
                </c:pt>
                <c:pt idx="155">
                  <c:v>1.0301085784130276E-11</c:v>
                </c:pt>
                <c:pt idx="156">
                  <c:v>1.0301085784130276E-11</c:v>
                </c:pt>
                <c:pt idx="157">
                  <c:v>1.0301085784130276E-11</c:v>
                </c:pt>
                <c:pt idx="158">
                  <c:v>1.0301085784130276E-11</c:v>
                </c:pt>
                <c:pt idx="159">
                  <c:v>1.0301085784130276E-11</c:v>
                </c:pt>
                <c:pt idx="160">
                  <c:v>1.0301085784130276E-11</c:v>
                </c:pt>
                <c:pt idx="161">
                  <c:v>1.0301085784130276E-11</c:v>
                </c:pt>
                <c:pt idx="162">
                  <c:v>1.0301085784130276E-11</c:v>
                </c:pt>
                <c:pt idx="163">
                  <c:v>1.0301085784130276E-11</c:v>
                </c:pt>
                <c:pt idx="164">
                  <c:v>1.0301085784130276E-11</c:v>
                </c:pt>
                <c:pt idx="165">
                  <c:v>1.0301085784130276E-11</c:v>
                </c:pt>
                <c:pt idx="166">
                  <c:v>1.0301085784130276E-11</c:v>
                </c:pt>
                <c:pt idx="167">
                  <c:v>1.0301085784130276E-11</c:v>
                </c:pt>
                <c:pt idx="168">
                  <c:v>1.0301085784130276E-11</c:v>
                </c:pt>
                <c:pt idx="169">
                  <c:v>1.0301085784130276E-11</c:v>
                </c:pt>
                <c:pt idx="170">
                  <c:v>1.0301085784130276E-11</c:v>
                </c:pt>
                <c:pt idx="171">
                  <c:v>1.0301085784130276E-11</c:v>
                </c:pt>
                <c:pt idx="172">
                  <c:v>1.0301085784130276E-11</c:v>
                </c:pt>
                <c:pt idx="173">
                  <c:v>1.0301085784130276E-11</c:v>
                </c:pt>
                <c:pt idx="174">
                  <c:v>1.0301085784130276E-11</c:v>
                </c:pt>
                <c:pt idx="175">
                  <c:v>1.0301085784130276E-11</c:v>
                </c:pt>
                <c:pt idx="176">
                  <c:v>1.0301085784130276E-11</c:v>
                </c:pt>
                <c:pt idx="177">
                  <c:v>1.0301085784130276E-11</c:v>
                </c:pt>
                <c:pt idx="178">
                  <c:v>1.0301085784130276E-11</c:v>
                </c:pt>
                <c:pt idx="179">
                  <c:v>1.0301085784130276E-11</c:v>
                </c:pt>
                <c:pt idx="180">
                  <c:v>1.0301085784130276E-11</c:v>
                </c:pt>
                <c:pt idx="181">
                  <c:v>1.0301085784130276E-11</c:v>
                </c:pt>
                <c:pt idx="182">
                  <c:v>1.0301085784130276E-11</c:v>
                </c:pt>
                <c:pt idx="183">
                  <c:v>1.0301085784130276E-11</c:v>
                </c:pt>
                <c:pt idx="184">
                  <c:v>1.0301085784130276E-11</c:v>
                </c:pt>
                <c:pt idx="185">
                  <c:v>1.0301085784130276E-11</c:v>
                </c:pt>
                <c:pt idx="186">
                  <c:v>1.0301085784130276E-11</c:v>
                </c:pt>
                <c:pt idx="187">
                  <c:v>1.0301085784130276E-11</c:v>
                </c:pt>
                <c:pt idx="188">
                  <c:v>1.0301085784130276E-11</c:v>
                </c:pt>
                <c:pt idx="189">
                  <c:v>1.0301085784130276E-11</c:v>
                </c:pt>
                <c:pt idx="190">
                  <c:v>1.0301085784130276E-11</c:v>
                </c:pt>
                <c:pt idx="191">
                  <c:v>1.0301085784130276E-11</c:v>
                </c:pt>
                <c:pt idx="192">
                  <c:v>1.0301085784130276E-11</c:v>
                </c:pt>
                <c:pt idx="193">
                  <c:v>1.0301085784130276E-11</c:v>
                </c:pt>
                <c:pt idx="194">
                  <c:v>1.0301085784130276E-11</c:v>
                </c:pt>
                <c:pt idx="195">
                  <c:v>1.0301085784130276E-11</c:v>
                </c:pt>
                <c:pt idx="196">
                  <c:v>1.0301085784130276E-11</c:v>
                </c:pt>
                <c:pt idx="197">
                  <c:v>1.0301085784130276E-11</c:v>
                </c:pt>
                <c:pt idx="198">
                  <c:v>1.0301085784130276E-11</c:v>
                </c:pt>
                <c:pt idx="199">
                  <c:v>1.0301085784130276E-11</c:v>
                </c:pt>
                <c:pt idx="200">
                  <c:v>1.0301085784130276E-11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7.1262710730316625</c:v>
                </c:pt>
                <c:pt idx="2">
                  <c:v>13.932973107132996</c:v>
                </c:pt>
                <c:pt idx="3">
                  <c:v>20.636470383022104</c:v>
                </c:pt>
                <c:pt idx="4">
                  <c:v>27.27634984463937</c:v>
                </c:pt>
                <c:pt idx="5">
                  <c:v>33.870553592724399</c:v>
                </c:pt>
                <c:pt idx="6">
                  <c:v>40.429316550642689</c:v>
                </c:pt>
                <c:pt idx="7">
                  <c:v>46.959236777748913</c:v>
                </c:pt>
                <c:pt idx="8">
                  <c:v>53.46491008287483</c:v>
                </c:pt>
                <c:pt idx="9">
                  <c:v>59.949714443975118</c:v>
                </c:pt>
                <c:pt idx="10">
                  <c:v>66.416233139566373</c:v>
                </c:pt>
                <c:pt idx="11">
                  <c:v>72.866502894977074</c:v>
                </c:pt>
                <c:pt idx="12">
                  <c:v>79.30216888186429</c:v>
                </c:pt>
                <c:pt idx="13">
                  <c:v>85.724586440837285</c:v>
                </c:pt>
                <c:pt idx="14">
                  <c:v>92.134890553631962</c:v>
                </c:pt>
                <c:pt idx="15">
                  <c:v>98.534044874105163</c:v>
                </c:pt>
                <c:pt idx="16">
                  <c:v>104.92287729981969</c:v>
                </c:pt>
                <c:pt idx="17">
                  <c:v>111.30210639202791</c:v>
                </c:pt>
                <c:pt idx="18">
                  <c:v>117.67236139982917</c:v>
                </c:pt>
                <c:pt idx="19">
                  <c:v>124.03419770694211</c:v>
                </c:pt>
                <c:pt idx="20">
                  <c:v>130.38810893375441</c:v>
                </c:pt>
                <c:pt idx="21">
                  <c:v>136.73453655017832</c:v>
                </c:pt>
                <c:pt idx="22">
                  <c:v>143.07387760560724</c:v>
                </c:pt>
                <c:pt idx="23">
                  <c:v>149.40649101369667</c:v>
                </c:pt>
                <c:pt idx="24">
                  <c:v>155.73270271329889</c:v>
                </c:pt>
                <c:pt idx="25">
                  <c:v>162.05280994500396</c:v>
                </c:pt>
                <c:pt idx="26">
                  <c:v>168.3670848241733</c:v>
                </c:pt>
                <c:pt idx="27">
                  <c:v>174.67577734881471</c:v>
                </c:pt>
                <c:pt idx="28">
                  <c:v>180.97911794931898</c:v>
                </c:pt>
                <c:pt idx="29">
                  <c:v>187.277319663713</c:v>
                </c:pt>
                <c:pt idx="30">
                  <c:v>193.57058000444849</c:v>
                </c:pt>
                <c:pt idx="31">
                  <c:v>199.85908256929284</c:v>
                </c:pt>
                <c:pt idx="32">
                  <c:v>206.14299843852584</c:v>
                </c:pt>
                <c:pt idx="33">
                  <c:v>212.42248739257829</c:v>
                </c:pt>
                <c:pt idx="34">
                  <c:v>218.69769897793307</c:v>
                </c:pt>
                <c:pt idx="35">
                  <c:v>224.96877344410152</c:v>
                </c:pt>
                <c:pt idx="36">
                  <c:v>231.2358425705072</c:v>
                </c:pt>
                <c:pt idx="37">
                  <c:v>237.49903039891001</c:v>
                </c:pt>
                <c:pt idx="38">
                  <c:v>243.75845388442437</c:v>
                </c:pt>
                <c:pt idx="39">
                  <c:v>250.01422347607908</c:v>
                </c:pt>
                <c:pt idx="40">
                  <c:v>256.26644363615918</c:v>
                </c:pt>
                <c:pt idx="41">
                  <c:v>262.51521330615071</c:v>
                </c:pt>
                <c:pt idx="42">
                  <c:v>268.7606263259475</c:v>
                </c:pt>
                <c:pt idx="43">
                  <c:v>275.00277181200914</c:v>
                </c:pt>
                <c:pt idx="44">
                  <c:v>281.24173449935034</c:v>
                </c:pt>
                <c:pt idx="45">
                  <c:v>186.41331278901421</c:v>
                </c:pt>
                <c:pt idx="46">
                  <c:v>198.58483486122927</c:v>
                </c:pt>
                <c:pt idx="47">
                  <c:v>210.73905541120516</c:v>
                </c:pt>
                <c:pt idx="48">
                  <c:v>224.16912877329636</c:v>
                </c:pt>
                <c:pt idx="49">
                  <c:v>237.58076325754223</c:v>
                </c:pt>
                <c:pt idx="50">
                  <c:v>250.97514674429806</c:v>
                </c:pt>
                <c:pt idx="51">
                  <c:v>264.35332989090426</c:v>
                </c:pt>
                <c:pt idx="52">
                  <c:v>208.67265568984985</c:v>
                </c:pt>
                <c:pt idx="53">
                  <c:v>219.65114364932006</c:v>
                </c:pt>
                <c:pt idx="54">
                  <c:v>230.61703126347268</c:v>
                </c:pt>
                <c:pt idx="55">
                  <c:v>243.09642588476348</c:v>
                </c:pt>
                <c:pt idx="56">
                  <c:v>255.56125623044241</c:v>
                </c:pt>
                <c:pt idx="57">
                  <c:v>268.01233304721734</c:v>
                </c:pt>
                <c:pt idx="58">
                  <c:v>280.7021838286617</c:v>
                </c:pt>
                <c:pt idx="59">
                  <c:v>293.37917656330694</c:v>
                </c:pt>
                <c:pt idx="60">
                  <c:v>233.11219080322826</c:v>
                </c:pt>
                <c:pt idx="61">
                  <c:v>243.4188060488658</c:v>
                </c:pt>
                <c:pt idx="62">
                  <c:v>253.71550115358954</c:v>
                </c:pt>
                <c:pt idx="63">
                  <c:v>265.2465771516367</c:v>
                </c:pt>
                <c:pt idx="64">
                  <c:v>276.76635421426181</c:v>
                </c:pt>
                <c:pt idx="65">
                  <c:v>288.27536914242881</c:v>
                </c:pt>
                <c:pt idx="66">
                  <c:v>299.77411235169467</c:v>
                </c:pt>
                <c:pt idx="67">
                  <c:v>311.26303354413204</c:v>
                </c:pt>
                <c:pt idx="68">
                  <c:v>263.36635654543187</c:v>
                </c:pt>
                <c:pt idx="69">
                  <c:v>273.91623153371103</c:v>
                </c:pt>
                <c:pt idx="70">
                  <c:v>284.45697686026801</c:v>
                </c:pt>
                <c:pt idx="71">
                  <c:v>294.98897872477727</c:v>
                </c:pt>
                <c:pt idx="72">
                  <c:v>305.51259348091509</c:v>
                </c:pt>
                <c:pt idx="73">
                  <c:v>316.02815091372128</c:v>
                </c:pt>
                <c:pt idx="74">
                  <c:v>326.53595705769493</c:v>
                </c:pt>
                <c:pt idx="75">
                  <c:v>337.03629663299273</c:v>
                </c:pt>
                <c:pt idx="76">
                  <c:v>290.43374930950944</c:v>
                </c:pt>
                <c:pt idx="77">
                  <c:v>300.59621039880869</c:v>
                </c:pt>
                <c:pt idx="78">
                  <c:v>310.75102246347967</c:v>
                </c:pt>
                <c:pt idx="79">
                  <c:v>320.89847084662364</c:v>
                </c:pt>
                <c:pt idx="80">
                  <c:v>331.0388213613017</c:v>
                </c:pt>
                <c:pt idx="81">
                  <c:v>341.17232219748166</c:v>
                </c:pt>
                <c:pt idx="82">
                  <c:v>351.29920559047599</c:v>
                </c:pt>
                <c:pt idx="83">
                  <c:v>361.41968928686265</c:v>
                </c:pt>
                <c:pt idx="84">
                  <c:v>371.53397783756844</c:v>
                </c:pt>
                <c:pt idx="85">
                  <c:v>316.5304043828724</c:v>
                </c:pt>
                <c:pt idx="86">
                  <c:v>325.84045219937371</c:v>
                </c:pt>
                <c:pt idx="87">
                  <c:v>335.14462465459752</c:v>
                </c:pt>
                <c:pt idx="88">
                  <c:v>344.4431079625752</c:v>
                </c:pt>
                <c:pt idx="89">
                  <c:v>353.73607745649741</c:v>
                </c:pt>
                <c:pt idx="90">
                  <c:v>363.02369849986235</c:v>
                </c:pt>
                <c:pt idx="91">
                  <c:v>373.39756297830536</c:v>
                </c:pt>
                <c:pt idx="92">
                  <c:v>383.76514743603656</c:v>
                </c:pt>
                <c:pt idx="93">
                  <c:v>394.12664551023568</c:v>
                </c:pt>
                <c:pt idx="94">
                  <c:v>348.60342150614952</c:v>
                </c:pt>
                <c:pt idx="95">
                  <c:v>358.24459478701129</c:v>
                </c:pt>
                <c:pt idx="96">
                  <c:v>367.88009095274469</c:v>
                </c:pt>
                <c:pt idx="97">
                  <c:v>377.5100797382222</c:v>
                </c:pt>
                <c:pt idx="98">
                  <c:v>387.13472150785338</c:v>
                </c:pt>
                <c:pt idx="99">
                  <c:v>396.75416799803611</c:v>
                </c:pt>
                <c:pt idx="100">
                  <c:v>406.36856298382099</c:v>
                </c:pt>
                <c:pt idx="101">
                  <c:v>415.97804287917808</c:v>
                </c:pt>
                <c:pt idx="102">
                  <c:v>425.58273727888712</c:v>
                </c:pt>
                <c:pt idx="103">
                  <c:v>435.18276944894836</c:v>
                </c:pt>
                <c:pt idx="104">
                  <c:v>372.39191952713639</c:v>
                </c:pt>
                <c:pt idx="105">
                  <c:v>381.7121308603239</c:v>
                </c:pt>
                <c:pt idx="106">
                  <c:v>391.02739418440666</c:v>
                </c:pt>
                <c:pt idx="107">
                  <c:v>400.33784405087977</c:v>
                </c:pt>
                <c:pt idx="108">
                  <c:v>409.6436082393252</c:v>
                </c:pt>
                <c:pt idx="109">
                  <c:v>418.94480824766441</c:v>
                </c:pt>
                <c:pt idx="110">
                  <c:v>428.24155973659043</c:v>
                </c:pt>
                <c:pt idx="111">
                  <c:v>437.53397293338554</c:v>
                </c:pt>
                <c:pt idx="112">
                  <c:v>446.82215299963605</c:v>
                </c:pt>
                <c:pt idx="113">
                  <c:v>456.10620036677528</c:v>
                </c:pt>
                <c:pt idx="114">
                  <c:v>408.0941568950941</c:v>
                </c:pt>
                <c:pt idx="115">
                  <c:v>417.78715819525837</c:v>
                </c:pt>
                <c:pt idx="116">
                  <c:v>427.47531364138791</c:v>
                </c:pt>
                <c:pt idx="117">
                  <c:v>437.15874857953031</c:v>
                </c:pt>
                <c:pt idx="118">
                  <c:v>446.83758234792418</c:v>
                </c:pt>
                <c:pt idx="119">
                  <c:v>456.51192869165084</c:v>
                </c:pt>
                <c:pt idx="120">
                  <c:v>466.18189614030189</c:v>
                </c:pt>
                <c:pt idx="121">
                  <c:v>475.8475883526749</c:v>
                </c:pt>
                <c:pt idx="122">
                  <c:v>485.50910443199928</c:v>
                </c:pt>
                <c:pt idx="123">
                  <c:v>495.16653921476268</c:v>
                </c:pt>
                <c:pt idx="124">
                  <c:v>504.81998353583111</c:v>
                </c:pt>
                <c:pt idx="125">
                  <c:v>514.46952447223055</c:v>
                </c:pt>
                <c:pt idx="126">
                  <c:v>436.541275734669</c:v>
                </c:pt>
                <c:pt idx="127">
                  <c:v>446.10526915466721</c:v>
                </c:pt>
                <c:pt idx="128">
                  <c:v>455.66487308097339</c:v>
                </c:pt>
                <c:pt idx="129">
                  <c:v>465.22019261225029</c:v>
                </c:pt>
                <c:pt idx="130">
                  <c:v>474.77132817656587</c:v>
                </c:pt>
                <c:pt idx="131">
                  <c:v>484.3183758307627</c:v>
                </c:pt>
                <c:pt idx="132">
                  <c:v>493.86142753498933</c:v>
                </c:pt>
                <c:pt idx="133">
                  <c:v>503.40057140490757</c:v>
                </c:pt>
                <c:pt idx="134">
                  <c:v>512.93589194378569</c:v>
                </c:pt>
                <c:pt idx="135">
                  <c:v>522.46747025643447</c:v>
                </c:pt>
                <c:pt idx="136">
                  <c:v>531.99538424672016</c:v>
                </c:pt>
                <c:pt idx="137">
                  <c:v>541.51970880019076</c:v>
                </c:pt>
                <c:pt idx="138">
                  <c:v>457.6756856420746</c:v>
                </c:pt>
                <c:pt idx="139">
                  <c:v>466.95858019209362</c:v>
                </c:pt>
                <c:pt idx="140">
                  <c:v>476.23754208004078</c:v>
                </c:pt>
                <c:pt idx="141">
                  <c:v>485.51265875281905</c:v>
                </c:pt>
                <c:pt idx="142">
                  <c:v>494.78401404289144</c:v>
                </c:pt>
                <c:pt idx="143">
                  <c:v>504.05168838406371</c:v>
                </c:pt>
                <c:pt idx="144">
                  <c:v>513.31575901057124</c:v>
                </c:pt>
                <c:pt idx="145">
                  <c:v>522.5763001410445</c:v>
                </c:pt>
                <c:pt idx="146">
                  <c:v>531.83338314875493</c:v>
                </c:pt>
                <c:pt idx="147">
                  <c:v>541.08707671939226</c:v>
                </c:pt>
                <c:pt idx="148">
                  <c:v>550.33744699748411</c:v>
                </c:pt>
                <c:pt idx="149">
                  <c:v>559.58455772246339</c:v>
                </c:pt>
                <c:pt idx="150">
                  <c:v>346.4338940113027</c:v>
                </c:pt>
                <c:pt idx="151">
                  <c:v>352.0039003823984</c:v>
                </c:pt>
                <c:pt idx="152">
                  <c:v>357.57197462481855</c:v>
                </c:pt>
                <c:pt idx="153">
                  <c:v>363.13815110533545</c:v>
                </c:pt>
                <c:pt idx="154">
                  <c:v>238.15123420554184</c:v>
                </c:pt>
                <c:pt idx="155">
                  <c:v>241.47956643228972</c:v>
                </c:pt>
                <c:pt idx="156">
                  <c:v>244.80685465924913</c:v>
                </c:pt>
                <c:pt idx="157">
                  <c:v>248.1331151105434</c:v>
                </c:pt>
                <c:pt idx="158">
                  <c:v>166.19257135333521</c:v>
                </c:pt>
                <c:pt idx="159">
                  <c:v>168.23473353137027</c:v>
                </c:pt>
                <c:pt idx="160">
                  <c:v>170.27631108448909</c:v>
                </c:pt>
                <c:pt idx="161">
                  <c:v>172.31731203504148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2.1832588351718871</c:v>
                </c:pt>
                <c:pt idx="2">
                  <c:v>2.8151424126467504</c:v>
                </c:pt>
                <c:pt idx="3">
                  <c:v>3.6306435125259271</c:v>
                </c:pt>
                <c:pt idx="4">
                  <c:v>4.6833209032273171</c:v>
                </c:pt>
                <c:pt idx="5">
                  <c:v>6.0424108050733842</c:v>
                </c:pt>
                <c:pt idx="6">
                  <c:v>7.7974308907853205</c:v>
                </c:pt>
                <c:pt idx="7">
                  <c:v>10.064140401541296</c:v>
                </c:pt>
                <c:pt idx="8">
                  <c:v>12.992256920461166</c:v>
                </c:pt>
                <c:pt idx="9">
                  <c:v>16.775448944382362</c:v>
                </c:pt>
                <c:pt idx="10">
                  <c:v>21.664277189769351</c:v>
                </c:pt>
                <c:pt idx="11">
                  <c:v>31.806312236626585</c:v>
                </c:pt>
                <c:pt idx="12">
                  <c:v>43.329863343915491</c:v>
                </c:pt>
                <c:pt idx="13">
                  <c:v>54.770372387271664</c:v>
                </c:pt>
                <c:pt idx="14">
                  <c:v>66.147809420658987</c:v>
                </c:pt>
                <c:pt idx="15">
                  <c:v>77.474616883044959</c:v>
                </c:pt>
                <c:pt idx="16">
                  <c:v>90.492041210372676</c:v>
                </c:pt>
                <c:pt idx="17">
                  <c:v>110.65058636488233</c:v>
                </c:pt>
                <c:pt idx="18">
                  <c:v>130.71867792989391</c:v>
                </c:pt>
                <c:pt idx="19">
                  <c:v>150.71219948673746</c:v>
                </c:pt>
                <c:pt idx="20">
                  <c:v>170.6424524976421</c:v>
                </c:pt>
                <c:pt idx="21">
                  <c:v>169.22076873606747</c:v>
                </c:pt>
                <c:pt idx="22">
                  <c:v>184.84436712462625</c:v>
                </c:pt>
                <c:pt idx="23">
                  <c:v>200.43711831314488</c:v>
                </c:pt>
                <c:pt idx="24">
                  <c:v>216.00176068460652</c:v>
                </c:pt>
                <c:pt idx="25">
                  <c:v>231.54060536306486</c:v>
                </c:pt>
                <c:pt idx="26">
                  <c:v>211.75950715739978</c:v>
                </c:pt>
                <c:pt idx="27">
                  <c:v>225.89297020726829</c:v>
                </c:pt>
                <c:pt idx="28">
                  <c:v>240.00618343044377</c:v>
                </c:pt>
                <c:pt idx="29">
                  <c:v>254.10050561748861</c:v>
                </c:pt>
                <c:pt idx="30">
                  <c:v>268.17713242968813</c:v>
                </c:pt>
                <c:pt idx="31">
                  <c:v>245.08225003541099</c:v>
                </c:pt>
                <c:pt idx="32">
                  <c:v>258.60689820869146</c:v>
                </c:pt>
                <c:pt idx="33">
                  <c:v>272.11556422776465</c:v>
                </c:pt>
                <c:pt idx="34">
                  <c:v>285.60915345709321</c:v>
                </c:pt>
                <c:pt idx="35">
                  <c:v>299.08847869495401</c:v>
                </c:pt>
                <c:pt idx="36">
                  <c:v>272.11556422776465</c:v>
                </c:pt>
                <c:pt idx="37">
                  <c:v>284.48524314677445</c:v>
                </c:pt>
                <c:pt idx="38">
                  <c:v>296.842883014341</c:v>
                </c:pt>
                <c:pt idx="39">
                  <c:v>309.18905580466088</c:v>
                </c:pt>
                <c:pt idx="40">
                  <c:v>321.52428406625791</c:v>
                </c:pt>
                <c:pt idx="41">
                  <c:v>293.75456953309532</c:v>
                </c:pt>
                <c:pt idx="42">
                  <c:v>305.26193924769092</c:v>
                </c:pt>
                <c:pt idx="43">
                  <c:v>316.75966637275303</c:v>
                </c:pt>
                <c:pt idx="44">
                  <c:v>328.24815038016737</c:v>
                </c:pt>
                <c:pt idx="45">
                  <c:v>339.72776048524321</c:v>
                </c:pt>
                <c:pt idx="46">
                  <c:v>310.87176573267203</c:v>
                </c:pt>
                <c:pt idx="47">
                  <c:v>321.24405593004218</c:v>
                </c:pt>
                <c:pt idx="48">
                  <c:v>331.60893904924779</c:v>
                </c:pt>
                <c:pt idx="49">
                  <c:v>341.96667936306943</c:v>
                </c:pt>
                <c:pt idx="50">
                  <c:v>352.31752382065224</c:v>
                </c:pt>
                <c:pt idx="51">
                  <c:v>324.0460947549708</c:v>
                </c:pt>
                <c:pt idx="52">
                  <c:v>333.56905164618536</c:v>
                </c:pt>
                <c:pt idx="53">
                  <c:v>343.08601778170441</c:v>
                </c:pt>
                <c:pt idx="54">
                  <c:v>352.59718287003483</c:v>
                </c:pt>
                <c:pt idx="55">
                  <c:v>362.10272554390014</c:v>
                </c:pt>
                <c:pt idx="56">
                  <c:v>336.08882358493906</c:v>
                </c:pt>
                <c:pt idx="57">
                  <c:v>345.04466702323003</c:v>
                </c:pt>
                <c:pt idx="58">
                  <c:v>353.99540526070876</c:v>
                </c:pt>
                <c:pt idx="59">
                  <c:v>362.9411856670547</c:v>
                </c:pt>
                <c:pt idx="60">
                  <c:v>371.88214774985954</c:v>
                </c:pt>
                <c:pt idx="61">
                  <c:v>346.44355255688725</c:v>
                </c:pt>
                <c:pt idx="62">
                  <c:v>354.554660299337</c:v>
                </c:pt>
                <c:pt idx="63">
                  <c:v>362.66170366967111</c:v>
                </c:pt>
                <c:pt idx="64">
                  <c:v>370.76478640470532</c:v>
                </c:pt>
                <c:pt idx="65">
                  <c:v>378.86400733367782</c:v>
                </c:pt>
                <c:pt idx="66">
                  <c:v>355.67311242421277</c:v>
                </c:pt>
                <c:pt idx="67">
                  <c:v>363.2206629596339</c:v>
                </c:pt>
                <c:pt idx="68">
                  <c:v>370.76478640470532</c:v>
                </c:pt>
                <c:pt idx="69">
                  <c:v>378.30556238289756</c:v>
                </c:pt>
                <c:pt idx="70">
                  <c:v>385.8430670819634</c:v>
                </c:pt>
                <c:pt idx="71">
                  <c:v>363.2206629596339</c:v>
                </c:pt>
                <c:pt idx="72">
                  <c:v>369.9267171991865</c:v>
                </c:pt>
                <c:pt idx="73">
                  <c:v>376.63011972145614</c:v>
                </c:pt>
                <c:pt idx="74">
                  <c:v>383.3309244229302</c:v>
                </c:pt>
                <c:pt idx="75">
                  <c:v>390.02918316043593</c:v>
                </c:pt>
                <c:pt idx="76">
                  <c:v>369.92671719918661</c:v>
                </c:pt>
                <c:pt idx="77">
                  <c:v>376.35086351579042</c:v>
                </c:pt>
                <c:pt idx="78">
                  <c:v>382.77262197501403</c:v>
                </c:pt>
                <c:pt idx="79">
                  <c:v>389.19203832615466</c:v>
                </c:pt>
                <c:pt idx="80">
                  <c:v>395.60915668482608</c:v>
                </c:pt>
                <c:pt idx="81">
                  <c:v>376.35086351579042</c:v>
                </c:pt>
                <c:pt idx="82">
                  <c:v>382.2143018184168</c:v>
                </c:pt>
                <c:pt idx="83">
                  <c:v>388.07578438405881</c:v>
                </c:pt>
                <c:pt idx="84">
                  <c:v>393.93534494873728</c:v>
                </c:pt>
                <c:pt idx="85">
                  <c:v>399.79301616201786</c:v>
                </c:pt>
                <c:pt idx="86">
                  <c:v>382.77262197501403</c:v>
                </c:pt>
                <c:pt idx="87">
                  <c:v>388.07578438405881</c:v>
                </c:pt>
                <c:pt idx="88">
                  <c:v>393.3773734678868</c:v>
                </c:pt>
                <c:pt idx="89">
                  <c:v>398.67741344442743</c:v>
                </c:pt>
                <c:pt idx="90">
                  <c:v>403.97592783450415</c:v>
                </c:pt>
                <c:pt idx="91">
                  <c:v>3.9806453659427267E-12</c:v>
                </c:pt>
                <c:pt idx="92">
                  <c:v>3.9806453659427267E-12</c:v>
                </c:pt>
                <c:pt idx="93">
                  <c:v>3.9806453659427267E-12</c:v>
                </c:pt>
                <c:pt idx="94">
                  <c:v>3.9806453659427267E-12</c:v>
                </c:pt>
                <c:pt idx="95">
                  <c:v>3.9806453659427267E-12</c:v>
                </c:pt>
                <c:pt idx="96">
                  <c:v>3.9806453659427267E-12</c:v>
                </c:pt>
                <c:pt idx="97">
                  <c:v>3.9806453659427267E-12</c:v>
                </c:pt>
                <c:pt idx="98">
                  <c:v>3.9806453659427267E-12</c:v>
                </c:pt>
                <c:pt idx="99">
                  <c:v>3.9806453659427267E-12</c:v>
                </c:pt>
                <c:pt idx="100">
                  <c:v>3.9806453659427267E-12</c:v>
                </c:pt>
                <c:pt idx="101">
                  <c:v>3.9806453659427267E-12</c:v>
                </c:pt>
                <c:pt idx="102">
                  <c:v>3.9806453659427267E-12</c:v>
                </c:pt>
                <c:pt idx="103">
                  <c:v>3.9806453659427267E-12</c:v>
                </c:pt>
                <c:pt idx="104">
                  <c:v>3.9806453659427267E-12</c:v>
                </c:pt>
                <c:pt idx="105">
                  <c:v>3.9806453659427267E-12</c:v>
                </c:pt>
                <c:pt idx="106">
                  <c:v>3.9806453659427267E-12</c:v>
                </c:pt>
                <c:pt idx="107">
                  <c:v>3.9806453659427267E-12</c:v>
                </c:pt>
                <c:pt idx="108">
                  <c:v>3.9806453659427267E-12</c:v>
                </c:pt>
                <c:pt idx="109">
                  <c:v>3.9806453659427267E-12</c:v>
                </c:pt>
                <c:pt idx="110">
                  <c:v>3.9806453659427267E-12</c:v>
                </c:pt>
                <c:pt idx="111">
                  <c:v>3.9806453659427267E-12</c:v>
                </c:pt>
                <c:pt idx="112">
                  <c:v>3.9806453659427267E-12</c:v>
                </c:pt>
                <c:pt idx="113">
                  <c:v>3.9806453659427267E-12</c:v>
                </c:pt>
                <c:pt idx="114">
                  <c:v>3.9806453659427267E-12</c:v>
                </c:pt>
                <c:pt idx="115">
                  <c:v>3.9806453659427267E-12</c:v>
                </c:pt>
                <c:pt idx="116">
                  <c:v>3.9806453659427267E-12</c:v>
                </c:pt>
                <c:pt idx="117">
                  <c:v>3.9806453659427267E-12</c:v>
                </c:pt>
                <c:pt idx="118">
                  <c:v>3.9806453659427267E-12</c:v>
                </c:pt>
                <c:pt idx="119">
                  <c:v>3.9806453659427267E-12</c:v>
                </c:pt>
                <c:pt idx="120">
                  <c:v>3.9806453659427267E-12</c:v>
                </c:pt>
                <c:pt idx="121">
                  <c:v>3.9806453659427267E-12</c:v>
                </c:pt>
                <c:pt idx="122">
                  <c:v>3.9806453659427267E-12</c:v>
                </c:pt>
                <c:pt idx="123">
                  <c:v>3.9806453659427267E-12</c:v>
                </c:pt>
                <c:pt idx="124">
                  <c:v>3.9806453659427267E-12</c:v>
                </c:pt>
                <c:pt idx="125">
                  <c:v>3.9806453659427267E-12</c:v>
                </c:pt>
                <c:pt idx="126">
                  <c:v>3.9806453659427267E-12</c:v>
                </c:pt>
                <c:pt idx="127">
                  <c:v>3.9806453659427267E-12</c:v>
                </c:pt>
                <c:pt idx="128">
                  <c:v>3.9806453659427267E-12</c:v>
                </c:pt>
                <c:pt idx="129">
                  <c:v>3.9806453659427267E-12</c:v>
                </c:pt>
                <c:pt idx="130">
                  <c:v>3.9806453659427267E-12</c:v>
                </c:pt>
                <c:pt idx="131">
                  <c:v>3.9806453659427267E-12</c:v>
                </c:pt>
                <c:pt idx="132">
                  <c:v>3.9806453659427267E-12</c:v>
                </c:pt>
                <c:pt idx="133">
                  <c:v>3.9806453659427267E-12</c:v>
                </c:pt>
                <c:pt idx="134">
                  <c:v>3.9806453659427267E-12</c:v>
                </c:pt>
                <c:pt idx="135">
                  <c:v>3.9806453659427267E-12</c:v>
                </c:pt>
                <c:pt idx="136">
                  <c:v>3.9806453659427267E-12</c:v>
                </c:pt>
                <c:pt idx="137">
                  <c:v>3.9806453659427267E-12</c:v>
                </c:pt>
                <c:pt idx="138">
                  <c:v>3.9806453659427267E-12</c:v>
                </c:pt>
                <c:pt idx="139">
                  <c:v>3.9806453659427267E-12</c:v>
                </c:pt>
                <c:pt idx="140">
                  <c:v>3.9806453659427267E-12</c:v>
                </c:pt>
                <c:pt idx="141">
                  <c:v>3.9806453659427267E-12</c:v>
                </c:pt>
                <c:pt idx="142">
                  <c:v>3.9806453659427267E-12</c:v>
                </c:pt>
                <c:pt idx="143">
                  <c:v>3.9806453659427267E-12</c:v>
                </c:pt>
                <c:pt idx="144">
                  <c:v>3.9806453659427267E-12</c:v>
                </c:pt>
                <c:pt idx="145">
                  <c:v>3.9806453659427267E-12</c:v>
                </c:pt>
                <c:pt idx="146">
                  <c:v>3.9806453659427267E-12</c:v>
                </c:pt>
                <c:pt idx="147">
                  <c:v>3.9806453659427267E-12</c:v>
                </c:pt>
                <c:pt idx="148">
                  <c:v>3.9806453659427267E-12</c:v>
                </c:pt>
                <c:pt idx="149">
                  <c:v>3.9806453659427267E-12</c:v>
                </c:pt>
                <c:pt idx="150">
                  <c:v>3.9806453659427267E-12</c:v>
                </c:pt>
                <c:pt idx="151">
                  <c:v>3.9806453659427267E-12</c:v>
                </c:pt>
                <c:pt idx="152">
                  <c:v>3.9806453659427267E-12</c:v>
                </c:pt>
                <c:pt idx="153">
                  <c:v>3.9806453659427267E-12</c:v>
                </c:pt>
                <c:pt idx="154">
                  <c:v>3.9806453659427267E-12</c:v>
                </c:pt>
                <c:pt idx="155">
                  <c:v>3.9806453659427267E-12</c:v>
                </c:pt>
                <c:pt idx="156">
                  <c:v>3.9806453659427267E-12</c:v>
                </c:pt>
                <c:pt idx="157">
                  <c:v>3.9806453659427267E-12</c:v>
                </c:pt>
                <c:pt idx="158">
                  <c:v>3.9806453659427267E-12</c:v>
                </c:pt>
                <c:pt idx="159">
                  <c:v>3.9806453659427267E-12</c:v>
                </c:pt>
                <c:pt idx="160">
                  <c:v>3.9806453659427267E-12</c:v>
                </c:pt>
                <c:pt idx="161">
                  <c:v>3.9806453659427267E-12</c:v>
                </c:pt>
                <c:pt idx="162">
                  <c:v>3.9806453659427267E-12</c:v>
                </c:pt>
                <c:pt idx="163">
                  <c:v>3.9806453659427267E-12</c:v>
                </c:pt>
                <c:pt idx="164">
                  <c:v>3.9806453659427267E-12</c:v>
                </c:pt>
                <c:pt idx="165">
                  <c:v>3.9806453659427267E-12</c:v>
                </c:pt>
                <c:pt idx="166">
                  <c:v>3.9806453659427267E-12</c:v>
                </c:pt>
                <c:pt idx="167">
                  <c:v>3.9806453659427267E-12</c:v>
                </c:pt>
                <c:pt idx="168">
                  <c:v>3.9806453659427267E-12</c:v>
                </c:pt>
                <c:pt idx="169">
                  <c:v>3.9806453659427267E-12</c:v>
                </c:pt>
                <c:pt idx="170">
                  <c:v>3.9806453659427267E-12</c:v>
                </c:pt>
                <c:pt idx="171">
                  <c:v>3.9806453659427267E-12</c:v>
                </c:pt>
                <c:pt idx="172">
                  <c:v>3.9806453659427267E-12</c:v>
                </c:pt>
                <c:pt idx="173">
                  <c:v>3.9806453659427267E-12</c:v>
                </c:pt>
                <c:pt idx="174">
                  <c:v>3.9806453659427267E-12</c:v>
                </c:pt>
                <c:pt idx="175">
                  <c:v>3.9806453659427267E-12</c:v>
                </c:pt>
                <c:pt idx="176">
                  <c:v>3.9806453659427267E-12</c:v>
                </c:pt>
                <c:pt idx="177">
                  <c:v>3.9806453659427267E-12</c:v>
                </c:pt>
                <c:pt idx="178">
                  <c:v>3.9806453659427267E-12</c:v>
                </c:pt>
                <c:pt idx="179">
                  <c:v>3.9806453659427267E-12</c:v>
                </c:pt>
                <c:pt idx="180">
                  <c:v>3.9806453659427267E-12</c:v>
                </c:pt>
                <c:pt idx="181">
                  <c:v>3.9806453659427267E-12</c:v>
                </c:pt>
                <c:pt idx="182">
                  <c:v>3.9806453659427267E-12</c:v>
                </c:pt>
                <c:pt idx="183">
                  <c:v>3.9806453659427267E-12</c:v>
                </c:pt>
                <c:pt idx="184">
                  <c:v>3.9806453659427267E-12</c:v>
                </c:pt>
                <c:pt idx="185">
                  <c:v>3.9806453659427267E-12</c:v>
                </c:pt>
                <c:pt idx="186">
                  <c:v>3.9806453659427267E-12</c:v>
                </c:pt>
                <c:pt idx="187">
                  <c:v>3.9806453659427267E-12</c:v>
                </c:pt>
                <c:pt idx="188">
                  <c:v>3.9806453659427267E-12</c:v>
                </c:pt>
                <c:pt idx="189">
                  <c:v>3.9806453659427267E-12</c:v>
                </c:pt>
                <c:pt idx="190">
                  <c:v>3.9806453659427267E-12</c:v>
                </c:pt>
                <c:pt idx="191">
                  <c:v>3.9806453659427267E-12</c:v>
                </c:pt>
                <c:pt idx="192">
                  <c:v>3.9806453659427267E-12</c:v>
                </c:pt>
                <c:pt idx="193">
                  <c:v>3.9806453659427267E-12</c:v>
                </c:pt>
                <c:pt idx="194">
                  <c:v>3.9806453659427267E-12</c:v>
                </c:pt>
                <c:pt idx="195">
                  <c:v>3.9806453659427267E-12</c:v>
                </c:pt>
                <c:pt idx="196">
                  <c:v>3.9806453659427267E-12</c:v>
                </c:pt>
                <c:pt idx="197">
                  <c:v>3.9806453659427267E-12</c:v>
                </c:pt>
                <c:pt idx="198">
                  <c:v>3.9806453659427267E-12</c:v>
                </c:pt>
                <c:pt idx="199">
                  <c:v>3.9806453659427267E-12</c:v>
                </c:pt>
                <c:pt idx="200">
                  <c:v>3.9806453659427267E-12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2.528006200299735</c:v>
                </c:pt>
                <c:pt idx="2">
                  <c:v>2.9111909143601342</c:v>
                </c:pt>
                <c:pt idx="3">
                  <c:v>3.3526663794145946</c:v>
                </c:pt>
                <c:pt idx="4">
                  <c:v>3.8613299751906465</c:v>
                </c:pt>
                <c:pt idx="5">
                  <c:v>4.4474414701931062</c:v>
                </c:pt>
                <c:pt idx="6">
                  <c:v>5.1228322497222045</c:v>
                </c:pt>
                <c:pt idx="7">
                  <c:v>5.9011467636042321</c:v>
                </c:pt>
                <c:pt idx="8">
                  <c:v>6.7981211676953643</c:v>
                </c:pt>
                <c:pt idx="9">
                  <c:v>7.831904902873112</c:v>
                </c:pt>
                <c:pt idx="10">
                  <c:v>9.023431844223289</c:v>
                </c:pt>
                <c:pt idx="11">
                  <c:v>10.39684868000341</c:v>
                </c:pt>
                <c:pt idx="12">
                  <c:v>11.980009366139958</c:v>
                </c:pt>
                <c:pt idx="13">
                  <c:v>13.805045872256832</c:v>
                </c:pt>
                <c:pt idx="14">
                  <c:v>15.909027018148384</c:v>
                </c:pt>
                <c:pt idx="15">
                  <c:v>18.334719028272804</c:v>
                </c:pt>
                <c:pt idx="16">
                  <c:v>46.846075055613028</c:v>
                </c:pt>
                <c:pt idx="17">
                  <c:v>74.862440038289407</c:v>
                </c:pt>
                <c:pt idx="18">
                  <c:v>102.60598035272905</c:v>
                </c:pt>
                <c:pt idx="19">
                  <c:v>136.40413338132439</c:v>
                </c:pt>
                <c:pt idx="20">
                  <c:v>173.72181380960993</c:v>
                </c:pt>
                <c:pt idx="21">
                  <c:v>210.85019924163907</c:v>
                </c:pt>
                <c:pt idx="22">
                  <c:v>239.21142924303732</c:v>
                </c:pt>
                <c:pt idx="23">
                  <c:v>282.22597131769891</c:v>
                </c:pt>
                <c:pt idx="24">
                  <c:v>325.0933857428227</c:v>
                </c:pt>
                <c:pt idx="25">
                  <c:v>282.83933776674922</c:v>
                </c:pt>
                <c:pt idx="26">
                  <c:v>326.92763310831191</c:v>
                </c:pt>
                <c:pt idx="27">
                  <c:v>370.88450720110433</c:v>
                </c:pt>
                <c:pt idx="28">
                  <c:v>336.70648180894301</c:v>
                </c:pt>
                <c:pt idx="29">
                  <c:v>381.24606170046428</c:v>
                </c:pt>
                <c:pt idx="30">
                  <c:v>425.67242592235584</c:v>
                </c:pt>
                <c:pt idx="31">
                  <c:v>382.4646618583256</c:v>
                </c:pt>
                <c:pt idx="32">
                  <c:v>426.88812840091873</c:v>
                </c:pt>
                <c:pt idx="33">
                  <c:v>471.21216521688075</c:v>
                </c:pt>
                <c:pt idx="34">
                  <c:v>515.44742348183297</c:v>
                </c:pt>
                <c:pt idx="35">
                  <c:v>559.60257836959147</c:v>
                </c:pt>
                <c:pt idx="36">
                  <c:v>603.68482585273216</c:v>
                </c:pt>
                <c:pt idx="37">
                  <c:v>476.97363117477761</c:v>
                </c:pt>
                <c:pt idx="38">
                  <c:v>517.26354360138077</c:v>
                </c:pt>
                <c:pt idx="39">
                  <c:v>557.48726687418275</c:v>
                </c:pt>
                <c:pt idx="40">
                  <c:v>597.65023871728874</c:v>
                </c:pt>
                <c:pt idx="41">
                  <c:v>637.75710743518198</c:v>
                </c:pt>
                <c:pt idx="42">
                  <c:v>677.81188993616718</c:v>
                </c:pt>
                <c:pt idx="43">
                  <c:v>550.73728857330809</c:v>
                </c:pt>
                <c:pt idx="44">
                  <c:v>586.58352633089646</c:v>
                </c:pt>
                <c:pt idx="45">
                  <c:v>622.38414547781622</c:v>
                </c:pt>
                <c:pt idx="46">
                  <c:v>658.14213414272695</c:v>
                </c:pt>
                <c:pt idx="47">
                  <c:v>693.86012979762791</c:v>
                </c:pt>
                <c:pt idx="48">
                  <c:v>729.54047669218573</c:v>
                </c:pt>
                <c:pt idx="49">
                  <c:v>765.18527147808618</c:v>
                </c:pt>
                <c:pt idx="50">
                  <c:v>800.79639989919531</c:v>
                </c:pt>
                <c:pt idx="51">
                  <c:v>836.37556662396753</c:v>
                </c:pt>
                <c:pt idx="52">
                  <c:v>650.26082111330118</c:v>
                </c:pt>
                <c:pt idx="53">
                  <c:v>678.71480868864035</c:v>
                </c:pt>
                <c:pt idx="54">
                  <c:v>707.14431577244295</c:v>
                </c:pt>
                <c:pt idx="55">
                  <c:v>735.55046347762789</c:v>
                </c:pt>
                <c:pt idx="56">
                  <c:v>763.93427939748926</c:v>
                </c:pt>
                <c:pt idx="57">
                  <c:v>792.29670865973264</c:v>
                </c:pt>
                <c:pt idx="58">
                  <c:v>820.63862331737619</c:v>
                </c:pt>
                <c:pt idx="59">
                  <c:v>848.96083037662663</c:v>
                </c:pt>
                <c:pt idx="60">
                  <c:v>877.26407869929096</c:v>
                </c:pt>
                <c:pt idx="61">
                  <c:v>905.54906496941055</c:v>
                </c:pt>
                <c:pt idx="62">
                  <c:v>933.81643887680104</c:v>
                </c:pt>
                <c:pt idx="63">
                  <c:v>962.06680764131522</c:v>
                </c:pt>
                <c:pt idx="64">
                  <c:v>761.58230169786736</c:v>
                </c:pt>
                <c:pt idx="65">
                  <c:v>783.99523118691889</c:v>
                </c:pt>
                <c:pt idx="66">
                  <c:v>806.39519984591391</c:v>
                </c:pt>
                <c:pt idx="67">
                  <c:v>828.78261790209388</c:v>
                </c:pt>
                <c:pt idx="68">
                  <c:v>851.15787164378537</c:v>
                </c:pt>
                <c:pt idx="69">
                  <c:v>873.52132542245738</c:v>
                </c:pt>
                <c:pt idx="70">
                  <c:v>895.87332343937157</c:v>
                </c:pt>
                <c:pt idx="71">
                  <c:v>918.21419134490054</c:v>
                </c:pt>
                <c:pt idx="72">
                  <c:v>940.54423767432718</c:v>
                </c:pt>
                <c:pt idx="73">
                  <c:v>960.67211802247084</c:v>
                </c:pt>
                <c:pt idx="74">
                  <c:v>980.79164070369097</c:v>
                </c:pt>
                <c:pt idx="75">
                  <c:v>1000.9030010637066</c:v>
                </c:pt>
                <c:pt idx="76">
                  <c:v>1021.0063859695071</c:v>
                </c:pt>
                <c:pt idx="77">
                  <c:v>1041.1019743403906</c:v>
                </c:pt>
                <c:pt idx="78">
                  <c:v>1061.1899376359304</c:v>
                </c:pt>
                <c:pt idx="79">
                  <c:v>1081.2704403051293</c:v>
                </c:pt>
                <c:pt idx="80">
                  <c:v>1101.3436402005304</c:v>
                </c:pt>
                <c:pt idx="81">
                  <c:v>1121.4096889606135</c:v>
                </c:pt>
                <c:pt idx="82">
                  <c:v>1139.8801493986607</c:v>
                </c:pt>
                <c:pt idx="83">
                  <c:v>1158.3447799990813</c:v>
                </c:pt>
                <c:pt idx="84">
                  <c:v>1176.8036866380487</c:v>
                </c:pt>
                <c:pt idx="85">
                  <c:v>1194.6617910739387</c:v>
                </c:pt>
                <c:pt idx="86">
                  <c:v>1212.5147203554982</c:v>
                </c:pt>
                <c:pt idx="87">
                  <c:v>1230.362561293658</c:v>
                </c:pt>
                <c:pt idx="88">
                  <c:v>1248.205397979521</c:v>
                </c:pt>
                <c:pt idx="89">
                  <c:v>1266.0433119080142</c:v>
                </c:pt>
                <c:pt idx="90">
                  <c:v>1283.8763820942174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2.6202873647055487</c:v>
                </c:pt>
                <c:pt idx="2">
                  <c:v>3.3014890700969475</c:v>
                </c:pt>
                <c:pt idx="3">
                  <c:v>4.1604758697806128</c:v>
                </c:pt>
                <c:pt idx="4">
                  <c:v>5.2438175769854629</c:v>
                </c:pt>
                <c:pt idx="5">
                  <c:v>6.6103243965889789</c:v>
                </c:pt>
                <c:pt idx="6">
                  <c:v>8.3342743628219527</c:v>
                </c:pt>
                <c:pt idx="7">
                  <c:v>10.509494235432264</c:v>
                </c:pt>
                <c:pt idx="8">
                  <c:v>13.25452014211402</c:v>
                </c:pt>
                <c:pt idx="9">
                  <c:v>16.71912439869411</c:v>
                </c:pt>
                <c:pt idx="10">
                  <c:v>21.092571102519226</c:v>
                </c:pt>
                <c:pt idx="11">
                  <c:v>40.959654766376069</c:v>
                </c:pt>
                <c:pt idx="12">
                  <c:v>60.556368030357454</c:v>
                </c:pt>
                <c:pt idx="13">
                  <c:v>79.985715393823597</c:v>
                </c:pt>
                <c:pt idx="14">
                  <c:v>99.294672325256599</c:v>
                </c:pt>
                <c:pt idx="15">
                  <c:v>118.51011399861339</c:v>
                </c:pt>
                <c:pt idx="16">
                  <c:v>86.075914671005776</c:v>
                </c:pt>
                <c:pt idx="17">
                  <c:v>110.69162732463077</c:v>
                </c:pt>
                <c:pt idx="18">
                  <c:v>135.17221080393281</c:v>
                </c:pt>
                <c:pt idx="19">
                  <c:v>159.54570617746938</c:v>
                </c:pt>
                <c:pt idx="20">
                  <c:v>183.83081652024472</c:v>
                </c:pt>
                <c:pt idx="21">
                  <c:v>148.25402389766143</c:v>
                </c:pt>
                <c:pt idx="22">
                  <c:v>174.33753126581527</c:v>
                </c:pt>
                <c:pt idx="23">
                  <c:v>200.32921613632394</c:v>
                </c:pt>
                <c:pt idx="24">
                  <c:v>226.24267877776924</c:v>
                </c:pt>
                <c:pt idx="25">
                  <c:v>252.08814071355724</c:v>
                </c:pt>
                <c:pt idx="26">
                  <c:v>215.74593348274445</c:v>
                </c:pt>
                <c:pt idx="27">
                  <c:v>240.57031057620057</c:v>
                </c:pt>
                <c:pt idx="28">
                  <c:v>265.33636719298863</c:v>
                </c:pt>
                <c:pt idx="29">
                  <c:v>290.05031041971233</c:v>
                </c:pt>
                <c:pt idx="30">
                  <c:v>314.7172026142477</c:v>
                </c:pt>
                <c:pt idx="31">
                  <c:v>276.13305084516702</c:v>
                </c:pt>
                <c:pt idx="32">
                  <c:v>298.39345366223546</c:v>
                </c:pt>
                <c:pt idx="33">
                  <c:v>320.6168590632679</c:v>
                </c:pt>
                <c:pt idx="34">
                  <c:v>342.80619071488059</c:v>
                </c:pt>
                <c:pt idx="35">
                  <c:v>364.96396296815789</c:v>
                </c:pt>
                <c:pt idx="36">
                  <c:v>324.08611998804474</c:v>
                </c:pt>
                <c:pt idx="37">
                  <c:v>343.84552311327383</c:v>
                </c:pt>
                <c:pt idx="38">
                  <c:v>363.5799840007133</c:v>
                </c:pt>
                <c:pt idx="39">
                  <c:v>383.29104626329899</c:v>
                </c:pt>
                <c:pt idx="40">
                  <c:v>402.9800818512519</c:v>
                </c:pt>
                <c:pt idx="41">
                  <c:v>359.4273541272596</c:v>
                </c:pt>
                <c:pt idx="42">
                  <c:v>376.37745953930607</c:v>
                </c:pt>
                <c:pt idx="43">
                  <c:v>393.31094714884654</c:v>
                </c:pt>
                <c:pt idx="44">
                  <c:v>410.22863289640105</c:v>
                </c:pt>
                <c:pt idx="45">
                  <c:v>427.13125995293154</c:v>
                </c:pt>
                <c:pt idx="46">
                  <c:v>400.56327392899146</c:v>
                </c:pt>
                <c:pt idx="47">
                  <c:v>415.40447321133956</c:v>
                </c:pt>
                <c:pt idx="48">
                  <c:v>430.23424187074426</c:v>
                </c:pt>
                <c:pt idx="49">
                  <c:v>445.05302932092837</c:v>
                </c:pt>
                <c:pt idx="50">
                  <c:v>459.86125261266943</c:v>
                </c:pt>
                <c:pt idx="51">
                  <c:v>439.88490533840962</c:v>
                </c:pt>
                <c:pt idx="52">
                  <c:v>452.63062434570611</c:v>
                </c:pt>
                <c:pt idx="53">
                  <c:v>465.3686716138655</c:v>
                </c:pt>
                <c:pt idx="54">
                  <c:v>478.09928670594991</c:v>
                </c:pt>
                <c:pt idx="55">
                  <c:v>490.82269538774045</c:v>
                </c:pt>
                <c:pt idx="56">
                  <c:v>473.97123882058969</c:v>
                </c:pt>
                <c:pt idx="57">
                  <c:v>484.63381543198619</c:v>
                </c:pt>
                <c:pt idx="58">
                  <c:v>495.29141143690708</c:v>
                </c:pt>
                <c:pt idx="59">
                  <c:v>505.94414912103224</c:v>
                </c:pt>
                <c:pt idx="60">
                  <c:v>516.59214520035403</c:v>
                </c:pt>
                <c:pt idx="61">
                  <c:v>501.47745591010658</c:v>
                </c:pt>
                <c:pt idx="62">
                  <c:v>510.41000854334516</c:v>
                </c:pt>
                <c:pt idx="63">
                  <c:v>519.33925918522516</c:v>
                </c:pt>
                <c:pt idx="64">
                  <c:v>528.26527262385048</c:v>
                </c:pt>
                <c:pt idx="65">
                  <c:v>537.18811127897254</c:v>
                </c:pt>
                <c:pt idx="66">
                  <c:v>522.77272091773659</c:v>
                </c:pt>
                <c:pt idx="67">
                  <c:v>530.66788510705476</c:v>
                </c:pt>
                <c:pt idx="68">
                  <c:v>538.56057776581395</c:v>
                </c:pt>
                <c:pt idx="69">
                  <c:v>546.4508402313171</c:v>
                </c:pt>
                <c:pt idx="70">
                  <c:v>554.33871254949031</c:v>
                </c:pt>
                <c:pt idx="71">
                  <c:v>539.24678343342578</c:v>
                </c:pt>
                <c:pt idx="72">
                  <c:v>546.4508402313171</c:v>
                </c:pt>
                <c:pt idx="73">
                  <c:v>553.65290450097075</c:v>
                </c:pt>
                <c:pt idx="74">
                  <c:v>560.85300582428658</c:v>
                </c:pt>
                <c:pt idx="75">
                  <c:v>568.05117296149081</c:v>
                </c:pt>
                <c:pt idx="76">
                  <c:v>553.65290450097075</c:v>
                </c:pt>
                <c:pt idx="77">
                  <c:v>559.8245390026176</c:v>
                </c:pt>
                <c:pt idx="78">
                  <c:v>565.99474949990611</c:v>
                </c:pt>
                <c:pt idx="79">
                  <c:v>572.16355371171983</c:v>
                </c:pt>
                <c:pt idx="80">
                  <c:v>578.33096894357811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1.945758313630227</c:v>
                </c:pt>
                <c:pt idx="2">
                  <c:v>2.6050980468053448</c:v>
                </c:pt>
                <c:pt idx="3">
                  <c:v>3.4887980517210706</c:v>
                </c:pt>
                <c:pt idx="4">
                  <c:v>4.6735040654797206</c:v>
                </c:pt>
                <c:pt idx="5">
                  <c:v>6.2621414188034761</c:v>
                </c:pt>
                <c:pt idx="6">
                  <c:v>8.3929560750059693</c:v>
                </c:pt>
                <c:pt idx="7">
                  <c:v>11.251675760913587</c:v>
                </c:pt>
                <c:pt idx="8">
                  <c:v>15.087871001792513</c:v>
                </c:pt>
                <c:pt idx="9">
                  <c:v>20.236970540629144</c:v>
                </c:pt>
                <c:pt idx="10">
                  <c:v>27.149890593651492</c:v>
                </c:pt>
                <c:pt idx="11">
                  <c:v>36.432918080797933</c:v>
                </c:pt>
                <c:pt idx="12">
                  <c:v>48.901405640152291</c:v>
                </c:pt>
                <c:pt idx="13">
                  <c:v>65.652073559199778</c:v>
                </c:pt>
                <c:pt idx="14">
                  <c:v>88.160382293019723</c:v>
                </c:pt>
                <c:pt idx="15">
                  <c:v>118.41168955175056</c:v>
                </c:pt>
                <c:pt idx="16">
                  <c:v>159.07794124592061</c:v>
                </c:pt>
                <c:pt idx="17">
                  <c:v>213.75574019899872</c:v>
                </c:pt>
                <c:pt idx="18">
                  <c:v>249.31858647831859</c:v>
                </c:pt>
                <c:pt idx="19">
                  <c:v>186.65295119618835</c:v>
                </c:pt>
                <c:pt idx="20">
                  <c:v>216.44579507640341</c:v>
                </c:pt>
                <c:pt idx="21">
                  <c:v>248.21247115736773</c:v>
                </c:pt>
                <c:pt idx="22">
                  <c:v>281.70932630531502</c:v>
                </c:pt>
                <c:pt idx="23">
                  <c:v>316.97045957191079</c:v>
                </c:pt>
                <c:pt idx="24">
                  <c:v>353.21835259366952</c:v>
                </c:pt>
                <c:pt idx="25">
                  <c:v>324.58559235567452</c:v>
                </c:pt>
                <c:pt idx="26">
                  <c:v>357.64353127694949</c:v>
                </c:pt>
                <c:pt idx="27">
                  <c:v>391.24164524422309</c:v>
                </c:pt>
                <c:pt idx="28">
                  <c:v>425.79897297789597</c:v>
                </c:pt>
                <c:pt idx="29">
                  <c:v>461.29230123751626</c:v>
                </c:pt>
                <c:pt idx="30">
                  <c:v>497.55629175055515</c:v>
                </c:pt>
                <c:pt idx="31">
                  <c:v>435.49944570734789</c:v>
                </c:pt>
                <c:pt idx="32">
                  <c:v>469.47856257316124</c:v>
                </c:pt>
                <c:pt idx="33">
                  <c:v>503.40530686541462</c:v>
                </c:pt>
                <c:pt idx="34">
                  <c:v>537.28369877051512</c:v>
                </c:pt>
                <c:pt idx="35">
                  <c:v>571.11721074139666</c:v>
                </c:pt>
                <c:pt idx="36">
                  <c:v>604.90887079787183</c:v>
                </c:pt>
                <c:pt idx="37">
                  <c:v>536.6373993880444</c:v>
                </c:pt>
                <c:pt idx="38">
                  <c:v>569.79082741852994</c:v>
                </c:pt>
                <c:pt idx="39">
                  <c:v>602.90396630639486</c:v>
                </c:pt>
                <c:pt idx="40">
                  <c:v>635.97933621184779</c:v>
                </c:pt>
                <c:pt idx="41">
                  <c:v>669.01917418073697</c:v>
                </c:pt>
                <c:pt idx="42">
                  <c:v>702.02547863456618</c:v>
                </c:pt>
                <c:pt idx="43">
                  <c:v>625.95606129917701</c:v>
                </c:pt>
                <c:pt idx="44">
                  <c:v>657.31512155063638</c:v>
                </c:pt>
                <c:pt idx="45">
                  <c:v>688.64338071366103</c:v>
                </c:pt>
                <c:pt idx="46">
                  <c:v>720.98825372586816</c:v>
                </c:pt>
                <c:pt idx="47">
                  <c:v>753.30352901574281</c:v>
                </c:pt>
                <c:pt idx="48">
                  <c:v>785.59065255131338</c:v>
                </c:pt>
                <c:pt idx="49">
                  <c:v>696.17586923903207</c:v>
                </c:pt>
                <c:pt idx="50">
                  <c:v>725.80175633672309</c:v>
                </c:pt>
                <c:pt idx="51">
                  <c:v>756.22768083766425</c:v>
                </c:pt>
                <c:pt idx="52">
                  <c:v>786.62875515499161</c:v>
                </c:pt>
                <c:pt idx="53">
                  <c:v>817.00607310981752</c:v>
                </c:pt>
                <c:pt idx="54">
                  <c:v>847.360640692846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55" t="s">
        <v>291</v>
      </c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</row>
    <row r="13" spans="2:13" ht="15" customHeight="1" x14ac:dyDescent="0.2">
      <c r="B13" s="255"/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</row>
    <row r="14" spans="2:13" ht="15" customHeight="1" x14ac:dyDescent="0.2">
      <c r="B14" s="255"/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</row>
    <row r="15" spans="2:13" ht="18.75" customHeight="1" x14ac:dyDescent="0.2">
      <c r="B15" s="255"/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</row>
    <row r="16" spans="2:13" ht="18.75" customHeight="1" x14ac:dyDescent="0.2">
      <c r="B16" s="255"/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</row>
    <row r="18" spans="2:13" ht="12" customHeight="1" x14ac:dyDescent="0.2">
      <c r="B18" s="255" t="s">
        <v>292</v>
      </c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5"/>
    </row>
    <row r="19" spans="2:13" ht="12" customHeight="1" x14ac:dyDescent="0.2">
      <c r="B19" s="255"/>
      <c r="C19" s="255"/>
      <c r="D19" s="255"/>
      <c r="E19" s="255"/>
      <c r="F19" s="255"/>
      <c r="G19" s="255"/>
      <c r="H19" s="255"/>
      <c r="I19" s="255"/>
      <c r="J19" s="255"/>
      <c r="K19" s="255"/>
      <c r="L19" s="255"/>
      <c r="M19" s="255"/>
    </row>
    <row r="20" spans="2:13" ht="12" customHeight="1" x14ac:dyDescent="0.2">
      <c r="B20" s="255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</row>
    <row r="21" spans="2:13" ht="12" customHeight="1" x14ac:dyDescent="0.2">
      <c r="B21" s="255"/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</row>
    <row r="22" spans="2:13" ht="12" customHeight="1" x14ac:dyDescent="0.2">
      <c r="B22" s="255"/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</row>
    <row r="23" spans="2:13" ht="12" customHeight="1" x14ac:dyDescent="0.2">
      <c r="B23" s="255"/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</row>
    <row r="24" spans="2:13" ht="12" customHeight="1" x14ac:dyDescent="0.2"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</row>
    <row r="25" spans="2:13" ht="12" customHeight="1" x14ac:dyDescent="0.2">
      <c r="B25" s="255"/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</row>
    <row r="26" spans="2:13" ht="12" customHeight="1" x14ac:dyDescent="0.2">
      <c r="B26" s="255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</row>
    <row r="27" spans="2:13" ht="12" customHeight="1" x14ac:dyDescent="0.2">
      <c r="B27" s="255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</row>
    <row r="28" spans="2:13" ht="12" customHeight="1" x14ac:dyDescent="0.2">
      <c r="B28" s="255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</row>
    <row r="29" spans="2:13" ht="12" customHeight="1" x14ac:dyDescent="0.2">
      <c r="B29" s="255"/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</row>
    <row r="30" spans="2:13" ht="12" customHeight="1" x14ac:dyDescent="0.2">
      <c r="B30" s="255"/>
      <c r="C30" s="255"/>
      <c r="D30" s="255"/>
      <c r="E30" s="255"/>
      <c r="F30" s="255"/>
      <c r="G30" s="255"/>
      <c r="H30" s="255"/>
      <c r="I30" s="255"/>
      <c r="J30" s="255"/>
      <c r="K30" s="255"/>
      <c r="L30" s="255"/>
      <c r="M30" s="255"/>
    </row>
    <row r="31" spans="2:13" ht="12" customHeight="1" x14ac:dyDescent="0.2">
      <c r="B31" s="255"/>
      <c r="C31" s="255"/>
      <c r="D31" s="255"/>
      <c r="E31" s="255"/>
      <c r="F31" s="255"/>
      <c r="G31" s="255"/>
      <c r="H31" s="255"/>
      <c r="I31" s="255"/>
      <c r="J31" s="255"/>
      <c r="K31" s="255"/>
      <c r="L31" s="255"/>
      <c r="M31" s="255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100" zoomScale="80" zoomScaleNormal="80" workbookViewId="0">
      <selection activeCell="O120" sqref="O120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60" t="s">
        <v>190</v>
      </c>
      <c r="D1" s="260"/>
      <c r="E1" s="260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08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1" t="s">
        <v>192</v>
      </c>
      <c r="C3" s="262"/>
      <c r="D3" s="262"/>
      <c r="E3" s="262"/>
      <c r="F3" s="263"/>
      <c r="G3" s="87"/>
      <c r="I3" s="208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88"/>
      <c r="B4" s="88"/>
      <c r="C4" s="88"/>
      <c r="D4" s="88"/>
      <c r="E4" s="88"/>
      <c r="F4" s="88"/>
      <c r="G4" s="215"/>
      <c r="I4" s="208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66" t="s">
        <v>231</v>
      </c>
      <c r="B5" s="266"/>
      <c r="C5" s="24">
        <v>2.95</v>
      </c>
      <c r="D5" s="267" t="s">
        <v>229</v>
      </c>
      <c r="E5" s="268"/>
      <c r="F5" s="88"/>
      <c r="G5" s="215"/>
      <c r="H5" s="215"/>
      <c r="I5" s="215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89"/>
      <c r="B6" s="89"/>
      <c r="C6" s="4"/>
      <c r="D6" s="84"/>
      <c r="E6" s="84"/>
      <c r="F6" s="26"/>
      <c r="G6" s="202"/>
      <c r="H6" s="202"/>
      <c r="I6" s="202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5" t="s">
        <v>226</v>
      </c>
      <c r="B7" s="265"/>
      <c r="C7" s="88"/>
      <c r="D7" s="88"/>
      <c r="E7" s="4"/>
      <c r="F7" s="88"/>
      <c r="G7" s="215"/>
      <c r="H7" s="215"/>
      <c r="I7" s="215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2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12</v>
      </c>
      <c r="C9" s="254">
        <v>0.16553699999999999</v>
      </c>
      <c r="D9" s="33">
        <f t="shared" ref="D9:D18" si="0">C9*$C$5</f>
        <v>0.48833415000000002</v>
      </c>
      <c r="E9" s="34">
        <v>120</v>
      </c>
      <c r="F9" s="35" t="str">
        <f t="array" ref="F9">IF(E9="","",IF(INDEX(A:A,MAX(IF(ISNUMBER($A$36:$A$55),ROW($A$36:$A$55),"")))&lt;&gt;E9,"Corrigez : révolution incorrecte","OK"))</f>
        <v>OK</v>
      </c>
      <c r="G9" s="225" t="s">
        <v>306</v>
      </c>
      <c r="I9" s="223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 t="s">
        <v>14</v>
      </c>
      <c r="C10" s="254">
        <v>0.16497200000000001</v>
      </c>
      <c r="D10" s="33">
        <f t="shared" si="0"/>
        <v>0.48666740000000003</v>
      </c>
      <c r="E10" s="34">
        <v>161</v>
      </c>
      <c r="F10" s="35" t="str">
        <f t="array" ref="F10">IF(E10="","",IF(INDEX(A:A,MAX(IF(ISNUMBER($A$62:$A$81),ROW($A$62:$A$81),"")))&lt;&gt;E10,"Corrigez : révolution incorrecte","OK"))</f>
        <v>OK</v>
      </c>
      <c r="I10" s="223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 t="s">
        <v>8</v>
      </c>
      <c r="C11" s="254">
        <v>9.1808000000000001E-2</v>
      </c>
      <c r="D11" s="33">
        <f t="shared" si="0"/>
        <v>0.27083360000000001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3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 t="s">
        <v>6</v>
      </c>
      <c r="C12" s="254">
        <v>9.1808000000000001E-2</v>
      </c>
      <c r="D12" s="33">
        <f t="shared" si="0"/>
        <v>0.27083360000000001</v>
      </c>
      <c r="E12" s="34">
        <v>120</v>
      </c>
      <c r="F12" s="35" t="str">
        <f t="array" ref="F12">IF(E12="","",IF(INDEX(A:A,MAX(IF(ISNUMBER($A$114:$A$133),ROW($A$114:$A$133),"")))&lt;&gt;E12,"Corrigez : révolution incorrecte","OK"))</f>
        <v>OK</v>
      </c>
      <c r="I12" s="223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 t="s">
        <v>50</v>
      </c>
      <c r="C13" s="254">
        <v>9.1808000000000001E-2</v>
      </c>
      <c r="D13" s="33">
        <f t="shared" si="0"/>
        <v>0.27083360000000001</v>
      </c>
      <c r="E13" s="34">
        <v>161</v>
      </c>
      <c r="F13" s="35" t="str">
        <f t="array" ref="F13">IF(E13="","",IF(INDEX(A:A,MAX(IF(ISNUMBER($A$140:$A$159),ROW($A$140:$A$159),"")))&lt;&gt;E13,"Corrigez : révolution incorrecte","OK"))</f>
        <v>OK</v>
      </c>
      <c r="I13" s="223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 t="s">
        <v>98</v>
      </c>
      <c r="C14" s="254">
        <v>9.1808000000000001E-2</v>
      </c>
      <c r="D14" s="33">
        <f t="shared" si="0"/>
        <v>0.27083360000000001</v>
      </c>
      <c r="E14" s="34">
        <v>90</v>
      </c>
      <c r="F14" s="35" t="str">
        <f t="array" ref="F14">IF(E14="","",IF(INDEX(A:A,MAX(IF(ISNUMBER($A$166:$A$185),ROW($A$166:$A$185),"")))&lt;&gt;E14,"Corrigez : révolution incorrecte","OK"))</f>
        <v>OK</v>
      </c>
      <c r="I14" s="223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 t="s">
        <v>25</v>
      </c>
      <c r="C15" s="32">
        <v>3.0790999999999999E-2</v>
      </c>
      <c r="D15" s="33">
        <f t="shared" si="0"/>
        <v>9.0833449999999996E-2</v>
      </c>
      <c r="E15" s="34">
        <v>90</v>
      </c>
      <c r="F15" s="35" t="str">
        <f t="array" ref="F15">IF(E15="","",IF(INDEX(A:A,MAX(IF(ISNUMBER($A$192:$A$211),ROW($A$192:$A$211),"")))&lt;&gt;E15,"Corrigez : révolution incorrecte","OK"))</f>
        <v>OK</v>
      </c>
      <c r="I15" s="223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 t="s">
        <v>30</v>
      </c>
      <c r="C16" s="254">
        <v>2.7119000000000001E-2</v>
      </c>
      <c r="D16" s="33">
        <f t="shared" si="0"/>
        <v>8.0001050000000004E-2</v>
      </c>
      <c r="E16" s="34">
        <v>80</v>
      </c>
      <c r="F16" s="35" t="str">
        <f t="array" ref="F16">IF(E16="","",IF(INDEX(A:A,MAX(IF(ISNUMBER($A$218:$A$237),ROW($A$218:$A$237),"")))&lt;&gt;E16,"Corrigez : révolution incorrecte","OK"))</f>
        <v>OK</v>
      </c>
      <c r="I16" s="223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 t="s">
        <v>18</v>
      </c>
      <c r="C17" s="254">
        <v>0.14491499999999999</v>
      </c>
      <c r="D17" s="33">
        <f t="shared" si="0"/>
        <v>0.42749925</v>
      </c>
      <c r="E17" s="34">
        <v>54</v>
      </c>
      <c r="F17" s="35" t="str">
        <f t="array" ref="F17">IF(E17="","",IF(INDEX(A:A,MAX(IF(ISNUMBER($A$244:$A$263),ROW($A$244:$A$263),"")))&lt;&gt;E17,"Corrigez : révolution incorrecte","OK"))</f>
        <v>OK</v>
      </c>
      <c r="I17" s="223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 t="s">
        <v>81</v>
      </c>
      <c r="C18" s="254">
        <v>7.2598999999999997E-2</v>
      </c>
      <c r="D18" s="33">
        <f t="shared" si="0"/>
        <v>0.21416705</v>
      </c>
      <c r="E18" s="34">
        <v>100</v>
      </c>
      <c r="F18" s="35" t="str">
        <f t="array" ref="F18">IF(E18="","",IF(INDEX(A:A,MAX(IF(ISNUMBER($A$270:$A$289),ROW($A$270:$A$289),"")))&lt;&gt;E18,"Corrigez : révolution incorrecte","OK"))</f>
        <v>OK</v>
      </c>
      <c r="I18" s="223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6"/>
      <c r="B19" s="36" t="s">
        <v>175</v>
      </c>
      <c r="C19" s="37">
        <f>SUM(C9:C18)</f>
        <v>0.97316499999999995</v>
      </c>
      <c r="D19" s="38">
        <f>SUM(D9:D18)</f>
        <v>2.8708367499999996</v>
      </c>
      <c r="E19" s="4"/>
      <c r="F19" s="90"/>
      <c r="G19" s="216"/>
      <c r="H19" s="216"/>
      <c r="I19" s="216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6"/>
      <c r="B20" s="39" t="s">
        <v>230</v>
      </c>
      <c r="C20" s="40" t="str">
        <f>IF(C19&gt;100%,"Erreur : corrigez","OK")</f>
        <v>OK</v>
      </c>
      <c r="D20" s="219"/>
      <c r="F20" s="202"/>
      <c r="G20" s="202"/>
      <c r="H20" s="216"/>
      <c r="I20" s="216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17"/>
      <c r="I21" s="217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4" t="s">
        <v>232</v>
      </c>
      <c r="B22" s="264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199"/>
      <c r="I24" s="199"/>
      <c r="J24" s="218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2"/>
      <c r="E25" s="4"/>
      <c r="F25" s="92"/>
      <c r="G25" s="218"/>
      <c r="I25" s="218"/>
      <c r="J25" s="218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199"/>
      <c r="I26" s="199"/>
      <c r="J26" s="199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199"/>
      <c r="I27" s="199"/>
      <c r="J27" s="199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5" t="s">
        <v>227</v>
      </c>
      <c r="B30" s="265"/>
      <c r="D30" s="220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0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Chêne pubescent</v>
      </c>
      <c r="D32" s="226" t="s">
        <v>307</v>
      </c>
      <c r="J32" s="23" t="s">
        <v>326</v>
      </c>
      <c r="K32" s="220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0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3" t="s">
        <v>185</v>
      </c>
      <c r="C34" s="256" t="s">
        <v>186</v>
      </c>
      <c r="D34" s="256"/>
      <c r="E34" s="257" t="s">
        <v>187</v>
      </c>
      <c r="F34" s="258"/>
      <c r="G34" s="258"/>
      <c r="H34" s="259"/>
      <c r="I34" s="93"/>
      <c r="J34" s="220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1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25</v>
      </c>
      <c r="B36" s="58">
        <v>30</v>
      </c>
      <c r="C36" s="58">
        <v>1</v>
      </c>
      <c r="D36" s="58">
        <v>0</v>
      </c>
      <c r="E36" s="51">
        <v>0</v>
      </c>
      <c r="F36" s="51"/>
      <c r="G36" s="51"/>
      <c r="H36" s="51">
        <v>1</v>
      </c>
      <c r="I36" s="49">
        <f>IFERROR(B36/A36,"")</f>
        <v>1.2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30</v>
      </c>
      <c r="B37" s="58">
        <v>54</v>
      </c>
      <c r="C37" s="58">
        <v>2</v>
      </c>
      <c r="D37" s="58">
        <v>0</v>
      </c>
      <c r="E37" s="51">
        <v>0</v>
      </c>
      <c r="F37" s="51"/>
      <c r="G37" s="51"/>
      <c r="H37" s="51">
        <v>1</v>
      </c>
      <c r="I37" s="53">
        <f t="shared" ref="I37:I55" si="1">IF(A37&lt;&gt;0,(B37-(B36-D36))/(A37-A36),"")</f>
        <v>4.8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35</v>
      </c>
      <c r="B38" s="58">
        <v>79</v>
      </c>
      <c r="C38" s="58">
        <v>3</v>
      </c>
      <c r="D38" s="58">
        <v>13</v>
      </c>
      <c r="E38" s="51">
        <v>0</v>
      </c>
      <c r="F38" s="51"/>
      <c r="G38" s="51"/>
      <c r="H38" s="51">
        <v>1</v>
      </c>
      <c r="I38" s="53">
        <f t="shared" si="1"/>
        <v>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40</v>
      </c>
      <c r="B39" s="58">
        <v>93</v>
      </c>
      <c r="C39" s="58">
        <v>4</v>
      </c>
      <c r="D39" s="58">
        <v>14</v>
      </c>
      <c r="E39" s="51">
        <v>0.2</v>
      </c>
      <c r="F39" s="51"/>
      <c r="G39" s="51"/>
      <c r="H39" s="51">
        <v>0.8</v>
      </c>
      <c r="I39" s="49">
        <f t="shared" si="1"/>
        <v>5.4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>
        <v>45</v>
      </c>
      <c r="B40" s="58">
        <v>107</v>
      </c>
      <c r="C40" s="58">
        <v>5</v>
      </c>
      <c r="D40" s="58">
        <v>14</v>
      </c>
      <c r="E40" s="51">
        <v>0.2</v>
      </c>
      <c r="F40" s="51"/>
      <c r="G40" s="51"/>
      <c r="H40" s="51">
        <v>0.8</v>
      </c>
      <c r="I40" s="49">
        <f t="shared" si="1"/>
        <v>5.6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>
        <v>50</v>
      </c>
      <c r="B41" s="58">
        <v>121</v>
      </c>
      <c r="C41" s="58">
        <v>6</v>
      </c>
      <c r="D41" s="58">
        <v>14</v>
      </c>
      <c r="E41" s="51">
        <v>0.2</v>
      </c>
      <c r="F41" s="51"/>
      <c r="G41" s="51"/>
      <c r="H41" s="51">
        <v>0.8</v>
      </c>
      <c r="I41" s="53">
        <f t="shared" si="1"/>
        <v>5.6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>
        <v>55</v>
      </c>
      <c r="B42" s="58">
        <v>135</v>
      </c>
      <c r="C42" s="58">
        <v>7</v>
      </c>
      <c r="D42" s="58">
        <v>14</v>
      </c>
      <c r="E42" s="51">
        <v>0.3</v>
      </c>
      <c r="F42" s="51"/>
      <c r="G42" s="51"/>
      <c r="H42" s="51">
        <v>0.7</v>
      </c>
      <c r="I42" s="53">
        <f t="shared" si="1"/>
        <v>5.6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>
        <v>60</v>
      </c>
      <c r="B43" s="58">
        <v>148</v>
      </c>
      <c r="C43" s="58">
        <v>8</v>
      </c>
      <c r="D43" s="58">
        <v>14</v>
      </c>
      <c r="E43" s="51">
        <v>0.3</v>
      </c>
      <c r="F43" s="51"/>
      <c r="G43" s="51"/>
      <c r="H43" s="51">
        <v>0.7</v>
      </c>
      <c r="I43" s="49">
        <f t="shared" si="1"/>
        <v>5.4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>
        <v>65</v>
      </c>
      <c r="B44" s="58">
        <v>161</v>
      </c>
      <c r="C44" s="58">
        <v>9</v>
      </c>
      <c r="D44" s="58">
        <v>14</v>
      </c>
      <c r="E44" s="51">
        <v>0.4</v>
      </c>
      <c r="F44" s="51"/>
      <c r="G44" s="51"/>
      <c r="H44" s="51">
        <v>0.6</v>
      </c>
      <c r="I44" s="49">
        <f t="shared" si="1"/>
        <v>5.4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>
        <v>70</v>
      </c>
      <c r="B45" s="58">
        <v>172</v>
      </c>
      <c r="C45" s="58">
        <v>10</v>
      </c>
      <c r="D45" s="58">
        <v>14</v>
      </c>
      <c r="E45" s="51">
        <v>0.4</v>
      </c>
      <c r="F45" s="51"/>
      <c r="G45" s="51"/>
      <c r="H45" s="51">
        <v>0.6</v>
      </c>
      <c r="I45" s="49">
        <f t="shared" si="1"/>
        <v>5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>
        <v>75</v>
      </c>
      <c r="B46" s="58">
        <v>183</v>
      </c>
      <c r="C46" s="58">
        <v>11</v>
      </c>
      <c r="D46" s="58">
        <v>14</v>
      </c>
      <c r="E46" s="51">
        <v>0.5</v>
      </c>
      <c r="F46" s="51"/>
      <c r="G46" s="51"/>
      <c r="H46" s="51">
        <v>0.5</v>
      </c>
      <c r="I46" s="49">
        <f t="shared" si="1"/>
        <v>5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>
        <v>80</v>
      </c>
      <c r="B47" s="58">
        <v>192</v>
      </c>
      <c r="C47" s="58">
        <v>12</v>
      </c>
      <c r="D47" s="58">
        <v>14</v>
      </c>
      <c r="E47" s="51">
        <v>0.5</v>
      </c>
      <c r="F47" s="51"/>
      <c r="G47" s="51"/>
      <c r="H47" s="51">
        <v>0.5</v>
      </c>
      <c r="I47" s="49">
        <f t="shared" si="1"/>
        <v>4.5999999999999996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>
        <v>85</v>
      </c>
      <c r="B48" s="58">
        <v>200</v>
      </c>
      <c r="C48" s="58">
        <v>13</v>
      </c>
      <c r="D48" s="58">
        <v>14</v>
      </c>
      <c r="E48" s="51">
        <v>0.6</v>
      </c>
      <c r="F48" s="51"/>
      <c r="G48" s="51"/>
      <c r="H48" s="51">
        <v>0.4</v>
      </c>
      <c r="I48" s="49">
        <f t="shared" si="1"/>
        <v>4.4000000000000004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>
        <v>90</v>
      </c>
      <c r="B49" s="58">
        <v>207</v>
      </c>
      <c r="C49" s="58">
        <v>14</v>
      </c>
      <c r="D49" s="58">
        <v>14</v>
      </c>
      <c r="E49" s="51">
        <v>0.6</v>
      </c>
      <c r="F49" s="51"/>
      <c r="G49" s="51"/>
      <c r="H49" s="51">
        <v>0.4</v>
      </c>
      <c r="I49" s="49">
        <f t="shared" si="1"/>
        <v>4.2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>
        <v>95</v>
      </c>
      <c r="B50" s="50">
        <v>212</v>
      </c>
      <c r="C50" s="50">
        <v>15</v>
      </c>
      <c r="D50" s="50">
        <v>14</v>
      </c>
      <c r="E50" s="51">
        <v>0.7</v>
      </c>
      <c r="F50" s="51"/>
      <c r="G50" s="51"/>
      <c r="H50" s="51">
        <v>0.3</v>
      </c>
      <c r="I50" s="49">
        <f t="shared" si="1"/>
        <v>3.8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>
        <v>100</v>
      </c>
      <c r="B51" s="50">
        <v>216</v>
      </c>
      <c r="C51" s="50">
        <v>16</v>
      </c>
      <c r="D51" s="50">
        <v>14</v>
      </c>
      <c r="E51" s="51">
        <v>0.7</v>
      </c>
      <c r="F51" s="51"/>
      <c r="G51" s="51"/>
      <c r="H51" s="51">
        <v>0.3</v>
      </c>
      <c r="I51" s="49">
        <f t="shared" si="1"/>
        <v>3.6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>
        <v>105</v>
      </c>
      <c r="B52" s="50">
        <v>218</v>
      </c>
      <c r="C52" s="50">
        <v>17</v>
      </c>
      <c r="D52" s="50">
        <v>14</v>
      </c>
      <c r="E52" s="51">
        <v>0.7</v>
      </c>
      <c r="F52" s="51"/>
      <c r="G52" s="51"/>
      <c r="H52" s="51">
        <v>0.3</v>
      </c>
      <c r="I52" s="49">
        <f t="shared" si="1"/>
        <v>3.2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>
        <v>110</v>
      </c>
      <c r="B53" s="50">
        <v>219</v>
      </c>
      <c r="C53" s="50">
        <v>18</v>
      </c>
      <c r="D53" s="50">
        <v>13</v>
      </c>
      <c r="E53" s="51">
        <v>0.7</v>
      </c>
      <c r="F53" s="51"/>
      <c r="G53" s="51"/>
      <c r="H53" s="51">
        <v>0.3</v>
      </c>
      <c r="I53" s="49">
        <f t="shared" si="1"/>
        <v>3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>
        <v>115</v>
      </c>
      <c r="B54" s="50">
        <v>219</v>
      </c>
      <c r="C54" s="50">
        <v>19</v>
      </c>
      <c r="D54" s="50">
        <v>13</v>
      </c>
      <c r="E54" s="51">
        <v>0.7</v>
      </c>
      <c r="F54" s="51"/>
      <c r="G54" s="51"/>
      <c r="H54" s="51">
        <v>0.3</v>
      </c>
      <c r="I54" s="49">
        <f t="shared" si="1"/>
        <v>2.6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>
        <v>120</v>
      </c>
      <c r="B55" s="50">
        <v>221</v>
      </c>
      <c r="C55" s="50">
        <v>20</v>
      </c>
      <c r="D55" s="50">
        <v>221</v>
      </c>
      <c r="E55" s="51">
        <v>0.8</v>
      </c>
      <c r="F55" s="51"/>
      <c r="G55" s="51"/>
      <c r="H55" s="51">
        <v>0.2</v>
      </c>
      <c r="I55" s="49">
        <f t="shared" si="1"/>
        <v>3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>Chêne sessile</v>
      </c>
      <c r="D58" s="226" t="s">
        <v>307</v>
      </c>
      <c r="J58" s="23" t="s">
        <v>324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3" t="s">
        <v>185</v>
      </c>
      <c r="C60" s="256" t="s">
        <v>186</v>
      </c>
      <c r="D60" s="256"/>
      <c r="E60" s="257" t="s">
        <v>187</v>
      </c>
      <c r="F60" s="258"/>
      <c r="G60" s="258"/>
      <c r="H60" s="259"/>
      <c r="I60" s="93"/>
      <c r="J60" s="220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1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>
        <v>44</v>
      </c>
      <c r="B62" s="58">
        <v>190.75</v>
      </c>
      <c r="C62" s="58">
        <v>1</v>
      </c>
      <c r="D62" s="58">
        <v>74.010000000000005</v>
      </c>
      <c r="E62" s="51">
        <v>0.2</v>
      </c>
      <c r="F62" s="51"/>
      <c r="G62" s="51"/>
      <c r="H62" s="51">
        <v>0.8</v>
      </c>
      <c r="I62" s="53">
        <f>IFERROR(B62/A62,"")</f>
        <v>4.3352272727272725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>
        <v>47</v>
      </c>
      <c r="B63" s="58">
        <v>141.9</v>
      </c>
      <c r="C63" s="58"/>
      <c r="D63" s="58"/>
      <c r="E63" s="51"/>
      <c r="F63" s="51"/>
      <c r="G63" s="51"/>
      <c r="H63" s="51"/>
      <c r="I63" s="49">
        <f>IF(A63&lt;&gt;0,(B63-(B62-D62))/(A63-A62),"")</f>
        <v>8.3866666666666703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>
        <v>51</v>
      </c>
      <c r="B64" s="58">
        <v>179.02</v>
      </c>
      <c r="C64" s="58">
        <v>2</v>
      </c>
      <c r="D64" s="58">
        <v>46.13</v>
      </c>
      <c r="E64" s="51">
        <v>0.2</v>
      </c>
      <c r="F64" s="51"/>
      <c r="G64" s="51"/>
      <c r="H64" s="51">
        <v>0.8</v>
      </c>
      <c r="I64" s="49">
        <f>IF(A64&lt;&gt;0,(B64-(B63-D63))/(A64-A63),"")</f>
        <v>9.2800000000000011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>
        <v>54</v>
      </c>
      <c r="B65" s="58">
        <v>155.63999999999999</v>
      </c>
      <c r="C65" s="58"/>
      <c r="D65" s="58"/>
      <c r="E65" s="51"/>
      <c r="F65" s="51"/>
      <c r="G65" s="51"/>
      <c r="H65" s="51"/>
      <c r="I65" s="49">
        <f>IF(A65&lt;&gt;0,(B65-(B64-D64))/(A65-A64),"")</f>
        <v>7.5833333333333242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>
        <v>57</v>
      </c>
      <c r="B66" s="58">
        <v>181.56</v>
      </c>
      <c r="C66" s="58"/>
      <c r="D66" s="58"/>
      <c r="E66" s="51"/>
      <c r="F66" s="51"/>
      <c r="G66" s="51"/>
      <c r="H66" s="51"/>
      <c r="I66" s="49">
        <f t="shared" ref="I66:I81" si="2">IF(A66&lt;&gt;0,(B66-(B65-D65))/(A66-A65),"")</f>
        <v>8.6400000000000059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>
        <v>59</v>
      </c>
      <c r="B67" s="58">
        <v>199.19</v>
      </c>
      <c r="C67" s="58">
        <v>3</v>
      </c>
      <c r="D67" s="58">
        <v>48.96</v>
      </c>
      <c r="E67" s="51">
        <v>0.2</v>
      </c>
      <c r="F67" s="51"/>
      <c r="G67" s="51"/>
      <c r="H67" s="51">
        <v>0.8</v>
      </c>
      <c r="I67" s="49">
        <f t="shared" si="2"/>
        <v>8.8149999999999977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>
        <v>62</v>
      </c>
      <c r="B68" s="58">
        <v>171.64</v>
      </c>
      <c r="C68" s="58"/>
      <c r="D68" s="58"/>
      <c r="E68" s="51"/>
      <c r="F68" s="51"/>
      <c r="G68" s="51"/>
      <c r="H68" s="51"/>
      <c r="I68" s="49">
        <f t="shared" si="2"/>
        <v>7.1366666666666658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50">
        <v>67</v>
      </c>
      <c r="B69" s="50">
        <v>211.64</v>
      </c>
      <c r="C69" s="50">
        <v>4</v>
      </c>
      <c r="D69" s="50">
        <v>40.630000000000003</v>
      </c>
      <c r="E69" s="51">
        <v>0.3</v>
      </c>
      <c r="F69" s="51"/>
      <c r="G69" s="51"/>
      <c r="H69" s="51">
        <v>0.7</v>
      </c>
      <c r="I69" s="49">
        <f t="shared" si="2"/>
        <v>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>
        <v>75</v>
      </c>
      <c r="B70" s="50">
        <v>229.61</v>
      </c>
      <c r="C70" s="50">
        <v>5</v>
      </c>
      <c r="D70" s="50">
        <v>39.54</v>
      </c>
      <c r="E70" s="51">
        <v>0.3</v>
      </c>
      <c r="F70" s="51"/>
      <c r="G70" s="51"/>
      <c r="H70" s="51">
        <v>0.7</v>
      </c>
      <c r="I70" s="49">
        <f t="shared" si="2"/>
        <v>7.3250000000000028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>
        <v>84</v>
      </c>
      <c r="B71" s="50">
        <v>253.71</v>
      </c>
      <c r="C71" s="50">
        <v>6</v>
      </c>
      <c r="D71" s="50">
        <v>44.89</v>
      </c>
      <c r="E71" s="51">
        <v>0.4</v>
      </c>
      <c r="F71" s="51"/>
      <c r="G71" s="51"/>
      <c r="H71" s="51">
        <v>0.6</v>
      </c>
      <c r="I71" s="49">
        <f t="shared" si="2"/>
        <v>7.0711111111111098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>
        <v>90</v>
      </c>
      <c r="B72" s="50">
        <v>247.76</v>
      </c>
      <c r="C72" s="50"/>
      <c r="D72" s="50"/>
      <c r="E72" s="51"/>
      <c r="F72" s="51"/>
      <c r="G72" s="51"/>
      <c r="H72" s="51"/>
      <c r="I72" s="49">
        <f t="shared" si="2"/>
        <v>6.4899999999999993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>
        <v>93</v>
      </c>
      <c r="B73" s="50">
        <v>269.52</v>
      </c>
      <c r="C73" s="50">
        <v>7</v>
      </c>
      <c r="D73" s="50">
        <v>38.57</v>
      </c>
      <c r="E73" s="51">
        <v>0.4</v>
      </c>
      <c r="F73" s="51"/>
      <c r="G73" s="51"/>
      <c r="H73" s="51">
        <v>0.6</v>
      </c>
      <c r="I73" s="49">
        <f t="shared" si="2"/>
        <v>7.2533333333333303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>
        <v>103</v>
      </c>
      <c r="B74" s="50">
        <v>298.3</v>
      </c>
      <c r="C74" s="50">
        <v>8</v>
      </c>
      <c r="D74" s="50">
        <v>50.51</v>
      </c>
      <c r="E74" s="51">
        <v>0.5</v>
      </c>
      <c r="F74" s="51"/>
      <c r="G74" s="51"/>
      <c r="H74" s="51">
        <v>0.5</v>
      </c>
      <c r="I74" s="49">
        <f t="shared" si="2"/>
        <v>6.7350000000000021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>
        <v>113</v>
      </c>
      <c r="B75" s="50">
        <v>312.99</v>
      </c>
      <c r="C75" s="50">
        <v>9</v>
      </c>
      <c r="D75" s="50">
        <v>40.479999999999997</v>
      </c>
      <c r="E75" s="51">
        <v>0.5</v>
      </c>
      <c r="F75" s="51"/>
      <c r="G75" s="51"/>
      <c r="H75" s="51">
        <v>0.5</v>
      </c>
      <c r="I75" s="49">
        <f t="shared" si="2"/>
        <v>6.5199999999999987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>
        <v>125</v>
      </c>
      <c r="B76" s="50">
        <v>354.04</v>
      </c>
      <c r="C76" s="50">
        <v>10</v>
      </c>
      <c r="D76" s="50">
        <v>61.5</v>
      </c>
      <c r="E76" s="51">
        <v>0.6</v>
      </c>
      <c r="F76" s="51"/>
      <c r="G76" s="51"/>
      <c r="H76" s="51">
        <v>0.4</v>
      </c>
      <c r="I76" s="49">
        <f t="shared" si="2"/>
        <v>6.7941666666666691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>
        <v>137</v>
      </c>
      <c r="B77" s="50">
        <v>373.1</v>
      </c>
      <c r="C77" s="50">
        <v>11</v>
      </c>
      <c r="D77" s="50">
        <v>65.53</v>
      </c>
      <c r="E77" s="51">
        <v>0.7</v>
      </c>
      <c r="F77" s="51"/>
      <c r="G77" s="51"/>
      <c r="H77" s="51">
        <v>0.3</v>
      </c>
      <c r="I77" s="49">
        <f t="shared" si="2"/>
        <v>6.7133333333333338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>
        <v>149</v>
      </c>
      <c r="B78" s="50">
        <v>385.84</v>
      </c>
      <c r="C78" s="50">
        <v>12</v>
      </c>
      <c r="D78" s="50">
        <v>153.56</v>
      </c>
      <c r="E78" s="51">
        <v>0.7</v>
      </c>
      <c r="F78" s="51"/>
      <c r="G78" s="51"/>
      <c r="H78" s="51">
        <v>0.3</v>
      </c>
      <c r="I78" s="49">
        <f t="shared" si="2"/>
        <v>6.5224999999999937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>
        <v>153</v>
      </c>
      <c r="B79" s="50">
        <v>247.84</v>
      </c>
      <c r="C79" s="50">
        <v>13</v>
      </c>
      <c r="D79" s="50">
        <v>89.29</v>
      </c>
      <c r="E79" s="51">
        <v>0.7</v>
      </c>
      <c r="F79" s="51"/>
      <c r="G79" s="51"/>
      <c r="H79" s="51">
        <v>0.3</v>
      </c>
      <c r="I79" s="49">
        <f t="shared" si="2"/>
        <v>3.8900000000000077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>
        <v>157</v>
      </c>
      <c r="B80" s="50">
        <v>167.77</v>
      </c>
      <c r="C80" s="50">
        <v>14</v>
      </c>
      <c r="D80" s="50">
        <v>57.95</v>
      </c>
      <c r="E80" s="51">
        <v>0.7</v>
      </c>
      <c r="F80" s="51"/>
      <c r="G80" s="51"/>
      <c r="H80" s="51">
        <v>0.3</v>
      </c>
      <c r="I80" s="49">
        <f t="shared" si="2"/>
        <v>2.3049999999999997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>
        <v>161</v>
      </c>
      <c r="B81" s="50">
        <v>115.43</v>
      </c>
      <c r="C81" s="50">
        <v>15</v>
      </c>
      <c r="D81" s="50">
        <v>115.43</v>
      </c>
      <c r="E81" s="51">
        <v>0.8</v>
      </c>
      <c r="F81" s="51"/>
      <c r="G81" s="51"/>
      <c r="H81" s="51">
        <v>0.2</v>
      </c>
      <c r="I81" s="49">
        <f t="shared" si="2"/>
        <v>1.4024999999999999</v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>Châtaignier</v>
      </c>
      <c r="D84" s="226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4"/>
      <c r="J85" s="23" t="s">
        <v>327</v>
      </c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3" t="s">
        <v>185</v>
      </c>
      <c r="C86" s="256" t="s">
        <v>186</v>
      </c>
      <c r="D86" s="256"/>
      <c r="E86" s="257" t="s">
        <v>187</v>
      </c>
      <c r="F86" s="258"/>
      <c r="G86" s="258"/>
      <c r="H86" s="259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>
        <v>10</v>
      </c>
      <c r="B88" s="58">
        <v>11</v>
      </c>
      <c r="C88" s="58">
        <v>1</v>
      </c>
      <c r="D88" s="58">
        <v>0</v>
      </c>
      <c r="E88" s="51">
        <v>0</v>
      </c>
      <c r="F88" s="51"/>
      <c r="G88" s="51"/>
      <c r="H88" s="85">
        <v>1</v>
      </c>
      <c r="I88" s="53">
        <f>IFERROR(B88/A88,"")</f>
        <v>1.1000000000000001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>
        <v>15</v>
      </c>
      <c r="B89" s="58">
        <v>65</v>
      </c>
      <c r="C89" s="58">
        <v>2</v>
      </c>
      <c r="D89" s="58">
        <v>32</v>
      </c>
      <c r="E89" s="51">
        <v>0.2</v>
      </c>
      <c r="F89" s="51"/>
      <c r="G89" s="51"/>
      <c r="H89" s="85">
        <v>0.8</v>
      </c>
      <c r="I89" s="53">
        <f t="shared" ref="I89:I107" si="3">IF(A89&lt;&gt;0,(B89-(B88-D88))/(A89-A88),"")</f>
        <v>10.8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>
        <v>20</v>
      </c>
      <c r="B90" s="58">
        <v>102</v>
      </c>
      <c r="C90" s="58">
        <v>3</v>
      </c>
      <c r="D90" s="58">
        <v>35</v>
      </c>
      <c r="E90" s="85">
        <v>0.2</v>
      </c>
      <c r="F90" s="85"/>
      <c r="G90" s="85"/>
      <c r="H90" s="85">
        <v>0.8</v>
      </c>
      <c r="I90" s="53">
        <f t="shared" si="3"/>
        <v>13.8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>
        <v>25</v>
      </c>
      <c r="B91" s="58">
        <v>141</v>
      </c>
      <c r="C91" s="58">
        <v>4</v>
      </c>
      <c r="D91" s="58">
        <v>35</v>
      </c>
      <c r="E91" s="85">
        <v>0.3</v>
      </c>
      <c r="F91" s="85"/>
      <c r="G91" s="85"/>
      <c r="H91" s="85">
        <v>0.7</v>
      </c>
      <c r="I91" s="53">
        <f t="shared" si="3"/>
        <v>14.8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0">
        <v>30</v>
      </c>
      <c r="B92" s="58">
        <v>177</v>
      </c>
      <c r="C92" s="58">
        <v>5</v>
      </c>
      <c r="D92" s="58">
        <v>35</v>
      </c>
      <c r="E92" s="85">
        <v>0.3</v>
      </c>
      <c r="F92" s="85"/>
      <c r="G92" s="85"/>
      <c r="H92" s="85">
        <v>0.7</v>
      </c>
      <c r="I92" s="53">
        <f t="shared" si="3"/>
        <v>14.2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0">
        <v>35</v>
      </c>
      <c r="B93" s="58">
        <v>206</v>
      </c>
      <c r="C93" s="58">
        <v>6</v>
      </c>
      <c r="D93" s="58">
        <v>35</v>
      </c>
      <c r="E93" s="85">
        <v>0.4</v>
      </c>
      <c r="F93" s="85"/>
      <c r="G93" s="85"/>
      <c r="H93" s="85">
        <v>0.6</v>
      </c>
      <c r="I93" s="53">
        <f t="shared" si="3"/>
        <v>12.8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0">
        <v>40</v>
      </c>
      <c r="B94" s="58">
        <v>228</v>
      </c>
      <c r="C94" s="58">
        <v>7</v>
      </c>
      <c r="D94" s="58">
        <v>35</v>
      </c>
      <c r="E94" s="85">
        <v>0.4</v>
      </c>
      <c r="F94" s="85"/>
      <c r="G94" s="85"/>
      <c r="H94" s="85">
        <v>0.6</v>
      </c>
      <c r="I94" s="53">
        <f t="shared" si="3"/>
        <v>11.4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58">
        <v>45</v>
      </c>
      <c r="B95" s="58">
        <v>242</v>
      </c>
      <c r="C95" s="58">
        <v>8</v>
      </c>
      <c r="D95" s="58">
        <v>24</v>
      </c>
      <c r="E95" s="85">
        <v>0.5</v>
      </c>
      <c r="F95" s="85"/>
      <c r="G95" s="85"/>
      <c r="H95" s="85">
        <v>0.5</v>
      </c>
      <c r="I95" s="53">
        <f t="shared" si="3"/>
        <v>9.8000000000000007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58">
        <v>50</v>
      </c>
      <c r="B96" s="58">
        <v>261</v>
      </c>
      <c r="C96" s="58">
        <v>9</v>
      </c>
      <c r="D96" s="58">
        <v>19</v>
      </c>
      <c r="E96" s="85">
        <v>0.5</v>
      </c>
      <c r="F96" s="85"/>
      <c r="G96" s="85"/>
      <c r="H96" s="85">
        <v>0.5</v>
      </c>
      <c r="I96" s="53">
        <f t="shared" si="3"/>
        <v>8.6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58">
        <v>55</v>
      </c>
      <c r="B97" s="58">
        <v>279</v>
      </c>
      <c r="C97" s="58">
        <v>10</v>
      </c>
      <c r="D97" s="58">
        <v>16</v>
      </c>
      <c r="E97" s="85">
        <v>0.6</v>
      </c>
      <c r="F97" s="85"/>
      <c r="G97" s="85"/>
      <c r="H97" s="85">
        <v>0.4</v>
      </c>
      <c r="I97" s="53">
        <f t="shared" si="3"/>
        <v>7.4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58">
        <v>60</v>
      </c>
      <c r="B98" s="58">
        <v>294</v>
      </c>
      <c r="C98" s="58">
        <v>11</v>
      </c>
      <c r="D98" s="58">
        <v>14</v>
      </c>
      <c r="E98" s="85">
        <v>0.6</v>
      </c>
      <c r="F98" s="85"/>
      <c r="G98" s="85"/>
      <c r="H98" s="85">
        <v>0.4</v>
      </c>
      <c r="I98" s="53">
        <f t="shared" si="3"/>
        <v>6.2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58">
        <v>65</v>
      </c>
      <c r="B99" s="58">
        <v>306</v>
      </c>
      <c r="C99" s="58">
        <v>12</v>
      </c>
      <c r="D99" s="58">
        <v>13</v>
      </c>
      <c r="E99" s="85">
        <v>0.7</v>
      </c>
      <c r="F99" s="85"/>
      <c r="G99" s="85"/>
      <c r="H99" s="85">
        <v>0.3</v>
      </c>
      <c r="I99" s="53">
        <f t="shared" si="3"/>
        <v>5.2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58">
        <v>70</v>
      </c>
      <c r="B100" s="58">
        <v>316</v>
      </c>
      <c r="C100" s="58">
        <v>13</v>
      </c>
      <c r="D100" s="58">
        <v>13</v>
      </c>
      <c r="E100" s="63">
        <v>0.7</v>
      </c>
      <c r="F100" s="63"/>
      <c r="G100" s="63"/>
      <c r="H100" s="63">
        <v>0.3</v>
      </c>
      <c r="I100" s="53">
        <f t="shared" si="3"/>
        <v>4.5999999999999996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58">
        <v>75</v>
      </c>
      <c r="B101" s="58">
        <v>324</v>
      </c>
      <c r="C101" s="58">
        <v>14</v>
      </c>
      <c r="D101" s="58">
        <v>12</v>
      </c>
      <c r="E101" s="63">
        <v>0.8</v>
      </c>
      <c r="F101" s="63"/>
      <c r="G101" s="63"/>
      <c r="H101" s="63">
        <v>0.2</v>
      </c>
      <c r="I101" s="53">
        <f t="shared" si="3"/>
        <v>4.2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58">
        <v>80</v>
      </c>
      <c r="B102" s="50">
        <v>330</v>
      </c>
      <c r="C102" s="58">
        <v>15</v>
      </c>
      <c r="D102" s="50">
        <v>330</v>
      </c>
      <c r="E102" s="54">
        <v>0.8</v>
      </c>
      <c r="F102" s="54"/>
      <c r="G102" s="54"/>
      <c r="H102" s="54">
        <v>0.2</v>
      </c>
      <c r="I102" s="53">
        <f t="shared" si="3"/>
        <v>3.6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58"/>
      <c r="B103" s="50"/>
      <c r="C103" s="58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58"/>
      <c r="B104" s="50"/>
      <c r="C104" s="58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>Charme</v>
      </c>
      <c r="D110" s="226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3" t="s">
        <v>185</v>
      </c>
      <c r="C112" s="256" t="s">
        <v>186</v>
      </c>
      <c r="D112" s="256"/>
      <c r="E112" s="257" t="s">
        <v>187</v>
      </c>
      <c r="F112" s="258"/>
      <c r="G112" s="258"/>
      <c r="H112" s="259"/>
      <c r="I112" s="93"/>
      <c r="J112" s="23" t="s">
        <v>332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50">
        <v>25</v>
      </c>
      <c r="B114" s="58">
        <v>101</v>
      </c>
      <c r="C114" s="50">
        <v>1</v>
      </c>
      <c r="D114" s="58">
        <v>13</v>
      </c>
      <c r="E114" s="51">
        <v>0</v>
      </c>
      <c r="F114" s="51"/>
      <c r="G114" s="51"/>
      <c r="H114" s="51">
        <v>1</v>
      </c>
      <c r="I114" s="53">
        <f>IFERROR(B114/A114,"")</f>
        <v>4.04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>
        <v>30</v>
      </c>
      <c r="B115" s="58">
        <v>161</v>
      </c>
      <c r="C115" s="50">
        <v>2</v>
      </c>
      <c r="D115" s="58">
        <v>21</v>
      </c>
      <c r="E115" s="51">
        <v>0</v>
      </c>
      <c r="F115" s="51"/>
      <c r="G115" s="51"/>
      <c r="H115" s="51">
        <v>1</v>
      </c>
      <c r="I115" s="53">
        <f t="shared" ref="I115:I133" si="4">IF(A115&lt;&gt;0,(B115-(B114-D114))/(A115-A114),"")</f>
        <v>14.6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>
        <v>35</v>
      </c>
      <c r="B116" s="58">
        <v>200</v>
      </c>
      <c r="C116" s="50">
        <v>3</v>
      </c>
      <c r="D116" s="58">
        <v>26</v>
      </c>
      <c r="E116" s="51">
        <v>0.2</v>
      </c>
      <c r="F116" s="51"/>
      <c r="G116" s="51"/>
      <c r="H116" s="51">
        <v>0.8</v>
      </c>
      <c r="I116" s="53">
        <f t="shared" si="4"/>
        <v>12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>
        <v>40</v>
      </c>
      <c r="B117" s="58">
        <v>227</v>
      </c>
      <c r="C117" s="50">
        <v>4</v>
      </c>
      <c r="D117" s="58">
        <v>29</v>
      </c>
      <c r="E117" s="51">
        <v>0.2</v>
      </c>
      <c r="F117" s="51"/>
      <c r="G117" s="51"/>
      <c r="H117" s="51">
        <v>0.8</v>
      </c>
      <c r="I117" s="53">
        <f t="shared" si="4"/>
        <v>10.6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50">
        <v>45</v>
      </c>
      <c r="B118" s="58">
        <v>247</v>
      </c>
      <c r="C118" s="50">
        <v>5</v>
      </c>
      <c r="D118" s="58">
        <v>31</v>
      </c>
      <c r="E118" s="51">
        <v>0.2</v>
      </c>
      <c r="F118" s="51"/>
      <c r="G118" s="51"/>
      <c r="H118" s="51">
        <v>0.8</v>
      </c>
      <c r="I118" s="53">
        <f t="shared" si="4"/>
        <v>9.8000000000000007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50">
        <v>50</v>
      </c>
      <c r="B119" s="58">
        <v>263</v>
      </c>
      <c r="C119" s="50">
        <v>6</v>
      </c>
      <c r="D119" s="58">
        <v>32</v>
      </c>
      <c r="E119" s="51">
        <v>0.3</v>
      </c>
      <c r="F119" s="51"/>
      <c r="G119" s="51"/>
      <c r="H119" s="51">
        <v>0.7</v>
      </c>
      <c r="I119" s="53">
        <f t="shared" si="4"/>
        <v>9.4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58">
        <v>55</v>
      </c>
      <c r="B120" s="58">
        <v>274</v>
      </c>
      <c r="C120" s="58">
        <v>7</v>
      </c>
      <c r="D120" s="58">
        <v>33</v>
      </c>
      <c r="E120" s="85">
        <v>0.4</v>
      </c>
      <c r="F120" s="85"/>
      <c r="G120" s="85"/>
      <c r="H120" s="85">
        <v>0.6</v>
      </c>
      <c r="I120" s="53">
        <f t="shared" si="4"/>
        <v>8.6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58">
        <v>60</v>
      </c>
      <c r="B121" s="58">
        <v>284</v>
      </c>
      <c r="C121" s="58">
        <v>8</v>
      </c>
      <c r="D121" s="58">
        <v>33</v>
      </c>
      <c r="E121" s="85">
        <v>0.4</v>
      </c>
      <c r="F121" s="85"/>
      <c r="G121" s="85"/>
      <c r="H121" s="85">
        <v>0.6</v>
      </c>
      <c r="I121" s="53">
        <f t="shared" si="4"/>
        <v>8.6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58">
        <v>65</v>
      </c>
      <c r="B122" s="58">
        <v>292</v>
      </c>
      <c r="C122" s="58">
        <v>9</v>
      </c>
      <c r="D122" s="58">
        <v>33</v>
      </c>
      <c r="E122" s="85">
        <v>0.5</v>
      </c>
      <c r="F122" s="85"/>
      <c r="G122" s="85"/>
      <c r="H122" s="85">
        <v>0.5</v>
      </c>
      <c r="I122" s="53">
        <f t="shared" si="4"/>
        <v>8.1999999999999993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58">
        <v>70</v>
      </c>
      <c r="B123" s="58">
        <v>298</v>
      </c>
      <c r="C123" s="58">
        <v>10</v>
      </c>
      <c r="D123" s="58">
        <v>33</v>
      </c>
      <c r="E123" s="85">
        <v>0.5</v>
      </c>
      <c r="F123" s="85"/>
      <c r="G123" s="85"/>
      <c r="H123" s="85">
        <v>0.5</v>
      </c>
      <c r="I123" s="53">
        <f t="shared" si="4"/>
        <v>7.8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58">
        <v>75</v>
      </c>
      <c r="B124" s="58">
        <v>303</v>
      </c>
      <c r="C124" s="58">
        <v>11</v>
      </c>
      <c r="D124" s="58">
        <v>33</v>
      </c>
      <c r="E124" s="85">
        <v>0.6</v>
      </c>
      <c r="F124" s="85"/>
      <c r="G124" s="85"/>
      <c r="H124" s="85">
        <v>0.4</v>
      </c>
      <c r="I124" s="53">
        <f t="shared" si="4"/>
        <v>7.6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58">
        <v>80</v>
      </c>
      <c r="B125" s="58">
        <v>308</v>
      </c>
      <c r="C125" s="58">
        <v>12</v>
      </c>
      <c r="D125" s="58">
        <v>32</v>
      </c>
      <c r="E125" s="85">
        <v>0.7</v>
      </c>
      <c r="F125" s="85"/>
      <c r="G125" s="85"/>
      <c r="H125" s="85">
        <v>0.3</v>
      </c>
      <c r="I125" s="53">
        <f t="shared" si="4"/>
        <v>7.6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58">
        <v>85</v>
      </c>
      <c r="B126" s="58">
        <v>311</v>
      </c>
      <c r="C126" s="58">
        <v>13</v>
      </c>
      <c r="D126" s="58">
        <v>32</v>
      </c>
      <c r="E126" s="63">
        <v>0.7</v>
      </c>
      <c r="F126" s="63"/>
      <c r="G126" s="63"/>
      <c r="H126" s="63">
        <v>0.3</v>
      </c>
      <c r="I126" s="53">
        <f t="shared" si="4"/>
        <v>7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58">
        <v>90</v>
      </c>
      <c r="B127" s="58">
        <v>314</v>
      </c>
      <c r="C127" s="58">
        <v>14</v>
      </c>
      <c r="D127" s="58">
        <v>31</v>
      </c>
      <c r="E127" s="63">
        <v>0.7</v>
      </c>
      <c r="F127" s="63"/>
      <c r="G127" s="63"/>
      <c r="H127" s="63">
        <v>0.3</v>
      </c>
      <c r="I127" s="53">
        <f t="shared" si="4"/>
        <v>7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>
        <v>95</v>
      </c>
      <c r="B128" s="50">
        <v>317</v>
      </c>
      <c r="C128" s="50">
        <v>15</v>
      </c>
      <c r="D128" s="50">
        <v>31</v>
      </c>
      <c r="E128" s="54">
        <v>0.7</v>
      </c>
      <c r="F128" s="54"/>
      <c r="G128" s="54"/>
      <c r="H128" s="54">
        <v>0.3</v>
      </c>
      <c r="I128" s="53">
        <f t="shared" si="4"/>
        <v>6.8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>
        <v>100</v>
      </c>
      <c r="B129" s="50">
        <v>319</v>
      </c>
      <c r="C129" s="50">
        <v>16</v>
      </c>
      <c r="D129" s="50">
        <v>30</v>
      </c>
      <c r="E129" s="54">
        <v>0.8</v>
      </c>
      <c r="F129" s="54"/>
      <c r="G129" s="54"/>
      <c r="H129" s="54">
        <v>0.2</v>
      </c>
      <c r="I129" s="53">
        <f t="shared" si="4"/>
        <v>6.6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>
        <v>105</v>
      </c>
      <c r="B130" s="50">
        <v>320</v>
      </c>
      <c r="C130" s="50">
        <v>17</v>
      </c>
      <c r="D130" s="50">
        <v>29</v>
      </c>
      <c r="E130" s="54">
        <v>0.8</v>
      </c>
      <c r="F130" s="54"/>
      <c r="G130" s="54"/>
      <c r="H130" s="54">
        <v>0.2</v>
      </c>
      <c r="I130" s="53">
        <f t="shared" si="4"/>
        <v>6.2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>
        <v>110</v>
      </c>
      <c r="B131" s="50">
        <v>322</v>
      </c>
      <c r="C131" s="50">
        <v>18</v>
      </c>
      <c r="D131" s="50">
        <v>27</v>
      </c>
      <c r="E131" s="54">
        <v>0.8</v>
      </c>
      <c r="F131" s="54"/>
      <c r="G131" s="54"/>
      <c r="H131" s="54">
        <v>0.2</v>
      </c>
      <c r="I131" s="53">
        <f t="shared" si="4"/>
        <v>6.2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>
        <v>115</v>
      </c>
      <c r="B132" s="50">
        <v>323</v>
      </c>
      <c r="C132" s="50">
        <v>19</v>
      </c>
      <c r="D132" s="50">
        <v>26</v>
      </c>
      <c r="E132" s="54">
        <v>0.8</v>
      </c>
      <c r="F132" s="54"/>
      <c r="G132" s="54"/>
      <c r="H132" s="54">
        <v>0.2</v>
      </c>
      <c r="I132" s="53">
        <f t="shared" si="4"/>
        <v>5.6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>
        <v>120</v>
      </c>
      <c r="B133" s="50">
        <v>324</v>
      </c>
      <c r="C133" s="50">
        <v>20</v>
      </c>
      <c r="D133" s="50">
        <v>324</v>
      </c>
      <c r="E133" s="54">
        <v>0.8</v>
      </c>
      <c r="F133" s="54"/>
      <c r="G133" s="54"/>
      <c r="H133" s="54">
        <v>0.2</v>
      </c>
      <c r="I133" s="53">
        <f t="shared" si="4"/>
        <v>5.4</v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>Tilleul</v>
      </c>
      <c r="D136" s="226" t="s">
        <v>307</v>
      </c>
      <c r="J136" s="23" t="s">
        <v>325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3" t="s">
        <v>185</v>
      </c>
      <c r="C138" s="256" t="s">
        <v>186</v>
      </c>
      <c r="D138" s="256"/>
      <c r="E138" s="257" t="s">
        <v>187</v>
      </c>
      <c r="F138" s="258"/>
      <c r="G138" s="258"/>
      <c r="H138" s="259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>
        <v>44</v>
      </c>
      <c r="B140" s="58">
        <v>190.75</v>
      </c>
      <c r="C140" s="58">
        <v>1</v>
      </c>
      <c r="D140" s="58">
        <v>74.010000000000005</v>
      </c>
      <c r="E140" s="51">
        <v>0.2</v>
      </c>
      <c r="F140" s="51"/>
      <c r="G140" s="51"/>
      <c r="H140" s="51">
        <v>0.8</v>
      </c>
      <c r="I140" s="56">
        <f>IFERROR(B140/A140,"")</f>
        <v>4.3352272727272725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>
        <v>47</v>
      </c>
      <c r="B141" s="58">
        <v>141.9</v>
      </c>
      <c r="C141" s="58"/>
      <c r="D141" s="58"/>
      <c r="E141" s="51"/>
      <c r="F141" s="51"/>
      <c r="G141" s="51"/>
      <c r="H141" s="51"/>
      <c r="I141" s="56">
        <f>IF(A141&lt;&gt;0,(B141-(B140-D140))/(A141-A140),"")</f>
        <v>8.3866666666666703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>
        <v>51</v>
      </c>
      <c r="B142" s="58">
        <v>179.02</v>
      </c>
      <c r="C142" s="58">
        <v>2</v>
      </c>
      <c r="D142" s="58">
        <v>46.13</v>
      </c>
      <c r="E142" s="51">
        <v>0.2</v>
      </c>
      <c r="F142" s="51"/>
      <c r="G142" s="51"/>
      <c r="H142" s="51">
        <v>0.8</v>
      </c>
      <c r="I142" s="56">
        <f>IF(A142&lt;&gt;0,(B142-(B141-D141))/(A142-A141),"")</f>
        <v>9.2800000000000011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>
        <v>54</v>
      </c>
      <c r="B143" s="58">
        <v>155.63999999999999</v>
      </c>
      <c r="C143" s="58"/>
      <c r="D143" s="58"/>
      <c r="E143" s="51"/>
      <c r="F143" s="51"/>
      <c r="G143" s="51"/>
      <c r="H143" s="51"/>
      <c r="I143" s="56">
        <f t="shared" ref="I143:I159" si="5">IF(A143&lt;&gt;0,(B143-(B142-D142))/(A143-A142),"")</f>
        <v>7.5833333333333242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>
        <v>57</v>
      </c>
      <c r="B144" s="58">
        <v>181.56</v>
      </c>
      <c r="C144" s="58"/>
      <c r="D144" s="58"/>
      <c r="E144" s="51"/>
      <c r="F144" s="51"/>
      <c r="G144" s="51"/>
      <c r="H144" s="51"/>
      <c r="I144" s="56">
        <f t="shared" si="5"/>
        <v>8.6400000000000059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>
        <v>59</v>
      </c>
      <c r="B145" s="58">
        <v>199.19</v>
      </c>
      <c r="C145" s="58">
        <v>3</v>
      </c>
      <c r="D145" s="58">
        <v>48.96</v>
      </c>
      <c r="E145" s="51">
        <v>0.2</v>
      </c>
      <c r="F145" s="51"/>
      <c r="G145" s="51"/>
      <c r="H145" s="51">
        <v>0.8</v>
      </c>
      <c r="I145" s="56">
        <f t="shared" si="5"/>
        <v>8.8149999999999977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>
        <v>62</v>
      </c>
      <c r="B146" s="58">
        <v>171.64</v>
      </c>
      <c r="C146" s="58"/>
      <c r="D146" s="58"/>
      <c r="E146" s="51"/>
      <c r="F146" s="51"/>
      <c r="G146" s="51"/>
      <c r="H146" s="51"/>
      <c r="I146" s="56">
        <f t="shared" si="5"/>
        <v>7.1366666666666658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>
        <v>67</v>
      </c>
      <c r="B147" s="50">
        <v>211.64</v>
      </c>
      <c r="C147" s="50">
        <v>4</v>
      </c>
      <c r="D147" s="50">
        <v>40.630000000000003</v>
      </c>
      <c r="E147" s="51">
        <v>0.3</v>
      </c>
      <c r="F147" s="51"/>
      <c r="G147" s="51"/>
      <c r="H147" s="51">
        <v>0.7</v>
      </c>
      <c r="I147" s="56">
        <f>IF(A147&lt;&gt;0,(B147-(B146-D146))/(A147-A146),"")</f>
        <v>8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>
        <v>75</v>
      </c>
      <c r="B148" s="50">
        <v>229.61</v>
      </c>
      <c r="C148" s="50">
        <v>5</v>
      </c>
      <c r="D148" s="50">
        <v>39.54</v>
      </c>
      <c r="E148" s="51">
        <v>0.3</v>
      </c>
      <c r="F148" s="51"/>
      <c r="G148" s="51"/>
      <c r="H148" s="51">
        <v>0.7</v>
      </c>
      <c r="I148" s="56">
        <f t="shared" si="5"/>
        <v>7.3250000000000028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>
        <v>84</v>
      </c>
      <c r="B149" s="50">
        <v>253.71</v>
      </c>
      <c r="C149" s="50">
        <v>6</v>
      </c>
      <c r="D149" s="50">
        <v>44.89</v>
      </c>
      <c r="E149" s="51">
        <v>0.4</v>
      </c>
      <c r="F149" s="51"/>
      <c r="G149" s="51"/>
      <c r="H149" s="51">
        <v>0.6</v>
      </c>
      <c r="I149" s="56">
        <f t="shared" si="5"/>
        <v>7.0711111111111098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>
        <v>90</v>
      </c>
      <c r="B150" s="50">
        <v>247.76</v>
      </c>
      <c r="C150" s="50"/>
      <c r="D150" s="50"/>
      <c r="E150" s="51"/>
      <c r="F150" s="51"/>
      <c r="G150" s="51"/>
      <c r="H150" s="51"/>
      <c r="I150" s="56">
        <f t="shared" si="5"/>
        <v>6.4899999999999993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>
        <v>93</v>
      </c>
      <c r="B151" s="50">
        <v>269.52</v>
      </c>
      <c r="C151" s="50">
        <v>7</v>
      </c>
      <c r="D151" s="50">
        <v>38.57</v>
      </c>
      <c r="E151" s="51">
        <v>0.4</v>
      </c>
      <c r="F151" s="51"/>
      <c r="G151" s="51"/>
      <c r="H151" s="51">
        <v>0.6</v>
      </c>
      <c r="I151" s="56">
        <f t="shared" si="5"/>
        <v>7.2533333333333303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>
        <v>103</v>
      </c>
      <c r="B152" s="50">
        <v>298.3</v>
      </c>
      <c r="C152" s="50">
        <v>8</v>
      </c>
      <c r="D152" s="50">
        <v>50.51</v>
      </c>
      <c r="E152" s="51">
        <v>0.5</v>
      </c>
      <c r="F152" s="51"/>
      <c r="G152" s="51"/>
      <c r="H152" s="51">
        <v>0.5</v>
      </c>
      <c r="I152" s="56">
        <f t="shared" si="5"/>
        <v>6.7350000000000021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>
        <v>113</v>
      </c>
      <c r="B153" s="50">
        <v>312.99</v>
      </c>
      <c r="C153" s="50">
        <v>9</v>
      </c>
      <c r="D153" s="50">
        <v>40.479999999999997</v>
      </c>
      <c r="E153" s="51">
        <v>0.5</v>
      </c>
      <c r="F153" s="51"/>
      <c r="G153" s="51"/>
      <c r="H153" s="51">
        <v>0.5</v>
      </c>
      <c r="I153" s="56">
        <f t="shared" si="5"/>
        <v>6.5199999999999987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0">
        <v>125</v>
      </c>
      <c r="B154" s="50">
        <v>354.04</v>
      </c>
      <c r="C154" s="50">
        <v>10</v>
      </c>
      <c r="D154" s="50">
        <v>61.5</v>
      </c>
      <c r="E154" s="51">
        <v>0.6</v>
      </c>
      <c r="F154" s="51"/>
      <c r="G154" s="51"/>
      <c r="H154" s="51">
        <v>0.4</v>
      </c>
      <c r="I154" s="56">
        <f t="shared" si="5"/>
        <v>6.7941666666666691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0">
        <v>137</v>
      </c>
      <c r="B155" s="50">
        <v>373.1</v>
      </c>
      <c r="C155" s="50">
        <v>11</v>
      </c>
      <c r="D155" s="50">
        <v>65.53</v>
      </c>
      <c r="E155" s="51">
        <v>0.7</v>
      </c>
      <c r="F155" s="51"/>
      <c r="G155" s="51"/>
      <c r="H155" s="51">
        <v>0.3</v>
      </c>
      <c r="I155" s="56">
        <f t="shared" si="5"/>
        <v>6.7133333333333338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0">
        <v>149</v>
      </c>
      <c r="B156" s="50">
        <v>385.84</v>
      </c>
      <c r="C156" s="50">
        <v>12</v>
      </c>
      <c r="D156" s="50">
        <v>153.56</v>
      </c>
      <c r="E156" s="51">
        <v>0.7</v>
      </c>
      <c r="F156" s="51"/>
      <c r="G156" s="51"/>
      <c r="H156" s="51">
        <v>0.3</v>
      </c>
      <c r="I156" s="56">
        <f t="shared" si="5"/>
        <v>6.5224999999999937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0">
        <v>153</v>
      </c>
      <c r="B157" s="50">
        <v>247.84</v>
      </c>
      <c r="C157" s="50">
        <v>13</v>
      </c>
      <c r="D157" s="50">
        <v>89.29</v>
      </c>
      <c r="E157" s="51">
        <v>0.7</v>
      </c>
      <c r="F157" s="51"/>
      <c r="G157" s="51"/>
      <c r="H157" s="51">
        <v>0.3</v>
      </c>
      <c r="I157" s="56">
        <f t="shared" si="5"/>
        <v>3.8900000000000077</v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0">
        <v>157</v>
      </c>
      <c r="B158" s="50">
        <v>167.77</v>
      </c>
      <c r="C158" s="50">
        <v>14</v>
      </c>
      <c r="D158" s="50">
        <v>57.95</v>
      </c>
      <c r="E158" s="51">
        <v>0.7</v>
      </c>
      <c r="F158" s="51"/>
      <c r="G158" s="51"/>
      <c r="H158" s="51">
        <v>0.3</v>
      </c>
      <c r="I158" s="56">
        <f t="shared" si="5"/>
        <v>2.3049999999999997</v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0">
        <v>161</v>
      </c>
      <c r="B159" s="50">
        <v>115.43</v>
      </c>
      <c r="C159" s="50">
        <v>15</v>
      </c>
      <c r="D159" s="50">
        <v>115.43</v>
      </c>
      <c r="E159" s="51">
        <v>0.8</v>
      </c>
      <c r="F159" s="51"/>
      <c r="G159" s="51"/>
      <c r="H159" s="51">
        <v>0.2</v>
      </c>
      <c r="I159" s="56">
        <f t="shared" si="5"/>
        <v>1.4024999999999999</v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>Aulne à feuilles en cœur</v>
      </c>
      <c r="D162" s="226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4"/>
      <c r="J163" s="23" t="s">
        <v>328</v>
      </c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3" t="s">
        <v>185</v>
      </c>
      <c r="C164" s="256" t="s">
        <v>186</v>
      </c>
      <c r="D164" s="256"/>
      <c r="E164" s="257" t="s">
        <v>187</v>
      </c>
      <c r="F164" s="258"/>
      <c r="G164" s="258"/>
      <c r="H164" s="259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>
        <v>10</v>
      </c>
      <c r="B166" s="58">
        <v>14</v>
      </c>
      <c r="C166" s="58">
        <v>1</v>
      </c>
      <c r="D166" s="58">
        <v>1</v>
      </c>
      <c r="E166" s="51">
        <v>0</v>
      </c>
      <c r="F166" s="51"/>
      <c r="G166" s="51"/>
      <c r="H166" s="51">
        <v>1</v>
      </c>
      <c r="I166" s="49">
        <f>IFERROR(B166/A166,"")</f>
        <v>1.4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>
        <v>15</v>
      </c>
      <c r="B167" s="58">
        <v>52</v>
      </c>
      <c r="C167" s="58">
        <v>2</v>
      </c>
      <c r="D167" s="58">
        <v>5</v>
      </c>
      <c r="E167" s="51">
        <v>0</v>
      </c>
      <c r="F167" s="51"/>
      <c r="G167" s="51"/>
      <c r="H167" s="51">
        <v>1</v>
      </c>
      <c r="I167" s="49">
        <f t="shared" ref="I167:I185" si="6">IF(A167&lt;&gt;0,(B167-(B166-D166))/(A167-A166),"")</f>
        <v>7.8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>
        <v>20</v>
      </c>
      <c r="B168" s="58">
        <v>117</v>
      </c>
      <c r="C168" s="58">
        <v>3</v>
      </c>
      <c r="D168" s="58">
        <v>12</v>
      </c>
      <c r="E168" s="51">
        <v>0</v>
      </c>
      <c r="F168" s="51"/>
      <c r="G168" s="51"/>
      <c r="H168" s="51">
        <v>1</v>
      </c>
      <c r="I168" s="49">
        <f t="shared" si="6"/>
        <v>14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>
        <v>25</v>
      </c>
      <c r="B169" s="58">
        <v>160</v>
      </c>
      <c r="C169" s="58">
        <v>4</v>
      </c>
      <c r="D169" s="58">
        <v>24</v>
      </c>
      <c r="E169" s="51">
        <v>0</v>
      </c>
      <c r="F169" s="51"/>
      <c r="G169" s="51"/>
      <c r="H169" s="51">
        <v>1</v>
      </c>
      <c r="I169" s="49">
        <f t="shared" si="6"/>
        <v>11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>
        <v>30</v>
      </c>
      <c r="B170" s="58">
        <v>186</v>
      </c>
      <c r="C170" s="58">
        <v>5</v>
      </c>
      <c r="D170" s="58">
        <v>26</v>
      </c>
      <c r="E170" s="51">
        <v>0.2</v>
      </c>
      <c r="F170" s="51"/>
      <c r="G170" s="51"/>
      <c r="H170" s="51">
        <v>0.8</v>
      </c>
      <c r="I170" s="49">
        <f t="shared" si="6"/>
        <v>10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>
        <v>35</v>
      </c>
      <c r="B171" s="58">
        <v>208</v>
      </c>
      <c r="C171" s="58">
        <v>6</v>
      </c>
      <c r="D171" s="58">
        <v>28</v>
      </c>
      <c r="E171" s="51">
        <v>0.2</v>
      </c>
      <c r="F171" s="51"/>
      <c r="G171" s="51"/>
      <c r="H171" s="51">
        <v>0.8</v>
      </c>
      <c r="I171" s="49">
        <f t="shared" si="6"/>
        <v>9.6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>
        <v>40</v>
      </c>
      <c r="B172" s="58">
        <v>224</v>
      </c>
      <c r="C172" s="58">
        <v>7</v>
      </c>
      <c r="D172" s="58">
        <v>28</v>
      </c>
      <c r="E172" s="51">
        <v>0.3</v>
      </c>
      <c r="F172" s="51"/>
      <c r="G172" s="51"/>
      <c r="H172" s="51">
        <v>0.7</v>
      </c>
      <c r="I172" s="49">
        <f t="shared" si="6"/>
        <v>8.8000000000000007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>
        <v>45</v>
      </c>
      <c r="B173" s="50">
        <v>237</v>
      </c>
      <c r="C173" s="50">
        <v>8</v>
      </c>
      <c r="D173" s="50">
        <v>28</v>
      </c>
      <c r="E173" s="51">
        <v>0.3</v>
      </c>
      <c r="F173" s="51"/>
      <c r="G173" s="51"/>
      <c r="H173" s="51">
        <v>0.7</v>
      </c>
      <c r="I173" s="49">
        <f t="shared" si="6"/>
        <v>8.1999999999999993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>
        <v>50</v>
      </c>
      <c r="B174" s="50">
        <v>246</v>
      </c>
      <c r="C174" s="50">
        <v>9</v>
      </c>
      <c r="D174" s="50">
        <v>27</v>
      </c>
      <c r="E174" s="51">
        <v>0.4</v>
      </c>
      <c r="F174" s="51"/>
      <c r="G174" s="51"/>
      <c r="H174" s="51">
        <v>0.6</v>
      </c>
      <c r="I174" s="49">
        <f t="shared" si="6"/>
        <v>7.4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>
        <v>55</v>
      </c>
      <c r="B175" s="50">
        <v>253</v>
      </c>
      <c r="C175" s="50">
        <v>10</v>
      </c>
      <c r="D175" s="50">
        <v>25</v>
      </c>
      <c r="E175" s="51">
        <v>0.4</v>
      </c>
      <c r="F175" s="51"/>
      <c r="G175" s="51"/>
      <c r="H175" s="51">
        <v>0.6</v>
      </c>
      <c r="I175" s="49">
        <f t="shared" si="6"/>
        <v>6.8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>
        <v>60</v>
      </c>
      <c r="B176" s="50">
        <v>260</v>
      </c>
      <c r="C176" s="50">
        <v>11</v>
      </c>
      <c r="D176" s="50">
        <v>24</v>
      </c>
      <c r="E176" s="51">
        <v>0.5</v>
      </c>
      <c r="F176" s="51"/>
      <c r="G176" s="51"/>
      <c r="H176" s="51">
        <v>0.5</v>
      </c>
      <c r="I176" s="49">
        <f t="shared" si="6"/>
        <v>6.4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>
        <v>65</v>
      </c>
      <c r="B177" s="50">
        <v>265</v>
      </c>
      <c r="C177" s="50">
        <v>12</v>
      </c>
      <c r="D177" s="50">
        <v>22</v>
      </c>
      <c r="E177" s="51">
        <v>0.5</v>
      </c>
      <c r="F177" s="51"/>
      <c r="G177" s="51"/>
      <c r="H177" s="51">
        <v>0.5</v>
      </c>
      <c r="I177" s="49">
        <f t="shared" si="6"/>
        <v>5.8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>
        <v>70</v>
      </c>
      <c r="B178" s="50">
        <v>270</v>
      </c>
      <c r="C178" s="50">
        <v>13</v>
      </c>
      <c r="D178" s="50">
        <v>21</v>
      </c>
      <c r="E178" s="51">
        <v>0.6</v>
      </c>
      <c r="F178" s="51"/>
      <c r="G178" s="51"/>
      <c r="H178" s="51">
        <v>0.4</v>
      </c>
      <c r="I178" s="49">
        <f t="shared" si="6"/>
        <v>5.4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>
        <v>75</v>
      </c>
      <c r="B179" s="50">
        <v>273</v>
      </c>
      <c r="C179" s="50">
        <v>14</v>
      </c>
      <c r="D179" s="50">
        <v>19</v>
      </c>
      <c r="E179" s="51">
        <v>0.6</v>
      </c>
      <c r="F179" s="51"/>
      <c r="G179" s="51"/>
      <c r="H179" s="51">
        <v>0.4</v>
      </c>
      <c r="I179" s="49">
        <f t="shared" si="6"/>
        <v>4.8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>
        <v>80</v>
      </c>
      <c r="B180" s="50">
        <v>277</v>
      </c>
      <c r="C180" s="50">
        <v>15</v>
      </c>
      <c r="D180" s="50">
        <v>18</v>
      </c>
      <c r="E180" s="51">
        <v>0.7</v>
      </c>
      <c r="F180" s="51"/>
      <c r="G180" s="51"/>
      <c r="H180" s="51">
        <v>0.3</v>
      </c>
      <c r="I180" s="49">
        <f t="shared" si="6"/>
        <v>4.5999999999999996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>
        <v>85</v>
      </c>
      <c r="B181" s="50">
        <v>280</v>
      </c>
      <c r="C181" s="50">
        <v>16</v>
      </c>
      <c r="D181" s="50">
        <v>16</v>
      </c>
      <c r="E181" s="51">
        <v>0.7</v>
      </c>
      <c r="F181" s="51"/>
      <c r="G181" s="51"/>
      <c r="H181" s="51">
        <v>0.3</v>
      </c>
      <c r="I181" s="49">
        <f t="shared" si="6"/>
        <v>4.2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>
        <v>90</v>
      </c>
      <c r="B182" s="50">
        <v>283</v>
      </c>
      <c r="C182" s="50">
        <v>17</v>
      </c>
      <c r="D182" s="50">
        <v>283</v>
      </c>
      <c r="E182" s="51">
        <v>0.8</v>
      </c>
      <c r="F182" s="51"/>
      <c r="G182" s="51"/>
      <c r="H182" s="51">
        <v>0.2</v>
      </c>
      <c r="I182" s="49">
        <f t="shared" si="6"/>
        <v>3.8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>Hêtre</v>
      </c>
      <c r="D188" s="226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4"/>
      <c r="J189" s="23" t="s">
        <v>330</v>
      </c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3" t="s">
        <v>185</v>
      </c>
      <c r="C190" s="256" t="s">
        <v>186</v>
      </c>
      <c r="D190" s="256"/>
      <c r="E190" s="257" t="s">
        <v>187</v>
      </c>
      <c r="F190" s="258"/>
      <c r="G190" s="258"/>
      <c r="H190" s="259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>
        <v>15</v>
      </c>
      <c r="B192" s="58">
        <v>9</v>
      </c>
      <c r="C192" s="58">
        <v>1</v>
      </c>
      <c r="D192" s="58">
        <v>0</v>
      </c>
      <c r="E192" s="51">
        <v>0</v>
      </c>
      <c r="F192" s="51"/>
      <c r="G192" s="51"/>
      <c r="H192" s="51">
        <v>1</v>
      </c>
      <c r="I192" s="49">
        <f>IFERROR(B192/A192,"")</f>
        <v>0.6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>
        <v>18</v>
      </c>
      <c r="B193" s="58">
        <v>53</v>
      </c>
      <c r="C193" s="58">
        <v>2</v>
      </c>
      <c r="D193" s="58">
        <v>2</v>
      </c>
      <c r="E193" s="51">
        <v>0</v>
      </c>
      <c r="F193" s="51"/>
      <c r="G193" s="51"/>
      <c r="H193" s="51">
        <v>1</v>
      </c>
      <c r="I193" s="49">
        <f t="shared" ref="I193:I211" si="7">IF(A193&lt;&gt;0,(B193-(B192-D192))/(A193-A192),"")</f>
        <v>14.666666666666666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>
        <v>21</v>
      </c>
      <c r="B194" s="58">
        <v>111</v>
      </c>
      <c r="C194" s="58">
        <v>3</v>
      </c>
      <c r="D194" s="58">
        <v>8</v>
      </c>
      <c r="E194" s="51">
        <v>0</v>
      </c>
      <c r="F194" s="51"/>
      <c r="G194" s="51"/>
      <c r="H194" s="51">
        <v>1</v>
      </c>
      <c r="I194" s="49">
        <f t="shared" si="7"/>
        <v>20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>
        <v>24</v>
      </c>
      <c r="B195" s="58">
        <v>173</v>
      </c>
      <c r="C195" s="58">
        <v>4</v>
      </c>
      <c r="D195" s="58">
        <v>47</v>
      </c>
      <c r="E195" s="51">
        <v>0</v>
      </c>
      <c r="F195" s="51"/>
      <c r="G195" s="51"/>
      <c r="H195" s="51">
        <v>1</v>
      </c>
      <c r="I195" s="49">
        <f t="shared" si="7"/>
        <v>23.333333333333332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>
        <v>27</v>
      </c>
      <c r="B196" s="58">
        <v>198</v>
      </c>
      <c r="C196" s="58">
        <v>5</v>
      </c>
      <c r="D196" s="58">
        <v>43</v>
      </c>
      <c r="E196" s="51">
        <v>0</v>
      </c>
      <c r="F196" s="51"/>
      <c r="G196" s="51"/>
      <c r="H196" s="51">
        <v>1</v>
      </c>
      <c r="I196" s="49">
        <f t="shared" si="7"/>
        <v>24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>
        <v>30</v>
      </c>
      <c r="B197" s="58">
        <v>228</v>
      </c>
      <c r="C197" s="58">
        <v>6</v>
      </c>
      <c r="D197" s="58">
        <v>48</v>
      </c>
      <c r="E197" s="51">
        <v>0.3</v>
      </c>
      <c r="F197" s="51"/>
      <c r="G197" s="51"/>
      <c r="H197" s="51">
        <v>0.7</v>
      </c>
      <c r="I197" s="49">
        <f t="shared" si="7"/>
        <v>24.333333333333332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>
        <v>36</v>
      </c>
      <c r="B198" s="58">
        <v>326</v>
      </c>
      <c r="C198" s="58">
        <v>7</v>
      </c>
      <c r="D198" s="58">
        <v>92</v>
      </c>
      <c r="E198" s="51">
        <v>0.4</v>
      </c>
      <c r="F198" s="51"/>
      <c r="G198" s="51"/>
      <c r="H198" s="51">
        <v>0.6</v>
      </c>
      <c r="I198" s="49">
        <f t="shared" si="7"/>
        <v>24.333333333333332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>
        <v>42</v>
      </c>
      <c r="B199" s="50">
        <v>367</v>
      </c>
      <c r="C199" s="50">
        <v>8</v>
      </c>
      <c r="D199" s="50">
        <v>90</v>
      </c>
      <c r="E199" s="51">
        <v>0.5</v>
      </c>
      <c r="F199" s="51"/>
      <c r="G199" s="51"/>
      <c r="H199" s="51">
        <v>0.5</v>
      </c>
      <c r="I199" s="49">
        <f t="shared" si="7"/>
        <v>22.166666666666668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>
        <v>51</v>
      </c>
      <c r="B200" s="50">
        <v>455</v>
      </c>
      <c r="C200" s="50">
        <v>9</v>
      </c>
      <c r="D200" s="50">
        <v>119</v>
      </c>
      <c r="E200" s="51">
        <v>0.6</v>
      </c>
      <c r="F200" s="51"/>
      <c r="G200" s="51"/>
      <c r="H200" s="51">
        <v>0.4</v>
      </c>
      <c r="I200" s="49">
        <f t="shared" si="7"/>
        <v>19.777777777777779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>
        <v>63</v>
      </c>
      <c r="B201" s="50">
        <v>525</v>
      </c>
      <c r="C201" s="50">
        <v>10</v>
      </c>
      <c r="D201" s="50">
        <v>124</v>
      </c>
      <c r="E201" s="51">
        <v>0.7</v>
      </c>
      <c r="F201" s="51"/>
      <c r="G201" s="51"/>
      <c r="H201" s="51">
        <v>0.3</v>
      </c>
      <c r="I201" s="49">
        <f t="shared" si="7"/>
        <v>15.75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>
        <v>72</v>
      </c>
      <c r="B202" s="50">
        <v>513</v>
      </c>
      <c r="C202" s="50">
        <v>11</v>
      </c>
      <c r="D202" s="50">
        <v>0</v>
      </c>
      <c r="E202" s="51">
        <v>0.7</v>
      </c>
      <c r="F202" s="51"/>
      <c r="G202" s="51"/>
      <c r="H202" s="51">
        <v>0.3</v>
      </c>
      <c r="I202" s="49">
        <f t="shared" si="7"/>
        <v>12.444444444444445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>
        <v>81</v>
      </c>
      <c r="B203" s="50">
        <v>614</v>
      </c>
      <c r="C203" s="50">
        <v>12</v>
      </c>
      <c r="D203" s="50">
        <v>0</v>
      </c>
      <c r="E203" s="51">
        <v>0.7</v>
      </c>
      <c r="F203" s="51"/>
      <c r="G203" s="51"/>
      <c r="H203" s="51">
        <v>0.3</v>
      </c>
      <c r="I203" s="49">
        <f t="shared" si="7"/>
        <v>11.222222222222221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>
        <v>84</v>
      </c>
      <c r="B204" s="50">
        <v>645</v>
      </c>
      <c r="C204" s="50">
        <v>13</v>
      </c>
      <c r="D204" s="50">
        <v>0</v>
      </c>
      <c r="E204" s="51">
        <v>0.8</v>
      </c>
      <c r="F204" s="51"/>
      <c r="G204" s="51"/>
      <c r="H204" s="51">
        <v>0.2</v>
      </c>
      <c r="I204" s="49">
        <f t="shared" si="7"/>
        <v>10.333333333333334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>
        <v>90</v>
      </c>
      <c r="B205" s="50">
        <v>705</v>
      </c>
      <c r="C205" s="50">
        <v>14</v>
      </c>
      <c r="D205" s="50">
        <v>705</v>
      </c>
      <c r="E205" s="51">
        <v>0.8</v>
      </c>
      <c r="F205" s="51"/>
      <c r="G205" s="51"/>
      <c r="H205" s="51">
        <v>0.2</v>
      </c>
      <c r="I205" s="49">
        <f t="shared" si="7"/>
        <v>10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>Noyer</v>
      </c>
      <c r="D214" s="226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4"/>
      <c r="J215" s="23" t="s">
        <v>327</v>
      </c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3" t="s">
        <v>185</v>
      </c>
      <c r="C216" s="256" t="s">
        <v>186</v>
      </c>
      <c r="D216" s="256"/>
      <c r="E216" s="257" t="s">
        <v>187</v>
      </c>
      <c r="F216" s="258"/>
      <c r="G216" s="258"/>
      <c r="H216" s="259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>
        <v>10</v>
      </c>
      <c r="B218" s="58">
        <v>11</v>
      </c>
      <c r="C218" s="58">
        <v>1</v>
      </c>
      <c r="D218" s="58">
        <v>0</v>
      </c>
      <c r="E218" s="51">
        <v>0</v>
      </c>
      <c r="F218" s="51"/>
      <c r="G218" s="51"/>
      <c r="H218" s="85">
        <v>1</v>
      </c>
      <c r="I218" s="53">
        <f>IFERROR(B218/A218,"")</f>
        <v>1.1000000000000001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>
        <v>15</v>
      </c>
      <c r="B219" s="58">
        <v>65</v>
      </c>
      <c r="C219" s="58">
        <v>2</v>
      </c>
      <c r="D219" s="58">
        <v>32</v>
      </c>
      <c r="E219" s="51">
        <v>0.2</v>
      </c>
      <c r="F219" s="51"/>
      <c r="G219" s="51"/>
      <c r="H219" s="85">
        <v>0.8</v>
      </c>
      <c r="I219" s="53">
        <f t="shared" ref="I219:I237" si="8">IF(A219&lt;&gt;0,(B219-(B218-D218))/(A219-A218),"")</f>
        <v>10.8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>
        <v>20</v>
      </c>
      <c r="B220" s="58">
        <v>102</v>
      </c>
      <c r="C220" s="58">
        <v>3</v>
      </c>
      <c r="D220" s="58">
        <v>35</v>
      </c>
      <c r="E220" s="85">
        <v>0.2</v>
      </c>
      <c r="F220" s="85"/>
      <c r="G220" s="85"/>
      <c r="H220" s="85">
        <v>0.8</v>
      </c>
      <c r="I220" s="53">
        <f t="shared" si="8"/>
        <v>13.8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0">
        <v>25</v>
      </c>
      <c r="B221" s="58">
        <v>141</v>
      </c>
      <c r="C221" s="58">
        <v>4</v>
      </c>
      <c r="D221" s="58">
        <v>35</v>
      </c>
      <c r="E221" s="85">
        <v>0.3</v>
      </c>
      <c r="F221" s="85"/>
      <c r="G221" s="85"/>
      <c r="H221" s="85">
        <v>0.7</v>
      </c>
      <c r="I221" s="53">
        <f t="shared" si="8"/>
        <v>14.8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0">
        <v>30</v>
      </c>
      <c r="B222" s="58">
        <v>177</v>
      </c>
      <c r="C222" s="58">
        <v>5</v>
      </c>
      <c r="D222" s="58">
        <v>35</v>
      </c>
      <c r="E222" s="85">
        <v>0.3</v>
      </c>
      <c r="F222" s="85"/>
      <c r="G222" s="85"/>
      <c r="H222" s="85">
        <v>0.7</v>
      </c>
      <c r="I222" s="53">
        <f t="shared" si="8"/>
        <v>14.2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0">
        <v>35</v>
      </c>
      <c r="B223" s="58">
        <v>206</v>
      </c>
      <c r="C223" s="58">
        <v>6</v>
      </c>
      <c r="D223" s="58">
        <v>35</v>
      </c>
      <c r="E223" s="85">
        <v>0.4</v>
      </c>
      <c r="F223" s="85"/>
      <c r="G223" s="85"/>
      <c r="H223" s="85">
        <v>0.6</v>
      </c>
      <c r="I223" s="53">
        <f t="shared" si="8"/>
        <v>12.8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0">
        <v>40</v>
      </c>
      <c r="B224" s="58">
        <v>228</v>
      </c>
      <c r="C224" s="58">
        <v>7</v>
      </c>
      <c r="D224" s="58">
        <v>35</v>
      </c>
      <c r="E224" s="85">
        <v>0.4</v>
      </c>
      <c r="F224" s="85"/>
      <c r="G224" s="85"/>
      <c r="H224" s="85">
        <v>0.6</v>
      </c>
      <c r="I224" s="53">
        <f t="shared" si="8"/>
        <v>11.4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8">
        <v>45</v>
      </c>
      <c r="B225" s="58">
        <v>242</v>
      </c>
      <c r="C225" s="58">
        <v>8</v>
      </c>
      <c r="D225" s="58">
        <v>24</v>
      </c>
      <c r="E225" s="85">
        <v>0.5</v>
      </c>
      <c r="F225" s="85"/>
      <c r="G225" s="85"/>
      <c r="H225" s="85">
        <v>0.5</v>
      </c>
      <c r="I225" s="53">
        <f t="shared" si="8"/>
        <v>9.8000000000000007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8">
        <v>50</v>
      </c>
      <c r="B226" s="58">
        <v>261</v>
      </c>
      <c r="C226" s="58">
        <v>9</v>
      </c>
      <c r="D226" s="58">
        <v>19</v>
      </c>
      <c r="E226" s="85">
        <v>0.5</v>
      </c>
      <c r="F226" s="85"/>
      <c r="G226" s="85"/>
      <c r="H226" s="85">
        <v>0.5</v>
      </c>
      <c r="I226" s="53">
        <f t="shared" si="8"/>
        <v>8.6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8">
        <v>55</v>
      </c>
      <c r="B227" s="58">
        <v>279</v>
      </c>
      <c r="C227" s="58">
        <v>10</v>
      </c>
      <c r="D227" s="58">
        <v>16</v>
      </c>
      <c r="E227" s="85">
        <v>0.6</v>
      </c>
      <c r="F227" s="85"/>
      <c r="G227" s="85"/>
      <c r="H227" s="85">
        <v>0.4</v>
      </c>
      <c r="I227" s="53">
        <f t="shared" si="8"/>
        <v>7.4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8">
        <v>60</v>
      </c>
      <c r="B228" s="58">
        <v>294</v>
      </c>
      <c r="C228" s="58">
        <v>11</v>
      </c>
      <c r="D228" s="58">
        <v>14</v>
      </c>
      <c r="E228" s="85">
        <v>0.6</v>
      </c>
      <c r="F228" s="85"/>
      <c r="G228" s="85"/>
      <c r="H228" s="85">
        <v>0.4</v>
      </c>
      <c r="I228" s="53">
        <f t="shared" si="8"/>
        <v>6.2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8">
        <v>65</v>
      </c>
      <c r="B229" s="58">
        <v>306</v>
      </c>
      <c r="C229" s="58">
        <v>12</v>
      </c>
      <c r="D229" s="58">
        <v>13</v>
      </c>
      <c r="E229" s="85">
        <v>0.7</v>
      </c>
      <c r="F229" s="85"/>
      <c r="G229" s="85"/>
      <c r="H229" s="85">
        <v>0.3</v>
      </c>
      <c r="I229" s="53">
        <f t="shared" si="8"/>
        <v>5.2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8">
        <v>70</v>
      </c>
      <c r="B230" s="58">
        <v>316</v>
      </c>
      <c r="C230" s="58">
        <v>13</v>
      </c>
      <c r="D230" s="58">
        <v>13</v>
      </c>
      <c r="E230" s="63">
        <v>0.7</v>
      </c>
      <c r="F230" s="63"/>
      <c r="G230" s="63"/>
      <c r="H230" s="63">
        <v>0.3</v>
      </c>
      <c r="I230" s="53">
        <f t="shared" si="8"/>
        <v>4.5999999999999996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58">
        <v>75</v>
      </c>
      <c r="B231" s="58">
        <v>324</v>
      </c>
      <c r="C231" s="58">
        <v>14</v>
      </c>
      <c r="D231" s="58">
        <v>12</v>
      </c>
      <c r="E231" s="63">
        <v>0.8</v>
      </c>
      <c r="F231" s="63"/>
      <c r="G231" s="63"/>
      <c r="H231" s="63">
        <v>0.2</v>
      </c>
      <c r="I231" s="53">
        <f t="shared" si="8"/>
        <v>4.2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8">
        <v>80</v>
      </c>
      <c r="B232" s="50">
        <v>330</v>
      </c>
      <c r="C232" s="58">
        <v>15</v>
      </c>
      <c r="D232" s="50">
        <v>330</v>
      </c>
      <c r="E232" s="54">
        <v>0.8</v>
      </c>
      <c r="F232" s="54"/>
      <c r="G232" s="54"/>
      <c r="H232" s="54">
        <v>0.2</v>
      </c>
      <c r="I232" s="53">
        <f t="shared" si="8"/>
        <v>3.6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>Douglas</v>
      </c>
      <c r="D240" s="226" t="s">
        <v>307</v>
      </c>
      <c r="J240" s="23" t="s">
        <v>329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3" t="s">
        <v>185</v>
      </c>
      <c r="C242" s="256" t="s">
        <v>186</v>
      </c>
      <c r="D242" s="256"/>
      <c r="E242" s="257" t="s">
        <v>187</v>
      </c>
      <c r="F242" s="258"/>
      <c r="G242" s="258"/>
      <c r="H242" s="259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>
        <v>17</v>
      </c>
      <c r="B244" s="58">
        <v>172.78</v>
      </c>
      <c r="C244" s="58"/>
      <c r="D244" s="58"/>
      <c r="E244" s="51"/>
      <c r="F244" s="51"/>
      <c r="G244" s="51"/>
      <c r="H244" s="51"/>
      <c r="I244" s="53">
        <f>IFERROR(B244/A244,"")</f>
        <v>10.163529411764706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>
        <v>18</v>
      </c>
      <c r="B245" s="58">
        <v>202.31</v>
      </c>
      <c r="C245" s="58">
        <v>1</v>
      </c>
      <c r="D245" s="58">
        <v>74.819999999999993</v>
      </c>
      <c r="E245" s="51">
        <v>0.2</v>
      </c>
      <c r="F245" s="51">
        <v>0.45</v>
      </c>
      <c r="G245" s="51">
        <v>0.35</v>
      </c>
      <c r="H245" s="51"/>
      <c r="I245" s="53">
        <f>IF(A245&lt;&gt;0,(B245-(B244-D244))/(A245-A244),"")</f>
        <v>29.53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>
        <v>19</v>
      </c>
      <c r="B246" s="58">
        <v>150.35</v>
      </c>
      <c r="C246" s="58"/>
      <c r="D246" s="58"/>
      <c r="E246" s="51"/>
      <c r="F246" s="51"/>
      <c r="G246" s="51"/>
      <c r="H246" s="51"/>
      <c r="I246" s="53">
        <f>IF(A246&lt;&gt;0,(B246-(B245-D245))/(A246-A245),"")</f>
        <v>22.859999999999985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>
        <v>20</v>
      </c>
      <c r="B247" s="58">
        <v>175.01</v>
      </c>
      <c r="C247" s="58"/>
      <c r="D247" s="58"/>
      <c r="E247" s="51"/>
      <c r="F247" s="51"/>
      <c r="G247" s="51"/>
      <c r="H247" s="51"/>
      <c r="I247" s="53">
        <f t="shared" ref="I247:I263" si="9">IF(A247&lt;&gt;0,(B247-(B246-D246))/(A247-A246),"")</f>
        <v>24.659999999999997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>
        <v>21</v>
      </c>
      <c r="B248" s="58">
        <v>201.39</v>
      </c>
      <c r="C248" s="58"/>
      <c r="D248" s="58"/>
      <c r="E248" s="51"/>
      <c r="F248" s="51"/>
      <c r="G248" s="51"/>
      <c r="H248" s="51"/>
      <c r="I248" s="53">
        <f t="shared" si="9"/>
        <v>26.379999999999995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>
        <v>22</v>
      </c>
      <c r="B249" s="58">
        <v>229.29</v>
      </c>
      <c r="C249" s="58"/>
      <c r="D249" s="58"/>
      <c r="E249" s="51"/>
      <c r="F249" s="51"/>
      <c r="G249" s="51"/>
      <c r="H249" s="51"/>
      <c r="I249" s="53">
        <f t="shared" si="9"/>
        <v>27.900000000000006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>
        <v>23</v>
      </c>
      <c r="B250" s="58">
        <v>258.74</v>
      </c>
      <c r="C250" s="58"/>
      <c r="D250" s="58"/>
      <c r="E250" s="51"/>
      <c r="F250" s="51"/>
      <c r="G250" s="51"/>
      <c r="H250" s="51"/>
      <c r="I250" s="53">
        <f t="shared" si="9"/>
        <v>29.450000000000017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0">
        <v>24</v>
      </c>
      <c r="B251" s="50">
        <v>289.08999999999997</v>
      </c>
      <c r="C251" s="50">
        <v>2</v>
      </c>
      <c r="D251" s="50">
        <v>51.39</v>
      </c>
      <c r="E251" s="51">
        <v>0.3</v>
      </c>
      <c r="F251" s="51">
        <v>0.39</v>
      </c>
      <c r="G251" s="51">
        <v>0.31</v>
      </c>
      <c r="H251" s="51"/>
      <c r="I251" s="53">
        <f t="shared" si="9"/>
        <v>30.349999999999966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0">
        <v>25</v>
      </c>
      <c r="B252" s="50">
        <v>265.11</v>
      </c>
      <c r="C252" s="50"/>
      <c r="D252" s="50"/>
      <c r="E252" s="51"/>
      <c r="F252" s="51"/>
      <c r="G252" s="51"/>
      <c r="H252" s="51"/>
      <c r="I252" s="53">
        <f t="shared" si="9"/>
        <v>27.410000000000025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0">
        <v>26</v>
      </c>
      <c r="B253" s="50">
        <v>292.8</v>
      </c>
      <c r="C253" s="50"/>
      <c r="D253" s="50"/>
      <c r="E253" s="51"/>
      <c r="F253" s="51"/>
      <c r="G253" s="51"/>
      <c r="H253" s="51"/>
      <c r="I253" s="53">
        <f t="shared" si="9"/>
        <v>27.689999999999998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0">
        <v>27</v>
      </c>
      <c r="B254" s="50">
        <v>321</v>
      </c>
      <c r="C254" s="50"/>
      <c r="D254" s="50"/>
      <c r="E254" s="51"/>
      <c r="F254" s="51"/>
      <c r="G254" s="51"/>
      <c r="H254" s="51"/>
      <c r="I254" s="53">
        <f t="shared" si="9"/>
        <v>28.199999999999989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0">
        <v>28</v>
      </c>
      <c r="B255" s="50">
        <v>350.06</v>
      </c>
      <c r="C255" s="50"/>
      <c r="D255" s="50"/>
      <c r="E255" s="51"/>
      <c r="F255" s="51"/>
      <c r="G255" s="51"/>
      <c r="H255" s="51"/>
      <c r="I255" s="53">
        <f t="shared" si="9"/>
        <v>29.060000000000002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0">
        <v>29</v>
      </c>
      <c r="B256" s="50">
        <v>379.96</v>
      </c>
      <c r="C256" s="50"/>
      <c r="D256" s="50"/>
      <c r="E256" s="51"/>
      <c r="F256" s="51"/>
      <c r="G256" s="51"/>
      <c r="H256" s="51"/>
      <c r="I256" s="53">
        <f t="shared" si="9"/>
        <v>29.899999999999977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50">
        <v>30</v>
      </c>
      <c r="B257" s="50">
        <v>410.56</v>
      </c>
      <c r="C257" s="50">
        <v>3</v>
      </c>
      <c r="D257" s="50">
        <v>80.97</v>
      </c>
      <c r="E257" s="51">
        <v>0.4</v>
      </c>
      <c r="F257" s="51">
        <v>0.34</v>
      </c>
      <c r="G257" s="51">
        <v>0.26</v>
      </c>
      <c r="H257" s="51"/>
      <c r="I257" s="53">
        <f t="shared" si="9"/>
        <v>30.600000000000023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>
        <v>36</v>
      </c>
      <c r="B258" s="50">
        <v>501.41</v>
      </c>
      <c r="C258" s="50">
        <v>4</v>
      </c>
      <c r="D258" s="50">
        <v>85.88</v>
      </c>
      <c r="E258" s="51">
        <v>0.5</v>
      </c>
      <c r="F258" s="51">
        <v>0.28000000000000003</v>
      </c>
      <c r="G258" s="51">
        <v>0.22</v>
      </c>
      <c r="H258" s="51"/>
      <c r="I258" s="53">
        <f t="shared" si="9"/>
        <v>28.636666666666667</v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>
        <v>42</v>
      </c>
      <c r="B259" s="50">
        <v>583.89</v>
      </c>
      <c r="C259" s="50">
        <v>5</v>
      </c>
      <c r="D259" s="50">
        <v>91.25</v>
      </c>
      <c r="E259" s="51">
        <v>0.6</v>
      </c>
      <c r="F259" s="51">
        <v>0.22</v>
      </c>
      <c r="G259" s="51">
        <v>0.18</v>
      </c>
      <c r="H259" s="51"/>
      <c r="I259" s="53">
        <f t="shared" si="9"/>
        <v>28.059999999999992</v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>
        <v>45</v>
      </c>
      <c r="B260" s="50">
        <v>572.51</v>
      </c>
      <c r="C260" s="50"/>
      <c r="D260" s="50"/>
      <c r="E260" s="51"/>
      <c r="F260" s="51"/>
      <c r="G260" s="51"/>
      <c r="H260" s="51"/>
      <c r="I260" s="53">
        <f t="shared" si="9"/>
        <v>26.623333333333335</v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>
        <v>48</v>
      </c>
      <c r="B261" s="50">
        <v>655.04999999999995</v>
      </c>
      <c r="C261" s="50">
        <v>6</v>
      </c>
      <c r="D261" s="50">
        <v>101.34</v>
      </c>
      <c r="E261" s="51">
        <v>0.7</v>
      </c>
      <c r="F261" s="51">
        <v>0.17</v>
      </c>
      <c r="G261" s="51">
        <v>0.13</v>
      </c>
      <c r="H261" s="51"/>
      <c r="I261" s="53">
        <f t="shared" si="9"/>
        <v>27.513333333333321</v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>
        <v>50</v>
      </c>
      <c r="B262" s="50">
        <v>604.12</v>
      </c>
      <c r="C262" s="50"/>
      <c r="D262" s="50"/>
      <c r="E262" s="51"/>
      <c r="F262" s="51"/>
      <c r="G262" s="51"/>
      <c r="H262" s="51"/>
      <c r="I262" s="53">
        <f t="shared" si="9"/>
        <v>25.205000000000041</v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>
        <v>54</v>
      </c>
      <c r="B263" s="50">
        <v>707.75</v>
      </c>
      <c r="C263" s="50">
        <v>7</v>
      </c>
      <c r="D263" s="50">
        <v>707.75</v>
      </c>
      <c r="E263" s="51">
        <v>0.8</v>
      </c>
      <c r="F263" s="51">
        <v>0.11</v>
      </c>
      <c r="G263" s="51">
        <v>0.09</v>
      </c>
      <c r="H263" s="51"/>
      <c r="I263" s="53">
        <f t="shared" si="9"/>
        <v>25.907499999999999</v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>Mélèze hybride</v>
      </c>
      <c r="D266" s="226" t="s">
        <v>307</v>
      </c>
      <c r="J266" s="23" t="s">
        <v>331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3" t="s">
        <v>185</v>
      </c>
      <c r="C268" s="256" t="s">
        <v>186</v>
      </c>
      <c r="D268" s="256"/>
      <c r="E268" s="257" t="s">
        <v>187</v>
      </c>
      <c r="F268" s="258"/>
      <c r="G268" s="258"/>
      <c r="H268" s="259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>
        <v>10</v>
      </c>
      <c r="B270" s="58">
        <v>27</v>
      </c>
      <c r="C270" s="50">
        <v>1</v>
      </c>
      <c r="D270" s="58">
        <v>0</v>
      </c>
      <c r="E270" s="51">
        <v>0.2</v>
      </c>
      <c r="F270" s="51">
        <v>0.45</v>
      </c>
      <c r="G270" s="51">
        <v>0.35</v>
      </c>
      <c r="H270" s="51"/>
      <c r="I270" s="53">
        <f>IFERROR(B270/A270,"")</f>
        <v>2.7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>
        <v>15</v>
      </c>
      <c r="B271" s="58">
        <v>86</v>
      </c>
      <c r="C271" s="50">
        <v>2</v>
      </c>
      <c r="D271" s="58">
        <v>18</v>
      </c>
      <c r="E271" s="51">
        <v>0.2</v>
      </c>
      <c r="F271" s="51">
        <v>0.45</v>
      </c>
      <c r="G271" s="51">
        <v>0.35</v>
      </c>
      <c r="H271" s="51"/>
      <c r="I271" s="53">
        <f>IF(A271&lt;&gt;0,(B271-(B270-D270))/(A271-A270),"")</f>
        <v>11.8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>
        <v>20</v>
      </c>
      <c r="B272" s="58">
        <v>140</v>
      </c>
      <c r="C272" s="50">
        <v>3</v>
      </c>
      <c r="D272" s="58">
        <v>42</v>
      </c>
      <c r="E272" s="51">
        <v>0.3</v>
      </c>
      <c r="F272" s="51">
        <v>0.39</v>
      </c>
      <c r="G272" s="51">
        <v>0.31</v>
      </c>
      <c r="H272" s="51"/>
      <c r="I272" s="53">
        <f t="shared" ref="I272:I289" si="10">IF(A272&lt;&gt;0,(B272-(B271-D271))/(A272-A271),"")</f>
        <v>14.4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>
        <v>25</v>
      </c>
      <c r="B273" s="58">
        <v>180</v>
      </c>
      <c r="C273" s="50">
        <v>4</v>
      </c>
      <c r="D273" s="58">
        <v>42</v>
      </c>
      <c r="E273" s="51">
        <v>0.3</v>
      </c>
      <c r="F273" s="51">
        <v>0.39</v>
      </c>
      <c r="G273" s="51">
        <v>0.31</v>
      </c>
      <c r="H273" s="51"/>
      <c r="I273" s="53">
        <f t="shared" si="10"/>
        <v>16.399999999999999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>
        <v>30</v>
      </c>
      <c r="B274" s="58">
        <v>221</v>
      </c>
      <c r="C274" s="50">
        <v>5</v>
      </c>
      <c r="D274" s="58">
        <v>42</v>
      </c>
      <c r="E274" s="51">
        <v>0.4</v>
      </c>
      <c r="F274" s="51">
        <v>0.34</v>
      </c>
      <c r="G274" s="51">
        <v>0.26</v>
      </c>
      <c r="H274" s="51"/>
      <c r="I274" s="53">
        <f t="shared" si="10"/>
        <v>16.600000000000001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>
        <v>35</v>
      </c>
      <c r="B275" s="58">
        <v>257</v>
      </c>
      <c r="C275" s="50">
        <v>6</v>
      </c>
      <c r="D275" s="58">
        <v>42</v>
      </c>
      <c r="E275" s="61">
        <v>0.4</v>
      </c>
      <c r="F275" s="61">
        <v>0.34</v>
      </c>
      <c r="G275" s="61">
        <v>0.26</v>
      </c>
      <c r="H275" s="61"/>
      <c r="I275" s="53">
        <f t="shared" si="10"/>
        <v>15.6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>
        <v>40</v>
      </c>
      <c r="B276" s="58">
        <v>288</v>
      </c>
      <c r="C276" s="50">
        <v>7</v>
      </c>
      <c r="D276" s="58">
        <v>40</v>
      </c>
      <c r="E276" s="61">
        <v>0.5</v>
      </c>
      <c r="F276" s="61">
        <v>0.28000000000000003</v>
      </c>
      <c r="G276" s="61">
        <v>0.22</v>
      </c>
      <c r="H276" s="61"/>
      <c r="I276" s="53">
        <f t="shared" si="10"/>
        <v>14.6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>
        <v>45</v>
      </c>
      <c r="B277" s="55">
        <v>314</v>
      </c>
      <c r="C277" s="55">
        <v>8</v>
      </c>
      <c r="D277" s="55">
        <v>36</v>
      </c>
      <c r="E277" s="61">
        <v>0.5</v>
      </c>
      <c r="F277" s="61">
        <v>0.28000000000000003</v>
      </c>
      <c r="G277" s="61">
        <v>0.22</v>
      </c>
      <c r="H277" s="61"/>
      <c r="I277" s="53">
        <f t="shared" si="10"/>
        <v>13.2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>
        <v>50</v>
      </c>
      <c r="B278" s="55">
        <v>336</v>
      </c>
      <c r="C278" s="55">
        <v>9</v>
      </c>
      <c r="D278" s="55">
        <v>32</v>
      </c>
      <c r="E278" s="61">
        <v>0.6</v>
      </c>
      <c r="F278" s="61">
        <v>0.22</v>
      </c>
      <c r="G278" s="61">
        <v>0.18</v>
      </c>
      <c r="H278" s="61"/>
      <c r="I278" s="53">
        <f t="shared" si="10"/>
        <v>11.6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>
        <v>55</v>
      </c>
      <c r="B279" s="55">
        <v>357</v>
      </c>
      <c r="C279" s="55">
        <v>10</v>
      </c>
      <c r="D279" s="55">
        <v>29</v>
      </c>
      <c r="E279" s="61">
        <v>0.6</v>
      </c>
      <c r="F279" s="61">
        <v>0.22</v>
      </c>
      <c r="G279" s="61">
        <v>0.18</v>
      </c>
      <c r="H279" s="61"/>
      <c r="I279" s="53">
        <f t="shared" si="10"/>
        <v>10.6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>
        <v>60</v>
      </c>
      <c r="B280" s="55">
        <v>375</v>
      </c>
      <c r="C280" s="55">
        <v>11</v>
      </c>
      <c r="D280" s="55">
        <v>26</v>
      </c>
      <c r="E280" s="61">
        <v>0.7</v>
      </c>
      <c r="F280" s="61">
        <v>0.17</v>
      </c>
      <c r="G280" s="61">
        <v>0.13</v>
      </c>
      <c r="H280" s="61"/>
      <c r="I280" s="53">
        <f t="shared" si="10"/>
        <v>9.4</v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>
        <v>65</v>
      </c>
      <c r="B281" s="55">
        <v>391</v>
      </c>
      <c r="C281" s="55">
        <v>12</v>
      </c>
      <c r="D281" s="55">
        <v>24</v>
      </c>
      <c r="E281" s="61">
        <v>0.7</v>
      </c>
      <c r="F281" s="61">
        <v>0.17</v>
      </c>
      <c r="G281" s="61">
        <v>0.13</v>
      </c>
      <c r="H281" s="61"/>
      <c r="I281" s="53">
        <f t="shared" si="10"/>
        <v>8.4</v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>
        <v>70</v>
      </c>
      <c r="B282" s="55">
        <v>403</v>
      </c>
      <c r="C282" s="55">
        <v>13</v>
      </c>
      <c r="D282" s="55">
        <v>21</v>
      </c>
      <c r="E282" s="62">
        <v>0.7</v>
      </c>
      <c r="F282" s="62">
        <v>0.17</v>
      </c>
      <c r="G282" s="62">
        <v>0.13</v>
      </c>
      <c r="H282" s="62"/>
      <c r="I282" s="53">
        <f t="shared" si="10"/>
        <v>7.2</v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6">
        <v>75</v>
      </c>
      <c r="B283" s="58">
        <v>414</v>
      </c>
      <c r="C283" s="86">
        <v>14</v>
      </c>
      <c r="D283" s="58">
        <v>19</v>
      </c>
      <c r="E283" s="54">
        <v>0.8</v>
      </c>
      <c r="F283" s="54">
        <v>0.11</v>
      </c>
      <c r="G283" s="54">
        <v>0.09</v>
      </c>
      <c r="H283" s="54"/>
      <c r="I283" s="53">
        <f t="shared" si="10"/>
        <v>6.4</v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>
        <v>80</v>
      </c>
      <c r="B284" s="50">
        <v>423</v>
      </c>
      <c r="C284" s="50">
        <v>15</v>
      </c>
      <c r="D284" s="50">
        <v>17</v>
      </c>
      <c r="E284" s="51">
        <v>0.8</v>
      </c>
      <c r="F284" s="51">
        <v>0.11</v>
      </c>
      <c r="G284" s="51">
        <v>0.09</v>
      </c>
      <c r="H284" s="51"/>
      <c r="I284" s="53">
        <f t="shared" si="10"/>
        <v>5.6</v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>
        <v>85</v>
      </c>
      <c r="B285" s="50">
        <v>431</v>
      </c>
      <c r="C285" s="50">
        <v>16</v>
      </c>
      <c r="D285" s="50">
        <v>16</v>
      </c>
      <c r="E285" s="51">
        <v>0.8</v>
      </c>
      <c r="F285" s="51">
        <v>0.11</v>
      </c>
      <c r="G285" s="51">
        <v>0.09</v>
      </c>
      <c r="H285" s="51"/>
      <c r="I285" s="53">
        <f t="shared" si="10"/>
        <v>5</v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>
        <v>90</v>
      </c>
      <c r="B286" s="50">
        <v>437</v>
      </c>
      <c r="C286" s="50">
        <v>17</v>
      </c>
      <c r="D286" s="50">
        <v>14</v>
      </c>
      <c r="E286" s="54">
        <v>0.8</v>
      </c>
      <c r="F286" s="54">
        <v>0.11</v>
      </c>
      <c r="G286" s="54">
        <v>0.09</v>
      </c>
      <c r="H286" s="51"/>
      <c r="I286" s="53">
        <f t="shared" si="10"/>
        <v>4.4000000000000004</v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>
        <v>95</v>
      </c>
      <c r="B287" s="50">
        <v>443</v>
      </c>
      <c r="C287" s="50">
        <v>18</v>
      </c>
      <c r="D287" s="50">
        <v>13</v>
      </c>
      <c r="E287" s="51">
        <v>0.8</v>
      </c>
      <c r="F287" s="51">
        <v>0.11</v>
      </c>
      <c r="G287" s="51">
        <v>0.09</v>
      </c>
      <c r="H287" s="51"/>
      <c r="I287" s="53">
        <f t="shared" si="10"/>
        <v>4</v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>
        <v>100</v>
      </c>
      <c r="B288" s="50">
        <v>446</v>
      </c>
      <c r="C288" s="50">
        <v>19</v>
      </c>
      <c r="D288" s="50">
        <v>446</v>
      </c>
      <c r="E288" s="51">
        <v>0.8</v>
      </c>
      <c r="F288" s="51">
        <v>0.11</v>
      </c>
      <c r="G288" s="51">
        <v>0.09</v>
      </c>
      <c r="H288" s="51"/>
      <c r="I288" s="53">
        <f t="shared" si="10"/>
        <v>3.2</v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8" sqref="G18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0" t="s">
        <v>191</v>
      </c>
      <c r="C2" s="271"/>
      <c r="D2" s="271"/>
      <c r="E2" s="271"/>
      <c r="F2" s="271"/>
      <c r="G2" s="272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69"/>
      <c r="C4" s="269"/>
      <c r="D4" s="269"/>
      <c r="E4" s="269"/>
      <c r="F4" s="269"/>
      <c r="G4" s="269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4"/>
      <c r="C6" s="214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7"/>
      <c r="B7" s="26" t="s">
        <v>295</v>
      </c>
      <c r="C7" s="98" t="s">
        <v>214</v>
      </c>
      <c r="D7" s="212"/>
      <c r="E7" s="99"/>
      <c r="F7" s="26" t="s">
        <v>295</v>
      </c>
      <c r="G7" s="98" t="s">
        <v>215</v>
      </c>
      <c r="H7" s="213"/>
      <c r="I7" s="213"/>
      <c r="J7" s="213"/>
      <c r="K7" s="213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2">
      <c r="A8" s="103">
        <v>1</v>
      </c>
      <c r="B8" s="59">
        <v>1</v>
      </c>
      <c r="C8" s="49" t="s">
        <v>177</v>
      </c>
      <c r="D8" s="23"/>
      <c r="E8" s="103">
        <v>4</v>
      </c>
      <c r="F8" s="59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3">
        <v>2</v>
      </c>
      <c r="B9" s="59">
        <v>0</v>
      </c>
      <c r="C9" s="106" t="s">
        <v>216</v>
      </c>
      <c r="D9" s="23"/>
      <c r="E9" s="103">
        <v>5</v>
      </c>
      <c r="F9" s="59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3">
        <v>3</v>
      </c>
      <c r="B10" s="59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3"/>
      <c r="B13" s="105"/>
      <c r="C13" s="96" t="s">
        <v>273</v>
      </c>
      <c r="D13" s="213"/>
      <c r="E13" s="97"/>
      <c r="F13" s="105"/>
      <c r="G13" s="96" t="s">
        <v>301</v>
      </c>
      <c r="H13" s="213"/>
      <c r="I13" s="213"/>
      <c r="J13" s="213"/>
      <c r="K13" s="213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2">
      <c r="A14" s="213"/>
      <c r="B14" s="105"/>
      <c r="C14" s="96" t="s">
        <v>309</v>
      </c>
      <c r="D14" s="213"/>
      <c r="E14" s="97"/>
      <c r="F14" s="105"/>
      <c r="G14" s="96" t="s">
        <v>294</v>
      </c>
      <c r="H14" s="213"/>
      <c r="I14" s="213"/>
      <c r="J14" s="213"/>
      <c r="K14" s="213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59">
        <v>0.66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59">
        <v>0.34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59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76" t="s">
        <v>176</v>
      </c>
      <c r="C1" s="277"/>
      <c r="D1" s="277"/>
      <c r="E1" s="277"/>
      <c r="F1" s="277"/>
      <c r="G1" s="277"/>
      <c r="H1" s="278"/>
      <c r="I1" s="273" t="str">
        <f>IF('Données projet'!$B$9="","",'Données projet'!$B$9)</f>
        <v>Chêne pubescent</v>
      </c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  <c r="AB1" s="274"/>
      <c r="AC1" s="275"/>
      <c r="AD1" s="274" t="str">
        <f>IF('Données projet'!$B$10="","",'Données projet'!$B$10)</f>
        <v>Chêne sessile</v>
      </c>
      <c r="AE1" s="274"/>
      <c r="AF1" s="274"/>
      <c r="AG1" s="274"/>
      <c r="AH1" s="274"/>
      <c r="AI1" s="274"/>
      <c r="AJ1" s="274"/>
      <c r="AK1" s="274"/>
      <c r="AL1" s="274"/>
      <c r="AM1" s="274"/>
      <c r="AN1" s="274"/>
      <c r="AO1" s="274"/>
      <c r="AP1" s="274"/>
      <c r="AQ1" s="274"/>
      <c r="AR1" s="274"/>
      <c r="AS1" s="274"/>
      <c r="AT1" s="274"/>
      <c r="AU1" s="274"/>
      <c r="AV1" s="274"/>
      <c r="AW1" s="274"/>
      <c r="AX1" s="275"/>
      <c r="AY1" s="273" t="str">
        <f>IF('Données projet'!$B$11="","",'Données projet'!$B$11)</f>
        <v>Châtaignier</v>
      </c>
      <c r="AZ1" s="274"/>
      <c r="BA1" s="274"/>
      <c r="BB1" s="274"/>
      <c r="BC1" s="274"/>
      <c r="BD1" s="274"/>
      <c r="BE1" s="274"/>
      <c r="BF1" s="274"/>
      <c r="BG1" s="274"/>
      <c r="BH1" s="274"/>
      <c r="BI1" s="274"/>
      <c r="BJ1" s="274"/>
      <c r="BK1" s="274"/>
      <c r="BL1" s="274"/>
      <c r="BM1" s="274"/>
      <c r="BN1" s="274"/>
      <c r="BO1" s="274"/>
      <c r="BP1" s="274"/>
      <c r="BQ1" s="274"/>
      <c r="BR1" s="274"/>
      <c r="BS1" s="275"/>
      <c r="BT1" s="273" t="str">
        <f>IF('Données projet'!$B$12="","",'Données projet'!$B$12)</f>
        <v>Charme</v>
      </c>
      <c r="BU1" s="274"/>
      <c r="BV1" s="274"/>
      <c r="BW1" s="274"/>
      <c r="BX1" s="274"/>
      <c r="BY1" s="274"/>
      <c r="BZ1" s="274"/>
      <c r="CA1" s="274"/>
      <c r="CB1" s="274"/>
      <c r="CC1" s="274"/>
      <c r="CD1" s="274"/>
      <c r="CE1" s="274"/>
      <c r="CF1" s="274"/>
      <c r="CG1" s="274"/>
      <c r="CH1" s="274"/>
      <c r="CI1" s="274"/>
      <c r="CJ1" s="274"/>
      <c r="CK1" s="274"/>
      <c r="CL1" s="274"/>
      <c r="CM1" s="274"/>
      <c r="CN1" s="275"/>
      <c r="CO1" s="273" t="str">
        <f>IF('Données projet'!$B$13="","",'Données projet'!$B$13)</f>
        <v>Tilleul</v>
      </c>
      <c r="CP1" s="274"/>
      <c r="CQ1" s="274"/>
      <c r="CR1" s="274"/>
      <c r="CS1" s="274"/>
      <c r="CT1" s="274"/>
      <c r="CU1" s="274"/>
      <c r="CV1" s="274"/>
      <c r="CW1" s="274"/>
      <c r="CX1" s="274"/>
      <c r="CY1" s="274"/>
      <c r="CZ1" s="274"/>
      <c r="DA1" s="274"/>
      <c r="DB1" s="274"/>
      <c r="DC1" s="274"/>
      <c r="DD1" s="274"/>
      <c r="DE1" s="274"/>
      <c r="DF1" s="274"/>
      <c r="DG1" s="274"/>
      <c r="DH1" s="274"/>
      <c r="DI1" s="275"/>
      <c r="DJ1" s="273" t="str">
        <f>IF('Données projet'!$B$14="","",'Données projet'!$B$14)</f>
        <v>Aulne à feuilles en cœur</v>
      </c>
      <c r="DK1" s="274"/>
      <c r="DL1" s="274"/>
      <c r="DM1" s="274"/>
      <c r="DN1" s="274"/>
      <c r="DO1" s="274"/>
      <c r="DP1" s="274"/>
      <c r="DQ1" s="274"/>
      <c r="DR1" s="274"/>
      <c r="DS1" s="274"/>
      <c r="DT1" s="274"/>
      <c r="DU1" s="274"/>
      <c r="DV1" s="274"/>
      <c r="DW1" s="274"/>
      <c r="DX1" s="274"/>
      <c r="DY1" s="274"/>
      <c r="DZ1" s="274"/>
      <c r="EA1" s="274"/>
      <c r="EB1" s="274"/>
      <c r="EC1" s="274"/>
      <c r="ED1" s="275"/>
      <c r="EE1" s="273" t="str">
        <f>IF('Données projet'!$B$15="","",'Données projet'!$B$15)</f>
        <v>Hêtre</v>
      </c>
      <c r="EF1" s="274"/>
      <c r="EG1" s="274"/>
      <c r="EH1" s="274"/>
      <c r="EI1" s="274"/>
      <c r="EJ1" s="274"/>
      <c r="EK1" s="274"/>
      <c r="EL1" s="274"/>
      <c r="EM1" s="274"/>
      <c r="EN1" s="274"/>
      <c r="EO1" s="274"/>
      <c r="EP1" s="274"/>
      <c r="EQ1" s="274"/>
      <c r="ER1" s="274"/>
      <c r="ES1" s="274"/>
      <c r="ET1" s="274"/>
      <c r="EU1" s="274"/>
      <c r="EV1" s="274"/>
      <c r="EW1" s="274"/>
      <c r="EX1" s="274"/>
      <c r="EY1" s="275"/>
      <c r="EZ1" s="273" t="str">
        <f>IF('Données projet'!$B$16="","",'Données projet'!$B$16)</f>
        <v>Noyer</v>
      </c>
      <c r="FA1" s="274"/>
      <c r="FB1" s="274"/>
      <c r="FC1" s="274"/>
      <c r="FD1" s="274"/>
      <c r="FE1" s="274"/>
      <c r="FF1" s="274"/>
      <c r="FG1" s="274"/>
      <c r="FH1" s="274"/>
      <c r="FI1" s="274"/>
      <c r="FJ1" s="274"/>
      <c r="FK1" s="274"/>
      <c r="FL1" s="274"/>
      <c r="FM1" s="274"/>
      <c r="FN1" s="274"/>
      <c r="FO1" s="274"/>
      <c r="FP1" s="274"/>
      <c r="FQ1" s="274"/>
      <c r="FR1" s="274"/>
      <c r="FS1" s="274"/>
      <c r="FT1" s="275"/>
      <c r="FU1" s="273" t="str">
        <f>IF('Données projet'!$B$17="","",'Données projet'!$B$17)</f>
        <v>Douglas</v>
      </c>
      <c r="FV1" s="274"/>
      <c r="FW1" s="274"/>
      <c r="FX1" s="274"/>
      <c r="FY1" s="274"/>
      <c r="FZ1" s="274"/>
      <c r="GA1" s="274"/>
      <c r="GB1" s="274"/>
      <c r="GC1" s="274"/>
      <c r="GD1" s="274"/>
      <c r="GE1" s="274"/>
      <c r="GF1" s="274"/>
      <c r="GG1" s="274"/>
      <c r="GH1" s="274"/>
      <c r="GI1" s="274"/>
      <c r="GJ1" s="274"/>
      <c r="GK1" s="274"/>
      <c r="GL1" s="274"/>
      <c r="GM1" s="274"/>
      <c r="GN1" s="274"/>
      <c r="GO1" s="275"/>
      <c r="GP1" s="273" t="str">
        <f>IF('Données projet'!$B$18="","",'Données projet'!$B$18)</f>
        <v>Mélèze hybride</v>
      </c>
      <c r="GQ1" s="274"/>
      <c r="GR1" s="274"/>
      <c r="GS1" s="274"/>
      <c r="GT1" s="274"/>
      <c r="GU1" s="274"/>
      <c r="GV1" s="274"/>
      <c r="GW1" s="274"/>
      <c r="GX1" s="274"/>
      <c r="GY1" s="274"/>
      <c r="GZ1" s="274"/>
      <c r="HA1" s="274"/>
      <c r="HB1" s="274"/>
      <c r="HC1" s="274"/>
      <c r="HD1" s="274"/>
      <c r="HE1" s="274"/>
      <c r="HF1" s="274"/>
      <c r="HG1" s="274"/>
      <c r="HH1" s="274"/>
      <c r="HI1" s="274"/>
      <c r="HJ1" s="275"/>
    </row>
    <row r="2" spans="1:218" ht="65" thickBot="1" x14ac:dyDescent="0.25">
      <c r="A2" s="69" t="s">
        <v>178</v>
      </c>
      <c r="B2" s="70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4" t="s">
        <v>299</v>
      </c>
      <c r="I2" s="66" t="s">
        <v>298</v>
      </c>
      <c r="J2" s="67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7" t="s">
        <v>298</v>
      </c>
      <c r="AE2" s="67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6" t="s">
        <v>298</v>
      </c>
      <c r="AZ2" s="67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6" t="s">
        <v>298</v>
      </c>
      <c r="BU2" s="67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6" t="s">
        <v>298</v>
      </c>
      <c r="CP2" s="67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6" t="s">
        <v>298</v>
      </c>
      <c r="DK2" s="67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6" t="s">
        <v>298</v>
      </c>
      <c r="EF2" s="67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6" t="s">
        <v>298</v>
      </c>
      <c r="FA2" s="67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6" t="s">
        <v>298</v>
      </c>
      <c r="FV2" s="67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6" t="s">
        <v>298</v>
      </c>
      <c r="GQ2" s="67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1">
        <f>'Scénario référence'!$B$16*5+'Scénario référence'!$B$17*0+'Scénario référence'!$B$18*5</f>
        <v>3.3000000000000003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12.100000000000001</v>
      </c>
      <c r="H3" s="65">
        <f>(B3+E3+F3)*44/12+(C3+D3)*0.475*44/12</f>
        <v>208.26666666666665</v>
      </c>
      <c r="I3" s="6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7">
        <f t="shared" ref="R3:R66" si="0">Q3+(I3+J3)*44/12</f>
        <v>196.16666666666666</v>
      </c>
      <c r="S3" s="57">
        <f ca="1">AVERAGE(OFFSET($R$3,0,0,'Données projet'!$E$9+1,1))-AVERAGE(OFFSET($H$3,0,0,'Données projet'!$E$9+1,1))</f>
        <v>332.70145542047612</v>
      </c>
      <c r="T3" s="57">
        <f>IF('Données projet'!E9&gt;30,$R$33-$H$33,LOOKUP('Données projet'!$E$9,$A$3:$A$203,R3:R203)-LOOKUP('Données projet'!$E$9,$A$3:$A$203,$H$3:$H$203))</f>
        <v>172.22433737900428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7">
        <f>AL3+(AD3+AE3)*44/12</f>
        <v>196.16666666666666</v>
      </c>
      <c r="AN3" s="57">
        <f ca="1">AVERAGE(OFFSET($AM$3,0,0,'Données projet'!$E$10+1,1))-AVERAGE(OFFSET($H$3,0,0,'Données projet'!$E$10+1,1))</f>
        <v>469.4210143164521</v>
      </c>
      <c r="AO3" s="57">
        <f>IF('Données projet'!E10&gt;30,$AM$33-$H$33,LOOKUP('Données projet'!$E$10,$A$3:$A$203,AM3:AM203)-LOOKUP('Données projet'!$E$10,$A$3:$A$203,$H$3:$H$203))</f>
        <v>308.4508386530556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7">
        <f>BG3+(AY3+AZ3)*44/12</f>
        <v>196.16666666666666</v>
      </c>
      <c r="BI3" s="57">
        <f ca="1">AVERAGE(OFFSET($BH$3,0,0,'Données projet'!$E$11+1,1))-AVERAGE(OFFSET($H$3,0,0,'Données projet'!$E$11+1,1))</f>
        <v>344.32981377462971</v>
      </c>
      <c r="BJ3" s="57">
        <f>IF('Données projet'!E11&gt;30,$BH$33-$H$33,LOOKUP('Données projet'!$E$11,$A$3:$A$203,BH3:BH203)-LOOKUP('Données projet'!$E$11,$A$3:$A$203,$H$3:$H$203))</f>
        <v>334.42512656625763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7">
        <f>CB3+(BT3+BU3)*44/12</f>
        <v>196.16666666666666</v>
      </c>
      <c r="CD3" s="57">
        <f ca="1">AVERAGE(OFFSET($CC$3,0,0,'Données projet'!$E$12+1,1))-AVERAGE(OFFSET($H$3,0,0,'Données projet'!$E$12+1,1))</f>
        <v>498.77732039282807</v>
      </c>
      <c r="CE3" s="57">
        <f>IF('Données projet'!E12&gt;30,$CC$33-$H$33,LOOKUP('Données projet'!$E$12,$A$3:$A$203,CC3:CC203)-LOOKUP('Données projet'!$E$12,$A$3:$A$203,$H$3:$H$203))</f>
        <v>384.57317421826531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7">
        <f>CW3+(CO3+CP3)*44/12</f>
        <v>196.16666666666666</v>
      </c>
      <c r="CY3" s="57">
        <f ca="1">AVERAGE(OFFSET($CX$3,0,0,'Données projet'!$E$13+1,1))-AVERAGE(OFFSET($H$3,0,0,'Données projet'!$E$13+1,1))</f>
        <v>365.99625753737246</v>
      </c>
      <c r="CZ3" s="57">
        <f>IF('Données projet'!E13&gt;30,$CX$33-$H$33,LOOKUP('Données projet'!$E$13,$A$3:$A$203,CX3:CX203)-LOOKUP('Données projet'!$E$13,$A$3:$A$203,$H$3:$H$203))</f>
        <v>242.84814712692287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7">
        <f>DR3+(DJ3+DK3)*44/12</f>
        <v>196.16666666666666</v>
      </c>
      <c r="DT3" s="57">
        <f ca="1">AVERAGE(OFFSET($DS$3,0,0,'Données projet'!$E$14+1,1))-AVERAGE(OFFSET($H$3,0,0,'Données projet'!$E$14+1,1))</f>
        <v>313.79279628660527</v>
      </c>
      <c r="DU3" s="57">
        <f>IF('Données projet'!E14&gt;30,$DS$33-$H$33,LOOKUP('Données projet'!$E$14,$A$3:$A$203,DS3:DS203)-LOOKUP('Données projet'!$E$14,$A$3:$A$203,$H$3:$H$203))</f>
        <v>317.45469955216254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7">
        <f>EM3+(EE3+EF3)*44/12</f>
        <v>196.16666666666666</v>
      </c>
      <c r="EO3" s="57">
        <f ca="1">AVERAGE(OFFSET($EN$3,0,0,'Données projet'!$E$15+1,1))-AVERAGE(OFFSET($H$3,0,0,'Données projet'!$E$15+1,1))</f>
        <v>643.04899298561475</v>
      </c>
      <c r="EP3" s="57">
        <f>IF('Données projet'!E15&gt;30,$EN$33-$H$33,LOOKUP('Données projet'!$E$15,$A$3:$A$203,EN3:EN203)-LOOKUP('Données projet'!$E$15,$A$3:$A$203,$H$3:$H$203))</f>
        <v>474.94999304483031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7">
        <f>FH3+(EZ3+FA3)*44/12</f>
        <v>196.16666666666666</v>
      </c>
      <c r="FJ3" s="57">
        <f ca="1">AVERAGE(OFFSET($FI$3,0,0,'Données projet'!$E$16+1,1))-AVERAGE(OFFSET($H$3,0,0,'Données projet'!$E$16+1,1))</f>
        <v>375.34603719604439</v>
      </c>
      <c r="FK3" s="57">
        <f>IF('Données projet'!E16&gt;30,$FI$33-$H$33,LOOKUP('Données projet'!$E$16,$A$3:$A$203,FI3:FI203)-LOOKUP('Données projet'!$E$16,$A$3:$A$203,$H$3:$H$203))</f>
        <v>363.99476973672211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7">
        <f>GC3+(FU3+FV3)*44/12</f>
        <v>196.16666666666666</v>
      </c>
      <c r="GE3" s="57">
        <f ca="1">AVERAGE(OFFSET($GD$3,0,0,'Données projet'!$E$17+1,1))-AVERAGE(OFFSET($H$3,0,0,'Données projet'!$E$17+1,1))</f>
        <v>414.47327143450701</v>
      </c>
      <c r="GF3" s="57">
        <f>IF('Données projet'!E17&gt;30,$GD$33-$H$33,LOOKUP('Données projet'!$E$17,$A$3:$A$203,GD3:GD203)-LOOKUP('Données projet'!$E$17,$A$3:$A$203,$H$3:$H$203))</f>
        <v>546.83385887302961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>
        <f>GU3*VLOOKUP('Données projet'!$B$18,Paramètres!$A$1:$I$89,3,0)*VLOOKUP('Données projet'!$B$18,Paramètres!$A$1:$I$89,5,0)</f>
        <v>0</v>
      </c>
      <c r="GW3" s="12">
        <v>0</v>
      </c>
      <c r="GX3" s="14">
        <f>(GV3+GW3)*0.475*44/12</f>
        <v>0</v>
      </c>
      <c r="GY3" s="57">
        <f>GX3+(GP3+GQ3)*44/12</f>
        <v>196.16666666666666</v>
      </c>
      <c r="GZ3" s="57">
        <f ca="1">AVERAGE(OFFSET($GY$3,0,0,'Données projet'!$E$18+1,1))-AVERAGE(OFFSET($H$3,0,0,'Données projet'!$E$18+1,1))</f>
        <v>381.00532469288714</v>
      </c>
      <c r="HA3" s="57">
        <f>IF('Données projet'!E18&gt;30,$GY$33-$H$33,LOOKUP('Données projet'!$E$18,$A$3:$A$203,GY3:GY203)-LOOKUP('Données projet'!$E$18,$A$3:$A$203,$H$3:$H$203))</f>
        <v>314.875259641757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1">
        <f>'Scénario référence'!$B$16*5+'Scénario référence'!$B$17*0+'Scénario référence'!$B$18*5</f>
        <v>3.3000000000000003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12.100000000000001</v>
      </c>
      <c r="H4" s="65">
        <f t="shared" ref="H4:H67" si="1">(B4+E4+F4)*44/12+(C4+D4)*0.475*44/12</f>
        <v>208.26666666666665</v>
      </c>
      <c r="I4" s="6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53.786238111526288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1.2</v>
      </c>
      <c r="N4" s="13">
        <f>IF('Données projet'!$A$36&gt;35,N3+M4-V3,IF(A4&lt;'Données projet'!$A$36,$K$205^A4,IF(A4='Données projet'!$A$36,'Données projet'!$B$36,N3+M4-V3)))</f>
        <v>1.1457367676485573</v>
      </c>
      <c r="O4" s="13">
        <f>N4*VLOOKUP('Données projet'!$B$9,Paramètres!$A$1:$I$89,3,0)*VLOOKUP('Données projet'!$B$9,Paramètres!$A$1:$I$89,5,0)</f>
        <v>1.161777082395637</v>
      </c>
      <c r="P4" s="13">
        <f>EXP(-1.0587+0.8836*LN(O4)+0.284)</f>
        <v>0.52613182870286601</v>
      </c>
      <c r="Q4" s="20">
        <f t="shared" ref="Q4:Q34" si="2">(O4+P4)*0.475*44/12</f>
        <v>2.9397746868298928</v>
      </c>
      <c r="R4" s="57">
        <f t="shared" si="0"/>
        <v>201.37820331798187</v>
      </c>
      <c r="S4" s="57">
        <f ca="1">AVERAGE(OFFSET($R$3,0,0,'Données projet'!$E$9+1,1))-AVERAGE(OFFSET($H$3,0,0,'Données projet'!$E$9+1,1))</f>
        <v>332.70145542047612</v>
      </c>
      <c r="T4" s="57">
        <f>$T$3</f>
        <v>172.22433737900428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53.786238111526288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4.3352272727272725</v>
      </c>
      <c r="AI4" s="13">
        <f>IF('Données projet'!$A$62&gt;35,AI3+AH4-AQ3,IF(A4&lt;'Données projet'!$A$62,$AF$205^A4,IF(A4='Données projet'!$A$62,'Données projet'!$B$62,AI3+AH4-AQ3)))</f>
        <v>4.3352272727272725</v>
      </c>
      <c r="AJ4" s="13">
        <f>AI4*VLOOKUP('Données projet'!$B$10,Paramètres!$A$1:$I$89,3,0)*VLOOKUP('Données projet'!$B$10,Paramètres!$A$1:$I$89,5,0)</f>
        <v>3.9225136363636359</v>
      </c>
      <c r="AK4" s="13">
        <f>EXP(-1.0587+0.8836*LN(AJ4)+0.284)</f>
        <v>1.5417914165620541</v>
      </c>
      <c r="AL4" s="20">
        <f t="shared" ref="AL4:AL67" si="4">(AJ4+AK4)*0.475*44/12</f>
        <v>9.5169979671789093</v>
      </c>
      <c r="AM4" s="57">
        <f t="shared" ref="AM4:AM67" si="5">AL4+(AD4+AE4)*44/12</f>
        <v>207.95542659833086</v>
      </c>
      <c r="AN4" s="57">
        <f ca="1">AVERAGE(OFFSET($AM$3,0,0,'Données projet'!$E$10+1,1))-AVERAGE(OFFSET($H$3,0,0,'Données projet'!$E$10+1,1))</f>
        <v>469.4210143164521</v>
      </c>
      <c r="AO4" s="57">
        <f>$AO$3</f>
        <v>308.4508386530556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53.786238111526288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1.1000000000000001</v>
      </c>
      <c r="BD4" s="12">
        <f>IF('Données projet'!$A$88&gt;35,BD3+BC4-BL3,IF(A4&lt;'Données projet'!$A$88,$BA$205^A4,IF(A4='Données projet'!$A$88,'Données projet'!$B$88,BD3+BC4-BL3)))</f>
        <v>1.2709816152101407</v>
      </c>
      <c r="BE4" s="13">
        <f>BD4*VLOOKUP('Données projet'!$B$11,Paramètres!$A$1:$I$89,3,0)*VLOOKUP('Données projet'!$B$11,Paramètres!$A$1:$I$89,5,0)</f>
        <v>0.93188372027207511</v>
      </c>
      <c r="BF4" s="13">
        <f>EXP(-1.0587+0.8836*LN(BE4)+0.284)</f>
        <v>0.43299221190803017</v>
      </c>
      <c r="BG4" s="20">
        <f t="shared" ref="BG4:BG67" si="7">(BE4+BF4)*0.475*44/12</f>
        <v>2.3771589152136832</v>
      </c>
      <c r="BH4" s="57">
        <f t="shared" ref="BH4:BH67" si="8">BG4+(AY4+AZ4)*44/12</f>
        <v>200.81558754636563</v>
      </c>
      <c r="BI4" s="57">
        <f ca="1">AVERAGE(OFFSET($BH$3,0,0,'Données projet'!$E$11+1,1))-AVERAGE(OFFSET($H$3,0,0,'Données projet'!$E$11+1,1))</f>
        <v>344.32981377462971</v>
      </c>
      <c r="BJ4" s="57">
        <f>$BJ$3</f>
        <v>334.42512656625763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53.786238111526288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4.04</v>
      </c>
      <c r="BY4" s="12">
        <f>IF('Données projet'!$A$114&gt;35,BY3+BX4-CG3,IF(A4&lt;'Données projet'!$A$114,$BV$205^A4,IF(A4='Données projet'!$A$114,'Données projet'!$B$114,BY3+BX4-CG3)))</f>
        <v>1.2027430470140261</v>
      </c>
      <c r="BZ4" s="13">
        <f>BY4*VLOOKUP('Données projet'!$B$12,Paramètres!$A$1:$I$89,3,0)*VLOOKUP('Données projet'!$B$12,Paramètres!$A$1:$I$89,5,0)</f>
        <v>1.1445302835385474</v>
      </c>
      <c r="CA4" s="13">
        <f>EXP(-1.0587+0.8836*LN(BZ4)+0.284)</f>
        <v>0.51922445222219726</v>
      </c>
      <c r="CB4" s="20">
        <f t="shared" ref="CB4:CB67" si="10">(BZ4+CA4)*0.475*44/12</f>
        <v>2.8977061647832971</v>
      </c>
      <c r="CC4" s="57">
        <f t="shared" ref="CC4:CC67" si="11">CB4+(BT4+BU4)*44/12</f>
        <v>201.33613479593527</v>
      </c>
      <c r="CD4" s="57">
        <f ca="1">AVERAGE(OFFSET($CC$3,0,0,'Données projet'!$E$12+1,1))-AVERAGE(OFFSET($H$3,0,0,'Données projet'!$E$12+1,1))</f>
        <v>498.77732039282807</v>
      </c>
      <c r="CE4" s="57">
        <f>$CE$3</f>
        <v>384.57317421826531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53.786238111526288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4.3352272727272725</v>
      </c>
      <c r="CT4" s="12">
        <f>IF('Données projet'!$A$140&gt;35,CT3+CS4-DB3,IF(A4&lt;'Données projet'!$A$140,$CQ$205^A4,IF(A4='Données projet'!$A$140,'Données projet'!$B$140,CT3+CS4-DB3)))</f>
        <v>4.3352272727272725</v>
      </c>
      <c r="CU4" s="17">
        <f>CT4*VLOOKUP('Données projet'!$B$13,Paramètres!$A$1:$I$89,3,0)*VLOOKUP('Données projet'!$B$13,Paramètres!$A$1:$I$89,5,0)</f>
        <v>2.9080704545454545</v>
      </c>
      <c r="CV4" s="13">
        <f>EXP(-1.0587+0.8836*LN(CU4)+0.284)</f>
        <v>1.1835684390612413</v>
      </c>
      <c r="CW4" s="20">
        <f t="shared" ref="CW4:CW67" si="13">(CU4+CV4)*0.475*44/12</f>
        <v>7.1262710730316625</v>
      </c>
      <c r="CX4" s="57">
        <f t="shared" ref="CX4:CX67" si="14">CW4+(CO4+CP4)*44/12</f>
        <v>205.56469970418362</v>
      </c>
      <c r="CY4" s="57">
        <f ca="1">AVERAGE(OFFSET($CX$3,0,0,'Données projet'!$E$13+1,1))-AVERAGE(OFFSET($H$3,0,0,'Données projet'!$E$13+1,1))</f>
        <v>365.99625753737246</v>
      </c>
      <c r="CZ4" s="57">
        <f>$CZ$3</f>
        <v>242.84814712692287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53.786238111526288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1.4</v>
      </c>
      <c r="DO4" s="12">
        <f>IF('Données projet'!$A$166&gt;35,DO3+DN4-DW3,IF(A4&lt;'Données projet'!$A$166,$DL$205^A4,IF(A4='Données projet'!$A$166,'Données projet'!$B$166,DO3+DN4-DW3)))</f>
        <v>1.3020054543174677</v>
      </c>
      <c r="DP4" s="17">
        <f>DO4*VLOOKUP('Données projet'!$B$14,Paramètres!$A$1:$I$89,3,0)*VLOOKUP('Données projet'!$B$14,Paramètres!$A$1:$I$89,5,0)</f>
        <v>0.85307397366880489</v>
      </c>
      <c r="DQ4" s="13">
        <f>EXP(-1.0587+0.8836*LN(DP4)+0.284)</f>
        <v>0.40047176901361836</v>
      </c>
      <c r="DR4" s="20">
        <f t="shared" ref="DR4:DR67" si="16">(DP4+DQ4)*0.475*44/12</f>
        <v>2.1832588351718871</v>
      </c>
      <c r="DS4" s="57">
        <f t="shared" ref="DS4:DS67" si="17">DR4+(DJ4+DK4)*44/12</f>
        <v>200.62168746632386</v>
      </c>
      <c r="DT4" s="57">
        <f ca="1">AVERAGE(OFFSET($DS$3,0,0,'Données projet'!$E$14+1,1))-AVERAGE(OFFSET($H$3,0,0,'Données projet'!$E$14+1,1))</f>
        <v>313.79279628660527</v>
      </c>
      <c r="DU4" s="57">
        <f>$DU$3</f>
        <v>317.45469955216254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53.786238111526288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0.6</v>
      </c>
      <c r="EJ4" s="12">
        <f>IF('Données projet'!$A$192&gt;35,EJ3+EI4-ER3,IF(A4&lt;'Données projet'!$A$192,$EG$205^A4,IF(A4='Données projet'!$A$192,'Données projet'!$B$192,EJ3+EI4-ER3)))</f>
        <v>1.1577536725165907</v>
      </c>
      <c r="EK4" s="17">
        <f>EJ4*VLOOKUP('Données projet'!$B$15,Paramètres!$A$1:$I$89,3,0)*VLOOKUP('Données projet'!$B$15,Paramètres!$A$1:$I$89,5,0)</f>
        <v>0.99335265101923498</v>
      </c>
      <c r="EL4" s="13">
        <f>EXP(-1.0587+0.8836*LN(EK4)+0.284)</f>
        <v>0.45813416254999073</v>
      </c>
      <c r="EM4" s="20">
        <f t="shared" ref="EM4:EM67" si="19">(EK4+EL4)*0.475*44/12</f>
        <v>2.528006200299735</v>
      </c>
      <c r="EN4" s="57">
        <f t="shared" ref="EN4:EN67" si="20">EM4+(EE4+EF4)*44/12</f>
        <v>200.96643483145169</v>
      </c>
      <c r="EO4" s="57">
        <f ca="1">AVERAGE(OFFSET($EN$3,0,0,'Données projet'!$E$15+1,1))-AVERAGE(OFFSET($H$3,0,0,'Données projet'!$E$15+1,1))</f>
        <v>643.04899298561475</v>
      </c>
      <c r="EP4" s="57">
        <f>$EP$3</f>
        <v>474.94999304483031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53.786238111526288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1.1000000000000001</v>
      </c>
      <c r="FE4" s="12">
        <f>IF('Données projet'!$A$218&gt;35,FE3+FD4-FM3,IF(A4&lt;'Données projet'!$A$218,$FB$205^A4,IF(A4='Données projet'!$A$218,'Données projet'!$B$218,FE3+FD4-FM3)))</f>
        <v>1.2709816152101407</v>
      </c>
      <c r="FF4" s="17">
        <f>FE4*VLOOKUP('Données projet'!$B$16,Paramètres!$A$1:$I$89,3,0)*VLOOKUP('Données projet'!$B$16,Paramètres!$A$1:$I$89,5,0)</f>
        <v>1.0310202862584663</v>
      </c>
      <c r="FG4" s="13">
        <f>EXP(-1.0587+0.8836*LN(FF4)+0.284)</f>
        <v>0.47345092792653765</v>
      </c>
      <c r="FH4" s="20">
        <f t="shared" ref="FH4:FH67" si="22">(FF4+FG4)*0.475*44/12</f>
        <v>2.6202873647055487</v>
      </c>
      <c r="FI4" s="57">
        <f t="shared" ref="FI4:FI67" si="23">FH4+(EZ4+FA4)*44/12</f>
        <v>201.05871599585751</v>
      </c>
      <c r="FJ4" s="57">
        <f ca="1">AVERAGE(OFFSET($FI$3,0,0,'Données projet'!$E$16+1,1))-AVERAGE(OFFSET($H$3,0,0,'Données projet'!$E$16+1,1))</f>
        <v>375.34603719604439</v>
      </c>
      <c r="FK4" s="57">
        <f>$FK$3</f>
        <v>363.99476973672211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53.786238111526288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10.163529411764706</v>
      </c>
      <c r="FZ4" s="12">
        <f>IF('Données projet'!$A$244&gt;35,FZ3+FY4-GH3,IF(A4&lt;'Données projet'!$A$244,$FW$205^A4,IF(A4='Données projet'!$A$244,'Données projet'!$B$244,FZ3+FY4-GH3)))</f>
        <v>1.3539956307764309</v>
      </c>
      <c r="GA4" s="17">
        <f>FZ4*VLOOKUP('Données projet'!$B$17,Paramètres!$A$1:$I$89,3,0)*VLOOKUP('Données projet'!$B$17,Paramètres!$A$1:$I$89,5,0)</f>
        <v>0.75688355760402493</v>
      </c>
      <c r="GB4" s="13">
        <f>EXP(-1.0587+0.8836*LN(GA4)+0.284)</f>
        <v>0.36029824926500498</v>
      </c>
      <c r="GC4" s="20">
        <f t="shared" ref="GC4:GC67" si="25">(GA4+GB4)*0.475*44/12</f>
        <v>1.945758313630227</v>
      </c>
      <c r="GD4" s="57">
        <f t="shared" ref="GD4:GD67" si="26">GC4+(FU4+FV4)*44/12</f>
        <v>200.38418694478219</v>
      </c>
      <c r="GE4" s="57">
        <f ca="1">AVERAGE(OFFSET($GD$3,0,0,'Données projet'!$E$17+1,1))-AVERAGE(OFFSET($H$3,0,0,'Données projet'!$E$17+1,1))</f>
        <v>414.47327143450701</v>
      </c>
      <c r="GF4" s="57">
        <f>$GF$3</f>
        <v>546.83385887302961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53.786238111526288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2.7</v>
      </c>
      <c r="GU4" s="12">
        <f>IF('Données projet'!$A$270&gt;35,GU3+GT4-HC3,IF(A4&lt;'Données projet'!$A$270,$GR$205^A4,IF(A4='Données projet'!$A$270,'Données projet'!$B$270,GU3+GT4-HC3)))</f>
        <v>1.3903891703159093</v>
      </c>
      <c r="GV4" s="17">
        <f>GU4*VLOOKUP('Données projet'!$B$18,Paramètres!$A$1:$I$89,3,0)*VLOOKUP('Données projet'!$B$18,Paramètres!$A$1:$I$89,5,0)</f>
        <v>0.75915248699248639</v>
      </c>
      <c r="GW4" s="13">
        <f>EXP(-1.0587+0.8836*LN(GV4)+0.284)</f>
        <v>0.36125243754087166</v>
      </c>
      <c r="GX4" s="20">
        <f t="shared" ref="GX4:GX67" si="28">(GV4+GW4)*0.475*44/12</f>
        <v>1.951371910228932</v>
      </c>
      <c r="GY4" s="57">
        <f t="shared" ref="GY4:GY67" si="29">GX4+(GP4+GQ4)*44/12</f>
        <v>200.38980054138091</v>
      </c>
      <c r="GZ4" s="57">
        <f ca="1">AVERAGE(OFFSET($GY$3,0,0,'Données projet'!$E$18+1,1))-AVERAGE(OFFSET($H$3,0,0,'Données projet'!$E$18+1,1))</f>
        <v>381.00532469288714</v>
      </c>
      <c r="HA4" s="57">
        <f>$HA$3</f>
        <v>314.875259641757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>
        <f>EXP(-LN(2)/35)*HG3+(1-EXP(-LN(2)/35))/(LN(2)/35)*HC4*HD4*VLOOKUP('Données projet'!$B$18,Paramètres!$A$1:$I$89,3,0)*0.475*44/12</f>
        <v>0</v>
      </c>
      <c r="HH4" s="21">
        <f>EXP(-LN(2)/25)*HH3+(1-EXP(-LN(2)/25))/(LN(2)/25)*Calculateur!HC4*Calculateur!HE4*VLOOKUP('Données projet'!$B$18,Paramètres!$A$1:$I$89,3,0)*0.475*44/12</f>
        <v>0</v>
      </c>
      <c r="HI4" s="21">
        <f>EXP(-LN(2)/2)*HI3+(1-EXP(-LN(2)/2))/(LN(2)/2)*HC4*HF4*VLOOKUP('Données projet'!$B$18,Paramètres!$A$1:$I$89,3,0)*0.475*44/12</f>
        <v>0</v>
      </c>
      <c r="HJ4" s="22">
        <f t="shared" ref="HJ4:HJ67" si="30">SUM(HG4:HI4)</f>
        <v>0</v>
      </c>
    </row>
    <row r="5" spans="1:218" x14ac:dyDescent="0.2">
      <c r="A5" s="10">
        <f t="shared" ref="A5:A68" si="31">A4+1</f>
        <v>2</v>
      </c>
      <c r="B5" s="71">
        <f>'Scénario référence'!$B$16*5+'Scénario référence'!$B$17*0+'Scénario référence'!$B$18*5</f>
        <v>3.3000000000000003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12.100000000000001</v>
      </c>
      <c r="H5" s="65">
        <f t="shared" si="1"/>
        <v>208.26666666666665</v>
      </c>
      <c r="I5" s="6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54.067510631750153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1.2</v>
      </c>
      <c r="N5" s="13">
        <f>IF('Données projet'!$A$36&gt;35,N4+M5-V4,IF(A5&lt;'Données projet'!$A$36,$K$205^A5,IF(A5='Données projet'!$A$36,'Données projet'!$B$36,N4+M5-V4)))</f>
        <v>1.312712740741764</v>
      </c>
      <c r="O5" s="13">
        <f>N5*VLOOKUP('Données projet'!$B$9,Paramètres!$A$1:$I$89,3,0)*VLOOKUP('Données projet'!$B$9,Paramètres!$A$1:$I$89,5,0)</f>
        <v>1.3310907191121488</v>
      </c>
      <c r="P5" s="13">
        <f t="shared" ref="P5:P68" si="33">EXP(-1.0587+0.8836*LN(O5)+0.284)</f>
        <v>0.59333770733536928</v>
      </c>
      <c r="Q5" s="20">
        <f t="shared" si="2"/>
        <v>3.3517128427294267</v>
      </c>
      <c r="R5" s="57">
        <f t="shared" si="0"/>
        <v>204.04369627025778</v>
      </c>
      <c r="S5" s="57">
        <f ca="1">AVERAGE(OFFSET($R$3,0,0,'Données projet'!$E$9+1,1))-AVERAGE(OFFSET($H$3,0,0,'Données projet'!$E$9+1,1))</f>
        <v>332.70145542047612</v>
      </c>
      <c r="T5" s="57">
        <f t="shared" ref="T5:T68" si="34">$T$3</f>
        <v>172.22433737900428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54.067510631750153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4.3352272727272725</v>
      </c>
      <c r="AI5" s="13">
        <f>IF('Données projet'!$A$62&gt;35,AI4+AH5-AQ4,IF(A5&lt;'Données projet'!$A$62,$AF$205^A5,IF(A5='Données projet'!$A$62,'Données projet'!$B$62,AI4+AH5-AQ4)))</f>
        <v>8.670454545454545</v>
      </c>
      <c r="AJ5" s="13">
        <f>AI5*VLOOKUP('Données projet'!$B$10,Paramètres!$A$1:$I$89,3,0)*VLOOKUP('Données projet'!$B$10,Paramètres!$A$1:$I$89,5,0)</f>
        <v>7.8450272727272718</v>
      </c>
      <c r="AK5" s="13">
        <f t="shared" ref="AK5:AK68" si="35">EXP(-1.0587+0.8836*LN(AJ5)+0.284)</f>
        <v>2.8445641197571301</v>
      </c>
      <c r="AL5" s="20">
        <f t="shared" si="4"/>
        <v>18.617705008577001</v>
      </c>
      <c r="AM5" s="57">
        <f t="shared" si="5"/>
        <v>219.30968843610535</v>
      </c>
      <c r="AN5" s="57">
        <f ca="1">AVERAGE(OFFSET($AM$3,0,0,'Données projet'!$E$10+1,1))-AVERAGE(OFFSET($H$3,0,0,'Données projet'!$E$10+1,1))</f>
        <v>469.4210143164521</v>
      </c>
      <c r="AO5" s="57">
        <f t="shared" ref="AO5:AO68" si="36">$AO$3</f>
        <v>308.4508386530556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54.067510631750153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1.1000000000000001</v>
      </c>
      <c r="BD5" s="12">
        <f>IF('Données projet'!$A$88&gt;35,BD4+BC5-BL4,IF(A5&lt;'Données projet'!$A$88,$BA$205^A5,IF(A5='Données projet'!$A$88,'Données projet'!$B$88,BD4+BC5-BL4)))</f>
        <v>1.6153942662021783</v>
      </c>
      <c r="BE5" s="13">
        <f>BD5*VLOOKUP('Données projet'!$B$11,Paramètres!$A$1:$I$89,3,0)*VLOOKUP('Données projet'!$B$11,Paramètres!$A$1:$I$89,5,0)</f>
        <v>1.1844070759794372</v>
      </c>
      <c r="BF5" s="13">
        <f t="shared" ref="BF5:BF68" si="37">EXP(-1.0587+0.8836*LN(BE5)+0.284)</f>
        <v>0.53517712549257934</v>
      </c>
      <c r="BG5" s="20">
        <f t="shared" si="7"/>
        <v>2.9949424842304286</v>
      </c>
      <c r="BH5" s="57">
        <f t="shared" si="8"/>
        <v>203.68692591175878</v>
      </c>
      <c r="BI5" s="57">
        <f ca="1">AVERAGE(OFFSET($BH$3,0,0,'Données projet'!$E$11+1,1))-AVERAGE(OFFSET($H$3,0,0,'Données projet'!$E$11+1,1))</f>
        <v>344.32981377462971</v>
      </c>
      <c r="BJ5" s="57">
        <f t="shared" ref="BJ5:BJ68" si="38">$BJ$3</f>
        <v>334.42512656625763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54.067510631750153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4.04</v>
      </c>
      <c r="BY5" s="12">
        <f>IF('Données projet'!$A$114&gt;35,BY4+BX5-CG4,IF(A5&lt;'Données projet'!$A$114,$BV$205^A5,IF(A5='Données projet'!$A$114,'Données projet'!$B$114,BY4+BX5-CG4)))</f>
        <v>1.4465908371405838</v>
      </c>
      <c r="BZ5" s="13">
        <f>BY5*VLOOKUP('Données projet'!$B$12,Paramètres!$A$1:$I$89,3,0)*VLOOKUP('Données projet'!$B$12,Paramètres!$A$1:$I$89,5,0)</f>
        <v>1.3765758406229796</v>
      </c>
      <c r="CA5" s="13">
        <f t="shared" ref="CA5:CA68" si="39">EXP(-1.0587+0.8836*LN(BZ5)+0.284)</f>
        <v>0.61121762844511918</v>
      </c>
      <c r="CB5" s="20">
        <f t="shared" si="10"/>
        <v>3.4620736252936051</v>
      </c>
      <c r="CC5" s="57">
        <f t="shared" si="11"/>
        <v>204.15405705282197</v>
      </c>
      <c r="CD5" s="57">
        <f ca="1">AVERAGE(OFFSET($CC$3,0,0,'Données projet'!$E$12+1,1))-AVERAGE(OFFSET($H$3,0,0,'Données projet'!$E$12+1,1))</f>
        <v>498.77732039282807</v>
      </c>
      <c r="CE5" s="57">
        <f t="shared" ref="CE5:CE68" si="40">$CE$3</f>
        <v>384.57317421826531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54.067510631750153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4.3352272727272725</v>
      </c>
      <c r="CT5" s="12">
        <f>IF('Données projet'!$A$140&gt;35,CT4+CS5-DB4,IF(A5&lt;'Données projet'!$A$140,$CQ$205^A5,IF(A5='Données projet'!$A$140,'Données projet'!$B$140,CT4+CS5-DB4)))</f>
        <v>8.670454545454545</v>
      </c>
      <c r="CU5" s="17">
        <f>CT5*VLOOKUP('Données projet'!$B$13,Paramètres!$A$1:$I$89,3,0)*VLOOKUP('Données projet'!$B$13,Paramètres!$A$1:$I$89,5,0)</f>
        <v>5.8161409090909091</v>
      </c>
      <c r="CV5" s="13">
        <f t="shared" ref="CV5:CV68" si="41">EXP(-1.0587+0.8836*LN(CU5)+0.284)</f>
        <v>2.1836522624687067</v>
      </c>
      <c r="CW5" s="20">
        <f t="shared" si="13"/>
        <v>13.932973107132996</v>
      </c>
      <c r="CX5" s="57">
        <f t="shared" si="14"/>
        <v>214.62495653466135</v>
      </c>
      <c r="CY5" s="57">
        <f ca="1">AVERAGE(OFFSET($CX$3,0,0,'Données projet'!$E$13+1,1))-AVERAGE(OFFSET($H$3,0,0,'Données projet'!$E$13+1,1))</f>
        <v>365.99625753737246</v>
      </c>
      <c r="CZ5" s="57">
        <f t="shared" ref="CZ5:CZ68" si="42">$CZ$3</f>
        <v>242.84814712692287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54.067510631750153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1.4</v>
      </c>
      <c r="DO5" s="12">
        <f>IF('Données projet'!$A$166&gt;35,DO4+DN5-DW4,IF(A5&lt;'Données projet'!$A$166,$DL$205^A5,IF(A5='Données projet'!$A$166,'Données projet'!$B$166,DO4+DN5-DW4)))</f>
        <v>1.6952182030724354</v>
      </c>
      <c r="DP5" s="17">
        <f>DO5*VLOOKUP('Données projet'!$B$14,Paramètres!$A$1:$I$89,3,0)*VLOOKUP('Données projet'!$B$14,Paramètres!$A$1:$I$89,5,0)</f>
        <v>1.1107069666530596</v>
      </c>
      <c r="DQ5" s="13">
        <f t="shared" ref="DQ5:DQ68" si="43">EXP(-1.0587+0.8836*LN(DP5)+0.284)</f>
        <v>0.50564274395751485</v>
      </c>
      <c r="DR5" s="20">
        <f t="shared" si="16"/>
        <v>2.8151424126467504</v>
      </c>
      <c r="DS5" s="57">
        <f t="shared" si="17"/>
        <v>203.50712584017509</v>
      </c>
      <c r="DT5" s="57">
        <f ca="1">AVERAGE(OFFSET($DS$3,0,0,'Données projet'!$E$14+1,1))-AVERAGE(OFFSET($H$3,0,0,'Données projet'!$E$14+1,1))</f>
        <v>313.79279628660527</v>
      </c>
      <c r="DU5" s="57">
        <f t="shared" ref="DU5:DU68" si="44">$DU$3</f>
        <v>317.45469955216254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54.067510631750153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0.6</v>
      </c>
      <c r="EJ5" s="12">
        <f>IF('Données projet'!$A$192&gt;35,EJ4+EI5-ER4,IF(A5&lt;'Données projet'!$A$192,$EG$205^A5,IF(A5='Données projet'!$A$192,'Données projet'!$B$192,EJ4+EI5-ER4)))</f>
        <v>1.340393566225653</v>
      </c>
      <c r="EK5" s="17">
        <f>EJ5*VLOOKUP('Données projet'!$B$15,Paramètres!$A$1:$I$89,3,0)*VLOOKUP('Données projet'!$B$15,Paramètres!$A$1:$I$89,5,0)</f>
        <v>1.1500576798216104</v>
      </c>
      <c r="EL5" s="13">
        <f t="shared" ref="EL5:EL68" si="45">EXP(-1.0587+0.8836*LN(EK5)+0.284)</f>
        <v>0.52143949588755789</v>
      </c>
      <c r="EM5" s="20">
        <f t="shared" si="19"/>
        <v>2.9111909143601342</v>
      </c>
      <c r="EN5" s="57">
        <f t="shared" si="20"/>
        <v>203.60317434188849</v>
      </c>
      <c r="EO5" s="57">
        <f ca="1">AVERAGE(OFFSET($EN$3,0,0,'Données projet'!$E$15+1,1))-AVERAGE(OFFSET($H$3,0,0,'Données projet'!$E$15+1,1))</f>
        <v>643.04899298561475</v>
      </c>
      <c r="EP5" s="57">
        <f t="shared" ref="EP5:EP68" si="46">$EP$3</f>
        <v>474.94999304483031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54.067510631750153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1.1000000000000001</v>
      </c>
      <c r="FE5" s="12">
        <f>IF('Données projet'!$A$218&gt;35,FE4+FD5-FM4,IF(A5&lt;'Données projet'!$A$218,$FB$205^A5,IF(A5='Données projet'!$A$218,'Données projet'!$B$218,FE4+FD5-FM4)))</f>
        <v>1.6153942662021783</v>
      </c>
      <c r="FF5" s="17">
        <f>FE5*VLOOKUP('Données projet'!$B$16,Paramètres!$A$1:$I$89,3,0)*VLOOKUP('Données projet'!$B$16,Paramètres!$A$1:$I$89,5,0)</f>
        <v>1.310407828743207</v>
      </c>
      <c r="FG5" s="13">
        <f t="shared" ref="FG5:FG68" si="47">EXP(-1.0587+0.8836*LN(FF5)+0.284)</f>
        <v>0.58518398183877263</v>
      </c>
      <c r="FH5" s="20">
        <f t="shared" si="22"/>
        <v>3.3014890700969475</v>
      </c>
      <c r="FI5" s="57">
        <f t="shared" si="23"/>
        <v>203.99347249762531</v>
      </c>
      <c r="FJ5" s="57">
        <f ca="1">AVERAGE(OFFSET($FI$3,0,0,'Données projet'!$E$16+1,1))-AVERAGE(OFFSET($H$3,0,0,'Données projet'!$E$16+1,1))</f>
        <v>375.34603719604439</v>
      </c>
      <c r="FK5" s="57">
        <f t="shared" ref="FK5:FK68" si="48">$FK$3</f>
        <v>363.99476973672211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54.067510631750153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10.163529411764706</v>
      </c>
      <c r="FZ5" s="12">
        <f>IF('Données projet'!$A$244&gt;35,FZ4+FY5-GH4,IF(A5&lt;'Données projet'!$A$244,$FW$205^A5,IF(A5='Données projet'!$A$244,'Données projet'!$B$244,FZ4+FY5-GH4)))</f>
        <v>1.8333041681616651</v>
      </c>
      <c r="GA5" s="17">
        <f>FZ5*VLOOKUP('Données projet'!$B$17,Paramètres!$A$1:$I$89,3,0)*VLOOKUP('Données projet'!$B$17,Paramètres!$A$1:$I$89,5,0)</f>
        <v>1.0248170300023709</v>
      </c>
      <c r="GB5" s="13">
        <f t="shared" ref="GB5:GB68" si="49">EXP(-1.0587+0.8836*LN(GA5)+0.284)</f>
        <v>0.47093304471840119</v>
      </c>
      <c r="GC5" s="20">
        <f t="shared" si="25"/>
        <v>2.6050980468053448</v>
      </c>
      <c r="GD5" s="57">
        <f t="shared" si="26"/>
        <v>203.29708147433371</v>
      </c>
      <c r="GE5" s="57">
        <f ca="1">AVERAGE(OFFSET($GD$3,0,0,'Données projet'!$E$17+1,1))-AVERAGE(OFFSET($H$3,0,0,'Données projet'!$E$17+1,1))</f>
        <v>414.47327143450701</v>
      </c>
      <c r="GF5" s="57">
        <f t="shared" ref="GF5:GF68" si="50">$GF$3</f>
        <v>546.83385887302961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54.067510631750153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2.7</v>
      </c>
      <c r="GU5" s="12">
        <f>IF('Données projet'!$A$270&gt;35,GU4+GT5-HC4,IF(A5&lt;'Données projet'!$A$270,$GR$205^A5,IF(A5='Données projet'!$A$270,'Données projet'!$B$270,GU4+GT5-HC4)))</f>
        <v>1.9331820449317625</v>
      </c>
      <c r="GV5" s="17">
        <f>GU5*VLOOKUP('Données projet'!$B$18,Paramètres!$A$1:$I$89,3,0)*VLOOKUP('Données projet'!$B$18,Paramètres!$A$1:$I$89,5,0)</f>
        <v>1.0555173965327425</v>
      </c>
      <c r="GW5" s="13">
        <f t="shared" ref="GW5:GW68" si="51">EXP(-1.0587+0.8836*LN(GV5)+0.284)</f>
        <v>0.48337711838327396</v>
      </c>
      <c r="GX5" s="20">
        <f t="shared" si="28"/>
        <v>2.6802412801453954</v>
      </c>
      <c r="GY5" s="57">
        <f t="shared" si="29"/>
        <v>203.37222470767375</v>
      </c>
      <c r="GZ5" s="57">
        <f ca="1">AVERAGE(OFFSET($GY$3,0,0,'Données projet'!$E$18+1,1))-AVERAGE(OFFSET($H$3,0,0,'Données projet'!$E$18+1,1))</f>
        <v>381.00532469288714</v>
      </c>
      <c r="HA5" s="57">
        <f t="shared" ref="HA5:HA68" si="52">$HA$3</f>
        <v>314.875259641757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>
        <f>EXP(-LN(2)/35)*HG4+(1-EXP(-LN(2)/35))/(LN(2)/35)*HC5*HD5*VLOOKUP('Données projet'!$B$18,Paramètres!$A$1:$I$89,3,0)*0.475*44/12</f>
        <v>0</v>
      </c>
      <c r="HH5" s="21">
        <f>EXP(-LN(2)/25)*HH4+(1-EXP(-LN(2)/25))/(LN(2)/25)*Calculateur!HC5*Calculateur!HE5*VLOOKUP('Données projet'!$B$18,Paramètres!$A$1:$I$89,3,0)*0.475*44/12</f>
        <v>0</v>
      </c>
      <c r="HI5" s="21">
        <f>EXP(-LN(2)/2)*HI4+(1-EXP(-LN(2)/2))/(LN(2)/2)*HC5*HF5*VLOOKUP('Données projet'!$B$18,Paramètres!$A$1:$I$89,3,0)*0.475*44/12</f>
        <v>0</v>
      </c>
      <c r="HJ5" s="22">
        <f t="shared" si="30"/>
        <v>0</v>
      </c>
    </row>
    <row r="6" spans="1:218" x14ac:dyDescent="0.2">
      <c r="A6" s="10">
        <f t="shared" si="31"/>
        <v>3</v>
      </c>
      <c r="B6" s="71">
        <f>'Scénario référence'!$B$16*5+'Scénario référence'!$B$17*0+'Scénario référence'!$B$18*5</f>
        <v>3.3000000000000003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12.100000000000001</v>
      </c>
      <c r="H6" s="65">
        <f t="shared" si="1"/>
        <v>208.26666666666665</v>
      </c>
      <c r="I6" s="6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54.343903702579283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1.2</v>
      </c>
      <c r="N6" s="13">
        <f>IF('Données projet'!$A$36&gt;35,N5+M6-V5,IF(A6&lt;'Données projet'!$A$36,$K$205^A6,IF(A6='Données projet'!$A$36,'Données projet'!$B$36,N5+M6-V5)))</f>
        <v>1.5040232524285473</v>
      </c>
      <c r="O6" s="13">
        <f>N6*VLOOKUP('Données projet'!$B$9,Paramètres!$A$1:$I$89,3,0)*VLOOKUP('Données projet'!$B$9,Paramètres!$A$1:$I$89,5,0)</f>
        <v>1.525079577962547</v>
      </c>
      <c r="P6" s="13">
        <f t="shared" si="33"/>
        <v>0.6691281837366525</v>
      </c>
      <c r="Q6" s="20">
        <f t="shared" si="2"/>
        <v>3.8215785182927724</v>
      </c>
      <c r="R6" s="57">
        <f t="shared" si="0"/>
        <v>206.74922542775013</v>
      </c>
      <c r="S6" s="57">
        <f ca="1">AVERAGE(OFFSET($R$3,0,0,'Données projet'!$E$9+1,1))-AVERAGE(OFFSET($H$3,0,0,'Données projet'!$E$9+1,1))</f>
        <v>332.70145542047612</v>
      </c>
      <c r="T6" s="57">
        <f t="shared" si="34"/>
        <v>172.22433737900428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54.343903702579283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4.3352272727272725</v>
      </c>
      <c r="AI6" s="13">
        <f>IF('Données projet'!$A$62&gt;35,AI5+AH6-AQ5,IF(A6&lt;'Données projet'!$A$62,$AF$205^A6,IF(A6='Données projet'!$A$62,'Données projet'!$B$62,AI5+AH6-AQ5)))</f>
        <v>13.005681818181817</v>
      </c>
      <c r="AJ6" s="13">
        <f>AI6*VLOOKUP('Données projet'!$B$10,Paramètres!$A$1:$I$89,3,0)*VLOOKUP('Données projet'!$B$10,Paramètres!$A$1:$I$89,5,0)</f>
        <v>11.767540909090908</v>
      </c>
      <c r="AK6" s="13">
        <f t="shared" si="35"/>
        <v>4.0701457765235389</v>
      </c>
      <c r="AL6" s="20">
        <f t="shared" si="4"/>
        <v>27.583970977445158</v>
      </c>
      <c r="AM6" s="57">
        <f t="shared" si="5"/>
        <v>230.51161788690251</v>
      </c>
      <c r="AN6" s="57">
        <f ca="1">AVERAGE(OFFSET($AM$3,0,0,'Données projet'!$E$10+1,1))-AVERAGE(OFFSET($H$3,0,0,'Données projet'!$E$10+1,1))</f>
        <v>469.4210143164521</v>
      </c>
      <c r="AO6" s="57">
        <f t="shared" si="36"/>
        <v>308.4508386530556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54.343903702579283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1.1000000000000001</v>
      </c>
      <c r="BD6" s="12">
        <f>IF('Données projet'!$A$88&gt;35,BD5+BC6-BL5,IF(A6&lt;'Données projet'!$A$88,$BA$205^A6,IF(A6='Données projet'!$A$88,'Données projet'!$B$88,BD5+BC6-BL5)))</f>
        <v>2.0531364136588448</v>
      </c>
      <c r="BE6" s="13">
        <f>BD6*VLOOKUP('Données projet'!$B$11,Paramètres!$A$1:$I$89,3,0)*VLOOKUP('Données projet'!$B$11,Paramètres!$A$1:$I$89,5,0)</f>
        <v>1.5053596184946649</v>
      </c>
      <c r="BF6" s="13">
        <f t="shared" si="37"/>
        <v>0.66147738405820555</v>
      </c>
      <c r="BG6" s="20">
        <f t="shared" si="7"/>
        <v>3.7739077794462492</v>
      </c>
      <c r="BH6" s="57">
        <f t="shared" si="8"/>
        <v>206.70155468890363</v>
      </c>
      <c r="BI6" s="57">
        <f ca="1">AVERAGE(OFFSET($BH$3,0,0,'Données projet'!$E$11+1,1))-AVERAGE(OFFSET($H$3,0,0,'Données projet'!$E$11+1,1))</f>
        <v>344.32981377462971</v>
      </c>
      <c r="BJ6" s="57">
        <f t="shared" si="38"/>
        <v>334.42512656625763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54.343903702579283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4.04</v>
      </c>
      <c r="BY6" s="12">
        <f>IF('Données projet'!$A$114&gt;35,BY5+BX6-CG5,IF(A6&lt;'Données projet'!$A$114,$BV$205^A6,IF(A6='Données projet'!$A$114,'Données projet'!$B$114,BY5+BX6-CG5)))</f>
        <v>1.7398770712450367</v>
      </c>
      <c r="BZ6" s="13">
        <f>BY6*VLOOKUP('Données projet'!$B$12,Paramètres!$A$1:$I$89,3,0)*VLOOKUP('Données projet'!$B$12,Paramètres!$A$1:$I$89,5,0)</f>
        <v>1.6556670209967768</v>
      </c>
      <c r="CA6" s="13">
        <f t="shared" si="39"/>
        <v>0.71950962194323365</v>
      </c>
      <c r="CB6" s="20">
        <f t="shared" si="10"/>
        <v>4.1367659864538506</v>
      </c>
      <c r="CC6" s="57">
        <f t="shared" si="11"/>
        <v>207.0644128959112</v>
      </c>
      <c r="CD6" s="57">
        <f ca="1">AVERAGE(OFFSET($CC$3,0,0,'Données projet'!$E$12+1,1))-AVERAGE(OFFSET($H$3,0,0,'Données projet'!$E$12+1,1))</f>
        <v>498.77732039282807</v>
      </c>
      <c r="CE6" s="57">
        <f t="shared" si="40"/>
        <v>384.57317421826531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54.343903702579283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4.3352272727272725</v>
      </c>
      <c r="CT6" s="12">
        <f>IF('Données projet'!$A$140&gt;35,CT5+CS6-DB5,IF(A6&lt;'Données projet'!$A$140,$CQ$205^A6,IF(A6='Données projet'!$A$140,'Données projet'!$B$140,CT5+CS6-DB5)))</f>
        <v>13.005681818181817</v>
      </c>
      <c r="CU6" s="17">
        <f>CT6*VLOOKUP('Données projet'!$B$13,Paramètres!$A$1:$I$89,3,0)*VLOOKUP('Données projet'!$B$13,Paramètres!$A$1:$I$89,5,0)</f>
        <v>8.7242113636363623</v>
      </c>
      <c r="CV6" s="13">
        <f t="shared" si="41"/>
        <v>3.1244797653715444</v>
      </c>
      <c r="CW6" s="20">
        <f t="shared" si="13"/>
        <v>20.636470383022104</v>
      </c>
      <c r="CX6" s="57">
        <f t="shared" si="14"/>
        <v>223.56411729247947</v>
      </c>
      <c r="CY6" s="57">
        <f ca="1">AVERAGE(OFFSET($CX$3,0,0,'Données projet'!$E$13+1,1))-AVERAGE(OFFSET($H$3,0,0,'Données projet'!$E$13+1,1))</f>
        <v>365.99625753737246</v>
      </c>
      <c r="CZ6" s="57">
        <f t="shared" si="42"/>
        <v>242.84814712692287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54.343903702579283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1.4</v>
      </c>
      <c r="DO6" s="12">
        <f>IF('Données projet'!$A$166&gt;35,DO5+DN6-DW5,IF(A6&lt;'Données projet'!$A$166,$DL$205^A6,IF(A6='Données projet'!$A$166,'Données projet'!$B$166,DO5+DN6-DW5)))</f>
        <v>2.2071833466585677</v>
      </c>
      <c r="DP6" s="17">
        <f>DO6*VLOOKUP('Données projet'!$B$14,Paramètres!$A$1:$I$89,3,0)*VLOOKUP('Données projet'!$B$14,Paramètres!$A$1:$I$89,5,0)</f>
        <v>1.4461465287306936</v>
      </c>
      <c r="DQ6" s="13">
        <f t="shared" si="43"/>
        <v>0.63843347846122611</v>
      </c>
      <c r="DR6" s="20">
        <f t="shared" si="16"/>
        <v>3.6306435125259271</v>
      </c>
      <c r="DS6" s="57">
        <f t="shared" si="17"/>
        <v>206.55829042198329</v>
      </c>
      <c r="DT6" s="57">
        <f ca="1">AVERAGE(OFFSET($DS$3,0,0,'Données projet'!$E$14+1,1))-AVERAGE(OFFSET($H$3,0,0,'Données projet'!$E$14+1,1))</f>
        <v>313.79279628660527</v>
      </c>
      <c r="DU6" s="57">
        <f t="shared" si="44"/>
        <v>317.45469955216254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54.343903702579283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0.6</v>
      </c>
      <c r="EJ6" s="12">
        <f>IF('Données projet'!$A$192&gt;35,EJ5+EI6-ER5,IF(A6&lt;'Données projet'!$A$192,$EG$205^A6,IF(A6='Données projet'!$A$192,'Données projet'!$B$192,EJ5+EI6-ER5)))</f>
        <v>1.5518455739153598</v>
      </c>
      <c r="EK6" s="17">
        <f>EJ6*VLOOKUP('Données projet'!$B$15,Paramètres!$A$1:$I$89,3,0)*VLOOKUP('Données projet'!$B$15,Paramètres!$A$1:$I$89,5,0)</f>
        <v>1.3314835024193787</v>
      </c>
      <c r="EL6" s="13">
        <f t="shared" si="45"/>
        <v>0.5934924092062257</v>
      </c>
      <c r="EM6" s="20">
        <f t="shared" si="19"/>
        <v>3.3526663794145946</v>
      </c>
      <c r="EN6" s="57">
        <f t="shared" si="20"/>
        <v>206.28031328887195</v>
      </c>
      <c r="EO6" s="57">
        <f ca="1">AVERAGE(OFFSET($EN$3,0,0,'Données projet'!$E$15+1,1))-AVERAGE(OFFSET($H$3,0,0,'Données projet'!$E$15+1,1))</f>
        <v>643.04899298561475</v>
      </c>
      <c r="EP6" s="57">
        <f t="shared" si="46"/>
        <v>474.94999304483031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54.343903702579283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1.1000000000000001</v>
      </c>
      <c r="FE6" s="12">
        <f>IF('Données projet'!$A$218&gt;35,FE5+FD6-FM5,IF(A6&lt;'Données projet'!$A$218,$FB$205^A6,IF(A6='Données projet'!$A$218,'Données projet'!$B$218,FE5+FD6-FM5)))</f>
        <v>2.0531364136588448</v>
      </c>
      <c r="FF6" s="17">
        <f>FE6*VLOOKUP('Données projet'!$B$16,Paramètres!$A$1:$I$89,3,0)*VLOOKUP('Données projet'!$B$16,Paramètres!$A$1:$I$89,5,0)</f>
        <v>1.6655042587600553</v>
      </c>
      <c r="FG6" s="13">
        <f t="shared" si="47"/>
        <v>0.72328571431972233</v>
      </c>
      <c r="FH6" s="20">
        <f t="shared" si="22"/>
        <v>4.1604758697806128</v>
      </c>
      <c r="FI6" s="57">
        <f t="shared" si="23"/>
        <v>207.08812277923798</v>
      </c>
      <c r="FJ6" s="57">
        <f ca="1">AVERAGE(OFFSET($FI$3,0,0,'Données projet'!$E$16+1,1))-AVERAGE(OFFSET($H$3,0,0,'Données projet'!$E$16+1,1))</f>
        <v>375.34603719604439</v>
      </c>
      <c r="FK6" s="57">
        <f t="shared" si="48"/>
        <v>363.99476973672211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54.343903702579283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10.163529411764706</v>
      </c>
      <c r="FZ6" s="12">
        <f>IF('Données projet'!$A$244&gt;35,FZ5+FY6-GH5,IF(A6&lt;'Données projet'!$A$244,$FW$205^A6,IF(A6='Données projet'!$A$244,'Données projet'!$B$244,FZ5+FY6-GH5)))</f>
        <v>2.4822858335751139</v>
      </c>
      <c r="GA6" s="17">
        <f>FZ6*VLOOKUP('Données projet'!$B$17,Paramètres!$A$1:$I$89,3,0)*VLOOKUP('Données projet'!$B$17,Paramètres!$A$1:$I$89,5,0)</f>
        <v>1.3875977809684887</v>
      </c>
      <c r="GB6" s="13">
        <f t="shared" si="49"/>
        <v>0.61553985638332231</v>
      </c>
      <c r="GC6" s="20">
        <f t="shared" si="25"/>
        <v>3.4887980517210706</v>
      </c>
      <c r="GD6" s="57">
        <f t="shared" si="26"/>
        <v>206.41644496117843</v>
      </c>
      <c r="GE6" s="57">
        <f ca="1">AVERAGE(OFFSET($GD$3,0,0,'Données projet'!$E$17+1,1))-AVERAGE(OFFSET($H$3,0,0,'Données projet'!$E$17+1,1))</f>
        <v>414.47327143450701</v>
      </c>
      <c r="GF6" s="57">
        <f t="shared" si="50"/>
        <v>546.83385887302961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54.343903702579283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2.7</v>
      </c>
      <c r="GU6" s="12">
        <f>IF('Données projet'!$A$270&gt;35,GU5+GT6-HC5,IF(A6&lt;'Données projet'!$A$270,$GR$205^A6,IF(A6='Données projet'!$A$270,'Données projet'!$B$270,GU5+GT6-HC5)))</f>
        <v>2.6878753795222861</v>
      </c>
      <c r="GV6" s="17">
        <f>GU6*VLOOKUP('Données projet'!$B$18,Paramètres!$A$1:$I$89,3,0)*VLOOKUP('Données projet'!$B$18,Paramètres!$A$1:$I$89,5,0)</f>
        <v>1.4675799572191681</v>
      </c>
      <c r="GW6" s="13">
        <f t="shared" si="51"/>
        <v>0.64678716126332669</v>
      </c>
      <c r="GX6" s="20">
        <f t="shared" si="28"/>
        <v>3.682522731357011</v>
      </c>
      <c r="GY6" s="57">
        <f t="shared" si="29"/>
        <v>206.61016964081438</v>
      </c>
      <c r="GZ6" s="57">
        <f ca="1">AVERAGE(OFFSET($GY$3,0,0,'Données projet'!$E$18+1,1))-AVERAGE(OFFSET($H$3,0,0,'Données projet'!$E$18+1,1))</f>
        <v>381.00532469288714</v>
      </c>
      <c r="HA6" s="57">
        <f t="shared" si="52"/>
        <v>314.875259641757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>
        <f>EXP(-LN(2)/35)*HG5+(1-EXP(-LN(2)/35))/(LN(2)/35)*HC6*HD6*VLOOKUP('Données projet'!$B$18,Paramètres!$A$1:$I$89,3,0)*0.475*44/12</f>
        <v>0</v>
      </c>
      <c r="HH6" s="21">
        <f>EXP(-LN(2)/25)*HH5+(1-EXP(-LN(2)/25))/(LN(2)/25)*Calculateur!HC6*Calculateur!HE6*VLOOKUP('Données projet'!$B$18,Paramètres!$A$1:$I$89,3,0)*0.475*44/12</f>
        <v>0</v>
      </c>
      <c r="HI6" s="21">
        <f>EXP(-LN(2)/2)*HI5+(1-EXP(-LN(2)/2))/(LN(2)/2)*HC6*HF6*VLOOKUP('Données projet'!$B$18,Paramètres!$A$1:$I$89,3,0)*0.475*44/12</f>
        <v>0</v>
      </c>
      <c r="HJ6" s="22">
        <f t="shared" si="30"/>
        <v>0</v>
      </c>
    </row>
    <row r="7" spans="1:218" x14ac:dyDescent="0.2">
      <c r="A7" s="10">
        <f t="shared" si="31"/>
        <v>4</v>
      </c>
      <c r="B7" s="71">
        <f>'Scénario référence'!$B$16*5+'Scénario référence'!$B$17*0+'Scénario référence'!$B$18*5</f>
        <v>3.3000000000000003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12.100000000000001</v>
      </c>
      <c r="H7" s="65">
        <f t="shared" si="1"/>
        <v>208.26666666666665</v>
      </c>
      <c r="I7" s="6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54.615501971551851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1.2</v>
      </c>
      <c r="N7" s="13">
        <f>IF('Données projet'!$A$36&gt;35,N6+M7-V6,IF(A7&lt;'Données projet'!$A$36,$K$205^A7,IF(A7='Données projet'!$A$36,'Données projet'!$B$36,N6+M7-V6)))</f>
        <v>1.7232147397057538</v>
      </c>
      <c r="O7" s="13">
        <f>N7*VLOOKUP('Données projet'!$B$9,Paramètres!$A$1:$I$89,3,0)*VLOOKUP('Données projet'!$B$9,Paramètres!$A$1:$I$89,5,0)</f>
        <v>1.7473397460616347</v>
      </c>
      <c r="P7" s="13">
        <f t="shared" si="33"/>
        <v>0.7545998185105095</v>
      </c>
      <c r="Q7" s="20">
        <f t="shared" si="2"/>
        <v>4.357544741629817</v>
      </c>
      <c r="R7" s="57">
        <f t="shared" si="0"/>
        <v>209.50327419287549</v>
      </c>
      <c r="S7" s="57">
        <f ca="1">AVERAGE(OFFSET($R$3,0,0,'Données projet'!$E$9+1,1))-AVERAGE(OFFSET($H$3,0,0,'Données projet'!$E$9+1,1))</f>
        <v>332.70145542047612</v>
      </c>
      <c r="T7" s="57">
        <f t="shared" si="34"/>
        <v>172.22433737900428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54.615501971551851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4.3352272727272725</v>
      </c>
      <c r="AI7" s="13">
        <f>IF('Données projet'!$A$62&gt;35,AI6+AH7-AQ6,IF(A7&lt;'Données projet'!$A$62,$AF$205^A7,IF(A7='Données projet'!$A$62,'Données projet'!$B$62,AI6+AH7-AQ6)))</f>
        <v>17.34090909090909</v>
      </c>
      <c r="AJ7" s="13">
        <f>AI7*VLOOKUP('Données projet'!$B$10,Paramètres!$A$1:$I$89,3,0)*VLOOKUP('Données projet'!$B$10,Paramètres!$A$1:$I$89,5,0)</f>
        <v>15.690054545454544</v>
      </c>
      <c r="AK7" s="13">
        <f t="shared" si="35"/>
        <v>5.2481450762337865</v>
      </c>
      <c r="AL7" s="20">
        <f t="shared" si="4"/>
        <v>36.467364341107171</v>
      </c>
      <c r="AM7" s="57">
        <f t="shared" si="5"/>
        <v>241.61309379235286</v>
      </c>
      <c r="AN7" s="57">
        <f ca="1">AVERAGE(OFFSET($AM$3,0,0,'Données projet'!$E$10+1,1))-AVERAGE(OFFSET($H$3,0,0,'Données projet'!$E$10+1,1))</f>
        <v>469.4210143164521</v>
      </c>
      <c r="AO7" s="57">
        <f t="shared" si="36"/>
        <v>308.4508386530556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54.615501971551851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1.1000000000000001</v>
      </c>
      <c r="BD7" s="12">
        <f>IF('Données projet'!$A$88&gt;35,BD6+BC7-BL6,IF(A7&lt;'Données projet'!$A$88,$BA$205^A7,IF(A7='Données projet'!$A$88,'Données projet'!$B$88,BD6+BC7-BL6)))</f>
        <v>2.6094986352788743</v>
      </c>
      <c r="BE7" s="13">
        <f>BD7*VLOOKUP('Données projet'!$B$11,Paramètres!$A$1:$I$89,3,0)*VLOOKUP('Données projet'!$B$11,Paramètres!$A$1:$I$89,5,0)</f>
        <v>1.9132843993864705</v>
      </c>
      <c r="BF7" s="13">
        <f t="shared" si="37"/>
        <v>0.81758413948982178</v>
      </c>
      <c r="BG7" s="20">
        <f t="shared" si="7"/>
        <v>4.7562627052095419</v>
      </c>
      <c r="BH7" s="57">
        <f t="shared" si="8"/>
        <v>209.90199215645521</v>
      </c>
      <c r="BI7" s="57">
        <f ca="1">AVERAGE(OFFSET($BH$3,0,0,'Données projet'!$E$11+1,1))-AVERAGE(OFFSET($H$3,0,0,'Données projet'!$E$11+1,1))</f>
        <v>344.32981377462971</v>
      </c>
      <c r="BJ7" s="57">
        <f t="shared" si="38"/>
        <v>334.42512656625763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54.615501971551851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4.04</v>
      </c>
      <c r="BY7" s="12">
        <f>IF('Données projet'!$A$114&gt;35,BY6+BX7-CG6,IF(A7&lt;'Données projet'!$A$114,$BV$205^A7,IF(A7='Données projet'!$A$114,'Données projet'!$B$114,BY6+BX7-CG6)))</f>
        <v>2.0926250500990951</v>
      </c>
      <c r="BZ7" s="13">
        <f>BY7*VLOOKUP('Données projet'!$B$12,Paramètres!$A$1:$I$89,3,0)*VLOOKUP('Données projet'!$B$12,Paramètres!$A$1:$I$89,5,0)</f>
        <v>1.9913419976742988</v>
      </c>
      <c r="CA7" s="13">
        <f t="shared" si="39"/>
        <v>0.84698816260561827</v>
      </c>
      <c r="CB7" s="20">
        <f t="shared" si="10"/>
        <v>4.9434250291541888</v>
      </c>
      <c r="CC7" s="57">
        <f t="shared" si="11"/>
        <v>210.08915448039986</v>
      </c>
      <c r="CD7" s="57">
        <f ca="1">AVERAGE(OFFSET($CC$3,0,0,'Données projet'!$E$12+1,1))-AVERAGE(OFFSET($H$3,0,0,'Données projet'!$E$12+1,1))</f>
        <v>498.77732039282807</v>
      </c>
      <c r="CE7" s="57">
        <f t="shared" si="40"/>
        <v>384.57317421826531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54.615501971551851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4.3352272727272725</v>
      </c>
      <c r="CT7" s="12">
        <f>IF('Données projet'!$A$140&gt;35,CT6+CS7-DB6,IF(A7&lt;'Données projet'!$A$140,$CQ$205^A7,IF(A7='Données projet'!$A$140,'Données projet'!$B$140,CT6+CS7-DB6)))</f>
        <v>17.34090909090909</v>
      </c>
      <c r="CU7" s="17">
        <f>CT7*VLOOKUP('Données projet'!$B$13,Paramètres!$A$1:$I$89,3,0)*VLOOKUP('Données projet'!$B$13,Paramètres!$A$1:$I$89,5,0)</f>
        <v>11.632281818181818</v>
      </c>
      <c r="CV7" s="13">
        <f t="shared" si="41"/>
        <v>4.0287802935728436</v>
      </c>
      <c r="CW7" s="20">
        <f t="shared" si="13"/>
        <v>27.27634984463937</v>
      </c>
      <c r="CX7" s="57">
        <f t="shared" si="14"/>
        <v>232.42207929588506</v>
      </c>
      <c r="CY7" s="57">
        <f ca="1">AVERAGE(OFFSET($CX$3,0,0,'Données projet'!$E$13+1,1))-AVERAGE(OFFSET($H$3,0,0,'Données projet'!$E$13+1,1))</f>
        <v>365.99625753737246</v>
      </c>
      <c r="CZ7" s="57">
        <f t="shared" si="42"/>
        <v>242.84814712692287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54.615501971551851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1.4</v>
      </c>
      <c r="DO7" s="12">
        <f>IF('Données projet'!$A$166&gt;35,DO6+DN7-DW6,IF(A7&lt;'Données projet'!$A$166,$DL$205^A7,IF(A7='Données projet'!$A$166,'Données projet'!$B$166,DO6+DN7-DW6)))</f>
        <v>2.873764756028137</v>
      </c>
      <c r="DP7" s="17">
        <f>DO7*VLOOKUP('Données projet'!$B$14,Paramètres!$A$1:$I$89,3,0)*VLOOKUP('Données projet'!$B$14,Paramètres!$A$1:$I$89,5,0)</f>
        <v>1.8828906681496353</v>
      </c>
      <c r="DQ7" s="13">
        <f t="shared" si="43"/>
        <v>0.80609741025839377</v>
      </c>
      <c r="DR7" s="20">
        <f t="shared" si="16"/>
        <v>4.6833209032273171</v>
      </c>
      <c r="DS7" s="57">
        <f t="shared" si="17"/>
        <v>209.829050354473</v>
      </c>
      <c r="DT7" s="57">
        <f ca="1">AVERAGE(OFFSET($DS$3,0,0,'Données projet'!$E$14+1,1))-AVERAGE(OFFSET($H$3,0,0,'Données projet'!$E$14+1,1))</f>
        <v>313.79279628660527</v>
      </c>
      <c r="DU7" s="57">
        <f t="shared" si="44"/>
        <v>317.45469955216254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54.615501971551851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0.6</v>
      </c>
      <c r="EJ7" s="12">
        <f>IF('Données projet'!$A$192&gt;35,EJ6+EI7-ER6,IF(A7&lt;'Données projet'!$A$192,$EG$205^A7,IF(A7='Données projet'!$A$192,'Données projet'!$B$192,EJ6+EI7-ER6)))</f>
        <v>1.796654912379124</v>
      </c>
      <c r="EK7" s="17">
        <f>EJ7*VLOOKUP('Données projet'!$B$15,Paramètres!$A$1:$I$89,3,0)*VLOOKUP('Données projet'!$B$15,Paramètres!$A$1:$I$89,5,0)</f>
        <v>1.5415299148212886</v>
      </c>
      <c r="EL7" s="13">
        <f t="shared" si="45"/>
        <v>0.6755016498814751</v>
      </c>
      <c r="EM7" s="20">
        <f t="shared" si="19"/>
        <v>3.8613299751906465</v>
      </c>
      <c r="EN7" s="57">
        <f t="shared" si="20"/>
        <v>209.00705942643631</v>
      </c>
      <c r="EO7" s="57">
        <f ca="1">AVERAGE(OFFSET($EN$3,0,0,'Données projet'!$E$15+1,1))-AVERAGE(OFFSET($H$3,0,0,'Données projet'!$E$15+1,1))</f>
        <v>643.04899298561475</v>
      </c>
      <c r="EP7" s="57">
        <f t="shared" si="46"/>
        <v>474.94999304483031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54.615501971551851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1.1000000000000001</v>
      </c>
      <c r="FE7" s="12">
        <f>IF('Données projet'!$A$218&gt;35,FE6+FD7-FM6,IF(A7&lt;'Données projet'!$A$218,$FB$205^A7,IF(A7='Données projet'!$A$218,'Données projet'!$B$218,FE6+FD7-FM6)))</f>
        <v>2.6094986352788743</v>
      </c>
      <c r="FF7" s="17">
        <f>FE7*VLOOKUP('Données projet'!$B$16,Paramètres!$A$1:$I$89,3,0)*VLOOKUP('Données projet'!$B$16,Paramètres!$A$1:$I$89,5,0)</f>
        <v>2.116825292938223</v>
      </c>
      <c r="FG7" s="13">
        <f t="shared" si="47"/>
        <v>0.89397905748405238</v>
      </c>
      <c r="FH7" s="20">
        <f t="shared" si="22"/>
        <v>5.2438175769854629</v>
      </c>
      <c r="FI7" s="57">
        <f t="shared" si="23"/>
        <v>210.38954702823114</v>
      </c>
      <c r="FJ7" s="57">
        <f ca="1">AVERAGE(OFFSET($FI$3,0,0,'Données projet'!$E$16+1,1))-AVERAGE(OFFSET($H$3,0,0,'Données projet'!$E$16+1,1))</f>
        <v>375.34603719604439</v>
      </c>
      <c r="FK7" s="57">
        <f t="shared" si="48"/>
        <v>363.99476973672211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54.615501971551851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10.163529411764706</v>
      </c>
      <c r="FZ7" s="12">
        <f>IF('Données projet'!$A$244&gt;35,FZ6+FY7-GH6,IF(A7&lt;'Données projet'!$A$244,$FW$205^A7,IF(A7='Données projet'!$A$244,'Données projet'!$B$244,FZ6+FY7-GH6)))</f>
        <v>3.3610041729989346</v>
      </c>
      <c r="GA7" s="17">
        <f>FZ7*VLOOKUP('Données projet'!$B$17,Paramètres!$A$1:$I$89,3,0)*VLOOKUP('Données projet'!$B$17,Paramètres!$A$1:$I$89,5,0)</f>
        <v>1.8788013327064044</v>
      </c>
      <c r="GB7" s="13">
        <f t="shared" si="49"/>
        <v>0.80455028383697591</v>
      </c>
      <c r="GC7" s="20">
        <f t="shared" si="25"/>
        <v>4.6735040654797206</v>
      </c>
      <c r="GD7" s="57">
        <f t="shared" si="26"/>
        <v>209.8192335167254</v>
      </c>
      <c r="GE7" s="57">
        <f ca="1">AVERAGE(OFFSET($GD$3,0,0,'Données projet'!$E$17+1,1))-AVERAGE(OFFSET($H$3,0,0,'Données projet'!$E$17+1,1))</f>
        <v>414.47327143450701</v>
      </c>
      <c r="GF7" s="57">
        <f t="shared" si="50"/>
        <v>546.83385887302961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54.615501971551851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2.7</v>
      </c>
      <c r="GU7" s="12">
        <f>IF('Données projet'!$A$270&gt;35,GU6+GT7-HC6,IF(A7&lt;'Données projet'!$A$270,$GR$205^A7,IF(A7='Données projet'!$A$270,'Données projet'!$B$270,GU6+GT7-HC6)))</f>
        <v>3.7371928188465509</v>
      </c>
      <c r="GV7" s="17">
        <f>GU7*VLOOKUP('Données projet'!$B$18,Paramètres!$A$1:$I$89,3,0)*VLOOKUP('Données projet'!$B$18,Paramètres!$A$1:$I$89,5,0)</f>
        <v>2.0405072790902166</v>
      </c>
      <c r="GW7" s="13">
        <f t="shared" si="51"/>
        <v>0.86543945930715771</v>
      </c>
      <c r="GX7" s="20">
        <f t="shared" si="28"/>
        <v>5.0611905693754276</v>
      </c>
      <c r="GY7" s="57">
        <f t="shared" si="29"/>
        <v>210.20692002062111</v>
      </c>
      <c r="GZ7" s="57">
        <f ca="1">AVERAGE(OFFSET($GY$3,0,0,'Données projet'!$E$18+1,1))-AVERAGE(OFFSET($H$3,0,0,'Données projet'!$E$18+1,1))</f>
        <v>381.00532469288714</v>
      </c>
      <c r="HA7" s="57">
        <f t="shared" si="52"/>
        <v>314.875259641757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>
        <f>EXP(-LN(2)/35)*HG6+(1-EXP(-LN(2)/35))/(LN(2)/35)*HC7*HD7*VLOOKUP('Données projet'!$B$18,Paramètres!$A$1:$I$89,3,0)*0.475*44/12</f>
        <v>0</v>
      </c>
      <c r="HH7" s="21">
        <f>EXP(-LN(2)/25)*HH6+(1-EXP(-LN(2)/25))/(LN(2)/25)*Calculateur!HC7*Calculateur!HE7*VLOOKUP('Données projet'!$B$18,Paramètres!$A$1:$I$89,3,0)*0.475*44/12</f>
        <v>0</v>
      </c>
      <c r="HI7" s="21">
        <f>EXP(-LN(2)/2)*HI6+(1-EXP(-LN(2)/2))/(LN(2)/2)*HC7*HF7*VLOOKUP('Données projet'!$B$18,Paramètres!$A$1:$I$89,3,0)*0.475*44/12</f>
        <v>0</v>
      </c>
      <c r="HJ7" s="22">
        <f t="shared" si="30"/>
        <v>0</v>
      </c>
    </row>
    <row r="8" spans="1:218" x14ac:dyDescent="0.2">
      <c r="A8" s="10">
        <f t="shared" si="31"/>
        <v>5</v>
      </c>
      <c r="B8" s="71">
        <f>'Scénario référence'!$B$16*5+'Scénario référence'!$B$17*0+'Scénario référence'!$B$18*5</f>
        <v>3.3000000000000003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12.100000000000001</v>
      </c>
      <c r="H8" s="65">
        <f t="shared" si="1"/>
        <v>208.26666666666665</v>
      </c>
      <c r="I8" s="6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54.882388617760526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1.2</v>
      </c>
      <c r="N8" s="13">
        <f>IF('Données projet'!$A$36&gt;35,N7+M8-V7,IF(A8&lt;'Données projet'!$A$36,$K$205^A8,IF(A8='Données projet'!$A$36,'Données projet'!$B$36,N7+M8-V7)))</f>
        <v>1.9743504858348202</v>
      </c>
      <c r="O8" s="13">
        <f>N8*VLOOKUP('Données projet'!$B$9,Paramètres!$A$1:$I$89,3,0)*VLOOKUP('Données projet'!$B$9,Paramètres!$A$1:$I$89,5,0)</f>
        <v>2.0019913926365076</v>
      </c>
      <c r="P8" s="13">
        <f t="shared" si="33"/>
        <v>0.85098924232460604</v>
      </c>
      <c r="Q8" s="20">
        <f t="shared" si="2"/>
        <v>4.9689412725572728</v>
      </c>
      <c r="R8" s="57">
        <f t="shared" si="0"/>
        <v>212.31547731545697</v>
      </c>
      <c r="S8" s="57">
        <f ca="1">AVERAGE(OFFSET($R$3,0,0,'Données projet'!$E$9+1,1))-AVERAGE(OFFSET($H$3,0,0,'Données projet'!$E$9+1,1))</f>
        <v>332.70145542047612</v>
      </c>
      <c r="T8" s="57">
        <f t="shared" si="34"/>
        <v>172.22433737900428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54.882388617760526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4.3352272727272725</v>
      </c>
      <c r="AI8" s="13">
        <f>IF('Données projet'!$A$62&gt;35,AI7+AH8-AQ7,IF(A8&lt;'Données projet'!$A$62,$AF$205^A8,IF(A8='Données projet'!$A$62,'Données projet'!$B$62,AI7+AH8-AQ7)))</f>
        <v>21.676136363636363</v>
      </c>
      <c r="AJ8" s="13">
        <f>AI8*VLOOKUP('Données projet'!$B$10,Paramètres!$A$1:$I$89,3,0)*VLOOKUP('Données projet'!$B$10,Paramètres!$A$1:$I$89,5,0)</f>
        <v>19.61256818181818</v>
      </c>
      <c r="AK8" s="13">
        <f t="shared" si="35"/>
        <v>6.3919816475485192</v>
      </c>
      <c r="AL8" s="20">
        <f t="shared" si="4"/>
        <v>45.291257619480326</v>
      </c>
      <c r="AM8" s="57">
        <f t="shared" si="5"/>
        <v>252.63779366238003</v>
      </c>
      <c r="AN8" s="57">
        <f ca="1">AVERAGE(OFFSET($AM$3,0,0,'Données projet'!$E$10+1,1))-AVERAGE(OFFSET($H$3,0,0,'Données projet'!$E$10+1,1))</f>
        <v>469.4210143164521</v>
      </c>
      <c r="AO8" s="57">
        <f t="shared" si="36"/>
        <v>308.4508386530556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54.882388617760526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1.1000000000000001</v>
      </c>
      <c r="BD8" s="12">
        <f>IF('Données projet'!$A$88&gt;35,BD7+BC8-BL7,IF(A8&lt;'Données projet'!$A$88,$BA$205^A8,IF(A8='Données projet'!$A$88,'Données projet'!$B$88,BD7+BC8-BL7)))</f>
        <v>3.3166247903554016</v>
      </c>
      <c r="BE8" s="13">
        <f>BD8*VLOOKUP('Données projet'!$B$11,Paramètres!$A$1:$I$89,3,0)*VLOOKUP('Données projet'!$B$11,Paramètres!$A$1:$I$89,5,0)</f>
        <v>2.4317492962885807</v>
      </c>
      <c r="BF8" s="13">
        <f t="shared" si="37"/>
        <v>1.010531639108154</v>
      </c>
      <c r="BG8" s="20">
        <f t="shared" si="7"/>
        <v>5.9953059624826457</v>
      </c>
      <c r="BH8" s="57">
        <f t="shared" si="8"/>
        <v>213.34184200538235</v>
      </c>
      <c r="BI8" s="57">
        <f ca="1">AVERAGE(OFFSET($BH$3,0,0,'Données projet'!$E$11+1,1))-AVERAGE(OFFSET($H$3,0,0,'Données projet'!$E$11+1,1))</f>
        <v>344.32981377462971</v>
      </c>
      <c r="BJ8" s="57">
        <f t="shared" si="38"/>
        <v>334.42512656625763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54.882388617760526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4.04</v>
      </c>
      <c r="BY8" s="12">
        <f>IF('Données projet'!$A$114&gt;35,BY7+BX8-CG7,IF(A8&lt;'Données projet'!$A$114,$BV$205^A8,IF(A8='Données projet'!$A$114,'Données projet'!$B$114,BY7+BX8-CG7)))</f>
        <v>2.5168902290140647</v>
      </c>
      <c r="BZ8" s="13">
        <f>BY8*VLOOKUP('Données projet'!$B$12,Paramètres!$A$1:$I$89,3,0)*VLOOKUP('Données projet'!$B$12,Paramètres!$A$1:$I$89,5,0)</f>
        <v>2.3950727419297841</v>
      </c>
      <c r="CA8" s="13">
        <f t="shared" si="39"/>
        <v>0.99705261155026015</v>
      </c>
      <c r="CB8" s="20">
        <f t="shared" si="10"/>
        <v>5.9079516573110773</v>
      </c>
      <c r="CC8" s="57">
        <f t="shared" si="11"/>
        <v>213.2544877002108</v>
      </c>
      <c r="CD8" s="57">
        <f ca="1">AVERAGE(OFFSET($CC$3,0,0,'Données projet'!$E$12+1,1))-AVERAGE(OFFSET($H$3,0,0,'Données projet'!$E$12+1,1))</f>
        <v>498.77732039282807</v>
      </c>
      <c r="CE8" s="57">
        <f t="shared" si="40"/>
        <v>384.57317421826531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54.882388617760526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4.3352272727272725</v>
      </c>
      <c r="CT8" s="12">
        <f>IF('Données projet'!$A$140&gt;35,CT7+CS8-DB7,IF(A8&lt;'Données projet'!$A$140,$CQ$205^A8,IF(A8='Données projet'!$A$140,'Données projet'!$B$140,CT7+CS8-DB7)))</f>
        <v>21.676136363636363</v>
      </c>
      <c r="CU8" s="17">
        <f>CT8*VLOOKUP('Données projet'!$B$13,Paramètres!$A$1:$I$89,3,0)*VLOOKUP('Données projet'!$B$13,Paramètres!$A$1:$I$89,5,0)</f>
        <v>14.540352272727272</v>
      </c>
      <c r="CV8" s="13">
        <f t="shared" si="41"/>
        <v>4.90685553170779</v>
      </c>
      <c r="CW8" s="20">
        <f t="shared" si="13"/>
        <v>33.870553592724399</v>
      </c>
      <c r="CX8" s="57">
        <f t="shared" si="14"/>
        <v>241.21708963562412</v>
      </c>
      <c r="CY8" s="57">
        <f ca="1">AVERAGE(OFFSET($CX$3,0,0,'Données projet'!$E$13+1,1))-AVERAGE(OFFSET($H$3,0,0,'Données projet'!$E$13+1,1))</f>
        <v>365.99625753737246</v>
      </c>
      <c r="CZ8" s="57">
        <f t="shared" si="42"/>
        <v>242.84814712692287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54.882388617760526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1.4</v>
      </c>
      <c r="DO8" s="12">
        <f>IF('Données projet'!$A$166&gt;35,DO7+DN8-DW7,IF(A8&lt;'Données projet'!$A$166,$DL$205^A8,IF(A8='Données projet'!$A$166,'Données projet'!$B$166,DO7+DN8-DW7)))</f>
        <v>3.7416573867739413</v>
      </c>
      <c r="DP8" s="17">
        <f>DO8*VLOOKUP('Données projet'!$B$14,Paramètres!$A$1:$I$89,3,0)*VLOOKUP('Données projet'!$B$14,Paramètres!$A$1:$I$89,5,0)</f>
        <v>2.4515339198142865</v>
      </c>
      <c r="DQ8" s="13">
        <f t="shared" si="43"/>
        <v>1.0177928582182787</v>
      </c>
      <c r="DR8" s="20">
        <f t="shared" si="16"/>
        <v>6.0424108050733842</v>
      </c>
      <c r="DS8" s="57">
        <f t="shared" si="17"/>
        <v>213.3889468479731</v>
      </c>
      <c r="DT8" s="57">
        <f ca="1">AVERAGE(OFFSET($DS$3,0,0,'Données projet'!$E$14+1,1))-AVERAGE(OFFSET($H$3,0,0,'Données projet'!$E$14+1,1))</f>
        <v>313.79279628660527</v>
      </c>
      <c r="DU8" s="57">
        <f t="shared" si="44"/>
        <v>317.45469955216254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54.882388617760526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0.6</v>
      </c>
      <c r="EJ8" s="12">
        <f>IF('Données projet'!$A$192&gt;35,EJ7+EI8-ER7,IF(A8&lt;'Données projet'!$A$192,$EG$205^A8,IF(A8='Données projet'!$A$192,'Données projet'!$B$192,EJ7+EI8-ER7)))</f>
        <v>2.0800838230519041</v>
      </c>
      <c r="EK8" s="17">
        <f>EJ8*VLOOKUP('Données projet'!$B$15,Paramètres!$A$1:$I$89,3,0)*VLOOKUP('Données projet'!$B$15,Paramètres!$A$1:$I$89,5,0)</f>
        <v>1.784711920178534</v>
      </c>
      <c r="EL8" s="13">
        <f t="shared" si="45"/>
        <v>0.76884299093712538</v>
      </c>
      <c r="EM8" s="20">
        <f t="shared" si="19"/>
        <v>4.4474414701931062</v>
      </c>
      <c r="EN8" s="57">
        <f t="shared" si="20"/>
        <v>211.79397751309281</v>
      </c>
      <c r="EO8" s="57">
        <f ca="1">AVERAGE(OFFSET($EN$3,0,0,'Données projet'!$E$15+1,1))-AVERAGE(OFFSET($H$3,0,0,'Données projet'!$E$15+1,1))</f>
        <v>643.04899298561475</v>
      </c>
      <c r="EP8" s="57">
        <f t="shared" si="46"/>
        <v>474.94999304483031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54.882388617760526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1.1000000000000001</v>
      </c>
      <c r="FE8" s="12">
        <f>IF('Données projet'!$A$218&gt;35,FE7+FD8-FM7,IF(A8&lt;'Données projet'!$A$218,$FB$205^A8,IF(A8='Données projet'!$A$218,'Données projet'!$B$218,FE7+FD8-FM7)))</f>
        <v>3.3166247903554016</v>
      </c>
      <c r="FF8" s="17">
        <f>FE8*VLOOKUP('Données projet'!$B$16,Paramètres!$A$1:$I$89,3,0)*VLOOKUP('Données projet'!$B$16,Paramètres!$A$1:$I$89,5,0)</f>
        <v>2.690446029936302</v>
      </c>
      <c r="FG8" s="13">
        <f t="shared" si="47"/>
        <v>1.1049555374832079</v>
      </c>
      <c r="FH8" s="20">
        <f t="shared" si="22"/>
        <v>6.6103243965889789</v>
      </c>
      <c r="FI8" s="57">
        <f t="shared" si="23"/>
        <v>213.95686043948871</v>
      </c>
      <c r="FJ8" s="57">
        <f ca="1">AVERAGE(OFFSET($FI$3,0,0,'Données projet'!$E$16+1,1))-AVERAGE(OFFSET($H$3,0,0,'Données projet'!$E$16+1,1))</f>
        <v>375.34603719604439</v>
      </c>
      <c r="FK8" s="57">
        <f t="shared" si="48"/>
        <v>363.99476973672211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54.882388617760526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10.163529411764706</v>
      </c>
      <c r="FZ8" s="12">
        <f>IF('Données projet'!$A$244&gt;35,FZ7+FY8-GH7,IF(A8&lt;'Données projet'!$A$244,$FW$205^A8,IF(A8='Données projet'!$A$244,'Données projet'!$B$244,FZ7+FY8-GH7)))</f>
        <v>4.5507849652619088</v>
      </c>
      <c r="GA8" s="17">
        <f>FZ8*VLOOKUP('Données projet'!$B$17,Paramètres!$A$1:$I$89,3,0)*VLOOKUP('Données projet'!$B$17,Paramètres!$A$1:$I$89,5,0)</f>
        <v>2.5438887955814073</v>
      </c>
      <c r="GB8" s="13">
        <f t="shared" si="49"/>
        <v>1.0515991003823111</v>
      </c>
      <c r="GC8" s="20">
        <f t="shared" si="25"/>
        <v>6.2621414188034761</v>
      </c>
      <c r="GD8" s="57">
        <f t="shared" si="26"/>
        <v>213.60867746170319</v>
      </c>
      <c r="GE8" s="57">
        <f ca="1">AVERAGE(OFFSET($GD$3,0,0,'Données projet'!$E$17+1,1))-AVERAGE(OFFSET($H$3,0,0,'Données projet'!$E$17+1,1))</f>
        <v>414.47327143450701</v>
      </c>
      <c r="GF8" s="57">
        <f t="shared" si="50"/>
        <v>546.83385887302961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54.882388617760526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2.7</v>
      </c>
      <c r="GU8" s="12">
        <f>IF('Données projet'!$A$270&gt;35,GU7+GT8-HC7,IF(A8&lt;'Données projet'!$A$270,$GR$205^A8,IF(A8='Données projet'!$A$270,'Données projet'!$B$270,GU7+GT8-HC7)))</f>
        <v>5.1961524227066302</v>
      </c>
      <c r="GV8" s="17">
        <f>GU8*VLOOKUP('Données projet'!$B$18,Paramètres!$A$1:$I$89,3,0)*VLOOKUP('Données projet'!$B$18,Paramètres!$A$1:$I$89,5,0)</f>
        <v>2.8370992227978205</v>
      </c>
      <c r="GW8" s="13">
        <f t="shared" si="51"/>
        <v>1.1580091606378238</v>
      </c>
      <c r="GX8" s="20">
        <f t="shared" si="28"/>
        <v>6.9581471011504137</v>
      </c>
      <c r="GY8" s="57">
        <f t="shared" si="29"/>
        <v>214.30468314405013</v>
      </c>
      <c r="GZ8" s="57">
        <f ca="1">AVERAGE(OFFSET($GY$3,0,0,'Données projet'!$E$18+1,1))-AVERAGE(OFFSET($H$3,0,0,'Données projet'!$E$18+1,1))</f>
        <v>381.00532469288714</v>
      </c>
      <c r="HA8" s="57">
        <f t="shared" si="52"/>
        <v>314.875259641757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>
        <f>EXP(-LN(2)/35)*HG7+(1-EXP(-LN(2)/35))/(LN(2)/35)*HC8*HD8*VLOOKUP('Données projet'!$B$18,Paramètres!$A$1:$I$89,3,0)*0.475*44/12</f>
        <v>0</v>
      </c>
      <c r="HH8" s="21">
        <f>EXP(-LN(2)/25)*HH7+(1-EXP(-LN(2)/25))/(LN(2)/25)*Calculateur!HC8*Calculateur!HE8*VLOOKUP('Données projet'!$B$18,Paramètres!$A$1:$I$89,3,0)*0.475*44/12</f>
        <v>0</v>
      </c>
      <c r="HI8" s="21">
        <f>EXP(-LN(2)/2)*HI7+(1-EXP(-LN(2)/2))/(LN(2)/2)*HC8*HF8*VLOOKUP('Données projet'!$B$18,Paramètres!$A$1:$I$89,3,0)*0.475*44/12</f>
        <v>0</v>
      </c>
      <c r="HJ8" s="22">
        <f t="shared" si="30"/>
        <v>0</v>
      </c>
    </row>
    <row r="9" spans="1:218" x14ac:dyDescent="0.2">
      <c r="A9" s="10">
        <f t="shared" si="31"/>
        <v>6</v>
      </c>
      <c r="B9" s="71">
        <f>'Scénario référence'!$B$16*5+'Scénario référence'!$B$17*0+'Scénario référence'!$B$18*5</f>
        <v>3.3000000000000003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12.100000000000001</v>
      </c>
      <c r="H9" s="65">
        <f t="shared" si="1"/>
        <v>208.26666666666665</v>
      </c>
      <c r="I9" s="6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55.144645377326619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1.2</v>
      </c>
      <c r="N9" s="13">
        <f>IF('Données projet'!$A$36&gt;35,N8+M9-V8,IF(A9&lt;'Données projet'!$A$36,$K$205^A9,IF(A9='Données projet'!$A$36,'Données projet'!$B$36,N8+M9-V8)))</f>
        <v>2.2620859438457455</v>
      </c>
      <c r="O9" s="13">
        <f>N9*VLOOKUP('Données projet'!$B$9,Paramètres!$A$1:$I$89,3,0)*VLOOKUP('Données projet'!$B$9,Paramètres!$A$1:$I$89,5,0)</f>
        <v>2.2937551470595863</v>
      </c>
      <c r="P9" s="13">
        <f t="shared" si="33"/>
        <v>0.95969104787443238</v>
      </c>
      <c r="Q9" s="20">
        <f t="shared" si="2"/>
        <v>5.6664187895100824</v>
      </c>
      <c r="R9" s="57">
        <f t="shared" si="0"/>
        <v>215.19678517304101</v>
      </c>
      <c r="S9" s="57">
        <f ca="1">AVERAGE(OFFSET($R$3,0,0,'Données projet'!$E$9+1,1))-AVERAGE(OFFSET($H$3,0,0,'Données projet'!$E$9+1,1))</f>
        <v>332.70145542047612</v>
      </c>
      <c r="T9" s="57">
        <f t="shared" si="34"/>
        <v>172.22433737900428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55.144645377326619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4.3352272727272725</v>
      </c>
      <c r="AI9" s="13">
        <f>IF('Données projet'!$A$62&gt;35,AI8+AH9-AQ8,IF(A9&lt;'Données projet'!$A$62,$AF$205^A9,IF(A9='Données projet'!$A$62,'Données projet'!$B$62,AI8+AH9-AQ8)))</f>
        <v>26.011363636363637</v>
      </c>
      <c r="AJ9" s="13">
        <f>AI9*VLOOKUP('Données projet'!$B$10,Paramètres!$A$1:$I$89,3,0)*VLOOKUP('Données projet'!$B$10,Paramètres!$A$1:$I$89,5,0)</f>
        <v>23.535081818181819</v>
      </c>
      <c r="AK9" s="13">
        <f t="shared" si="35"/>
        <v>7.5093106069409075</v>
      </c>
      <c r="AL9" s="20">
        <f t="shared" si="4"/>
        <v>54.068983473755416</v>
      </c>
      <c r="AM9" s="57">
        <f t="shared" si="5"/>
        <v>263.59934985728631</v>
      </c>
      <c r="AN9" s="57">
        <f ca="1">AVERAGE(OFFSET($AM$3,0,0,'Données projet'!$E$10+1,1))-AVERAGE(OFFSET($H$3,0,0,'Données projet'!$E$10+1,1))</f>
        <v>469.4210143164521</v>
      </c>
      <c r="AO9" s="57">
        <f t="shared" si="36"/>
        <v>308.4508386530556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55.144645377326619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1.1000000000000001</v>
      </c>
      <c r="BD9" s="12">
        <f>IF('Données projet'!$A$88&gt;35,BD8+BC9-BL8,IF(A9&lt;'Données projet'!$A$88,$BA$205^A9,IF(A9='Données projet'!$A$88,'Données projet'!$B$88,BD8+BC9-BL8)))</f>
        <v>4.2153691330919028</v>
      </c>
      <c r="BE9" s="13">
        <f>BD9*VLOOKUP('Données projet'!$B$11,Paramètres!$A$1:$I$89,3,0)*VLOOKUP('Données projet'!$B$11,Paramètres!$A$1:$I$89,5,0)</f>
        <v>3.0907086483829831</v>
      </c>
      <c r="BF9" s="13">
        <f t="shared" si="37"/>
        <v>1.2490141923201104</v>
      </c>
      <c r="BG9" s="20">
        <f t="shared" si="7"/>
        <v>7.5583506142245538</v>
      </c>
      <c r="BH9" s="57">
        <f t="shared" si="8"/>
        <v>217.08871699775548</v>
      </c>
      <c r="BI9" s="57">
        <f ca="1">AVERAGE(OFFSET($BH$3,0,0,'Données projet'!$E$11+1,1))-AVERAGE(OFFSET($H$3,0,0,'Données projet'!$E$11+1,1))</f>
        <v>344.32981377462971</v>
      </c>
      <c r="BJ9" s="57">
        <f t="shared" si="38"/>
        <v>334.42512656625763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55.144645377326619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4.04</v>
      </c>
      <c r="BY9" s="12">
        <f>IF('Données projet'!$A$114&gt;35,BY8+BX9-CG8,IF(A9&lt;'Données projet'!$A$114,$BV$205^A9,IF(A9='Données projet'!$A$114,'Données projet'!$B$114,BY8+BX9-CG8)))</f>
        <v>3.027172223044206</v>
      </c>
      <c r="BZ9" s="13">
        <f>BY9*VLOOKUP('Données projet'!$B$12,Paramètres!$A$1:$I$89,3,0)*VLOOKUP('Données projet'!$B$12,Paramètres!$A$1:$I$89,5,0)</f>
        <v>2.8806570874488666</v>
      </c>
      <c r="CA9" s="13">
        <f t="shared" si="39"/>
        <v>1.1737046089770222</v>
      </c>
      <c r="CB9" s="20">
        <f t="shared" si="10"/>
        <v>7.0613466212750886</v>
      </c>
      <c r="CC9" s="57">
        <f t="shared" si="11"/>
        <v>216.591713004806</v>
      </c>
      <c r="CD9" s="57">
        <f ca="1">AVERAGE(OFFSET($CC$3,0,0,'Données projet'!$E$12+1,1))-AVERAGE(OFFSET($H$3,0,0,'Données projet'!$E$12+1,1))</f>
        <v>498.77732039282807</v>
      </c>
      <c r="CE9" s="57">
        <f t="shared" si="40"/>
        <v>384.57317421826531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55.144645377326619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4.3352272727272725</v>
      </c>
      <c r="CT9" s="12">
        <f>IF('Données projet'!$A$140&gt;35,CT8+CS9-DB8,IF(A9&lt;'Données projet'!$A$140,$CQ$205^A9,IF(A9='Données projet'!$A$140,'Données projet'!$B$140,CT8+CS9-DB8)))</f>
        <v>26.011363636363637</v>
      </c>
      <c r="CU9" s="17">
        <f>CT9*VLOOKUP('Données projet'!$B$13,Paramètres!$A$1:$I$89,3,0)*VLOOKUP('Données projet'!$B$13,Paramètres!$A$1:$I$89,5,0)</f>
        <v>17.448422727272728</v>
      </c>
      <c r="CV9" s="13">
        <f t="shared" si="41"/>
        <v>5.7645819907996341</v>
      </c>
      <c r="CW9" s="20">
        <f t="shared" si="13"/>
        <v>40.429316550642689</v>
      </c>
      <c r="CX9" s="57">
        <f t="shared" si="14"/>
        <v>249.9596829341736</v>
      </c>
      <c r="CY9" s="57">
        <f ca="1">AVERAGE(OFFSET($CX$3,0,0,'Données projet'!$E$13+1,1))-AVERAGE(OFFSET($H$3,0,0,'Données projet'!$E$13+1,1))</f>
        <v>365.99625753737246</v>
      </c>
      <c r="CZ9" s="57">
        <f t="shared" si="42"/>
        <v>242.84814712692287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55.144645377326619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1.4</v>
      </c>
      <c r="DO9" s="12">
        <f>IF('Données projet'!$A$166&gt;35,DO8+DN9-DW8,IF(A9&lt;'Données projet'!$A$166,$DL$205^A9,IF(A9='Données projet'!$A$166,'Données projet'!$B$166,DO8+DN9-DW8)))</f>
        <v>4.8716583257669139</v>
      </c>
      <c r="DP9" s="17">
        <f>DO9*VLOOKUP('Données projet'!$B$14,Paramètres!$A$1:$I$89,3,0)*VLOOKUP('Données projet'!$B$14,Paramètres!$A$1:$I$89,5,0)</f>
        <v>3.1919105350424819</v>
      </c>
      <c r="DQ9" s="13">
        <f t="shared" si="43"/>
        <v>1.2850832778486103</v>
      </c>
      <c r="DR9" s="20">
        <f t="shared" si="16"/>
        <v>7.7974308907853205</v>
      </c>
      <c r="DS9" s="57">
        <f t="shared" si="17"/>
        <v>217.32779727431623</v>
      </c>
      <c r="DT9" s="57">
        <f ca="1">AVERAGE(OFFSET($DS$3,0,0,'Données projet'!$E$14+1,1))-AVERAGE(OFFSET($H$3,0,0,'Données projet'!$E$14+1,1))</f>
        <v>313.79279628660527</v>
      </c>
      <c r="DU9" s="57">
        <f t="shared" si="44"/>
        <v>317.45469955216254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55.144645377326619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0.6</v>
      </c>
      <c r="EJ9" s="12">
        <f>IF('Données projet'!$A$192&gt;35,EJ8+EI9-ER8,IF(A9&lt;'Données projet'!$A$192,$EG$205^A9,IF(A9='Données projet'!$A$192,'Données projet'!$B$192,EJ8+EI9-ER8)))</f>
        <v>2.4082246852806919</v>
      </c>
      <c r="EK9" s="17">
        <f>EJ9*VLOOKUP('Données projet'!$B$15,Paramètres!$A$1:$I$89,3,0)*VLOOKUP('Données projet'!$B$15,Paramètres!$A$1:$I$89,5,0)</f>
        <v>2.0662567799708338</v>
      </c>
      <c r="EL9" s="13">
        <f t="shared" si="45"/>
        <v>0.87508231077875787</v>
      </c>
      <c r="EM9" s="20">
        <f t="shared" si="19"/>
        <v>5.1228322497222045</v>
      </c>
      <c r="EN9" s="57">
        <f t="shared" si="20"/>
        <v>214.65319863325311</v>
      </c>
      <c r="EO9" s="57">
        <f ca="1">AVERAGE(OFFSET($EN$3,0,0,'Données projet'!$E$15+1,1))-AVERAGE(OFFSET($H$3,0,0,'Données projet'!$E$15+1,1))</f>
        <v>643.04899298561475</v>
      </c>
      <c r="EP9" s="57">
        <f t="shared" si="46"/>
        <v>474.94999304483031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55.144645377326619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1.1000000000000001</v>
      </c>
      <c r="FE9" s="12">
        <f>IF('Données projet'!$A$218&gt;35,FE8+FD9-FM8,IF(A9&lt;'Données projet'!$A$218,$FB$205^A9,IF(A9='Données projet'!$A$218,'Données projet'!$B$218,FE8+FD9-FM8)))</f>
        <v>4.2153691330919028</v>
      </c>
      <c r="FF9" s="17">
        <f>FE9*VLOOKUP('Données projet'!$B$16,Paramètres!$A$1:$I$89,3,0)*VLOOKUP('Données projet'!$B$16,Paramètres!$A$1:$I$89,5,0)</f>
        <v>3.4195074407641517</v>
      </c>
      <c r="FG9" s="13">
        <f t="shared" si="47"/>
        <v>1.3657218584637647</v>
      </c>
      <c r="FH9" s="20">
        <f t="shared" si="22"/>
        <v>8.3342743628219527</v>
      </c>
      <c r="FI9" s="57">
        <f t="shared" si="23"/>
        <v>217.86464074635288</v>
      </c>
      <c r="FJ9" s="57">
        <f ca="1">AVERAGE(OFFSET($FI$3,0,0,'Données projet'!$E$16+1,1))-AVERAGE(OFFSET($H$3,0,0,'Données projet'!$E$16+1,1))</f>
        <v>375.34603719604439</v>
      </c>
      <c r="FK9" s="57">
        <f t="shared" si="48"/>
        <v>363.99476973672211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55.144645377326619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10.163529411764706</v>
      </c>
      <c r="FZ9" s="12">
        <f>IF('Données projet'!$A$244&gt;35,FZ8+FY9-GH8,IF(A9&lt;'Données projet'!$A$244,$FW$205^A9,IF(A9='Données projet'!$A$244,'Données projet'!$B$244,FZ8+FY9-GH8)))</f>
        <v>6.1617429595676967</v>
      </c>
      <c r="GA9" s="17">
        <f>FZ9*VLOOKUP('Données projet'!$B$17,Paramètres!$A$1:$I$89,3,0)*VLOOKUP('Données projet'!$B$17,Paramètres!$A$1:$I$89,5,0)</f>
        <v>3.4444143143983426</v>
      </c>
      <c r="GB9" s="13">
        <f t="shared" si="49"/>
        <v>1.3745078339304442</v>
      </c>
      <c r="GC9" s="20">
        <f t="shared" si="25"/>
        <v>8.3929560750059693</v>
      </c>
      <c r="GD9" s="57">
        <f t="shared" si="26"/>
        <v>217.92332245853689</v>
      </c>
      <c r="GE9" s="57">
        <f ca="1">AVERAGE(OFFSET($GD$3,0,0,'Données projet'!$E$17+1,1))-AVERAGE(OFFSET($H$3,0,0,'Données projet'!$E$17+1,1))</f>
        <v>414.47327143450701</v>
      </c>
      <c r="GF9" s="57">
        <f t="shared" si="50"/>
        <v>546.83385887302961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55.144645377326619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2.7</v>
      </c>
      <c r="GU9" s="12">
        <f>IF('Données projet'!$A$270&gt;35,GU8+GT9-HC8,IF(A9&lt;'Données projet'!$A$270,$GR$205^A9,IF(A9='Données projet'!$A$270,'Données projet'!$B$270,GU8+GT9-HC8)))</f>
        <v>7.2246740558420726</v>
      </c>
      <c r="GV9" s="17">
        <f>GU9*VLOOKUP('Données projet'!$B$18,Paramètres!$A$1:$I$89,3,0)*VLOOKUP('Données projet'!$B$18,Paramètres!$A$1:$I$89,5,0)</f>
        <v>3.9446720344897717</v>
      </c>
      <c r="GW9" s="13">
        <f t="shared" si="51"/>
        <v>1.5494847175037121</v>
      </c>
      <c r="GX9" s="20">
        <f t="shared" si="28"/>
        <v>9.5689896763886502</v>
      </c>
      <c r="GY9" s="57">
        <f t="shared" si="29"/>
        <v>219.09935605991956</v>
      </c>
      <c r="GZ9" s="57">
        <f ca="1">AVERAGE(OFFSET($GY$3,0,0,'Données projet'!$E$18+1,1))-AVERAGE(OFFSET($H$3,0,0,'Données projet'!$E$18+1,1))</f>
        <v>381.00532469288714</v>
      </c>
      <c r="HA9" s="57">
        <f t="shared" si="52"/>
        <v>314.875259641757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>
        <f>EXP(-LN(2)/35)*HG8+(1-EXP(-LN(2)/35))/(LN(2)/35)*HC9*HD9*VLOOKUP('Données projet'!$B$18,Paramètres!$A$1:$I$89,3,0)*0.475*44/12</f>
        <v>0</v>
      </c>
      <c r="HH9" s="21">
        <f>EXP(-LN(2)/25)*HH8+(1-EXP(-LN(2)/25))/(LN(2)/25)*Calculateur!HC9*Calculateur!HE9*VLOOKUP('Données projet'!$B$18,Paramètres!$A$1:$I$89,3,0)*0.475*44/12</f>
        <v>0</v>
      </c>
      <c r="HI9" s="21">
        <f>EXP(-LN(2)/2)*HI8+(1-EXP(-LN(2)/2))/(LN(2)/2)*HC9*HF9*VLOOKUP('Données projet'!$B$18,Paramètres!$A$1:$I$89,3,0)*0.475*44/12</f>
        <v>0</v>
      </c>
      <c r="HJ9" s="22">
        <f t="shared" si="30"/>
        <v>0</v>
      </c>
    </row>
    <row r="10" spans="1:218" x14ac:dyDescent="0.2">
      <c r="A10" s="10">
        <f t="shared" si="31"/>
        <v>7</v>
      </c>
      <c r="B10" s="71">
        <f>'Scénario référence'!$B$16*5+'Scénario référence'!$B$17*0+'Scénario référence'!$B$18*5</f>
        <v>3.3000000000000003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12.100000000000001</v>
      </c>
      <c r="H10" s="65">
        <f t="shared" si="1"/>
        <v>208.26666666666665</v>
      </c>
      <c r="I10" s="6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55.402352568432519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1.2</v>
      </c>
      <c r="N10" s="13">
        <f>IF('Données projet'!$A$36&gt;35,N9+M10-V9,IF(A10&lt;'Données projet'!$A$36,$K$205^A10,IF(A10='Données projet'!$A$36,'Données projet'!$B$36,N9+M10-V9)))</f>
        <v>2.5917550374450604</v>
      </c>
      <c r="O10" s="13">
        <f>N10*VLOOKUP('Données projet'!$B$9,Paramètres!$A$1:$I$89,3,0)*VLOOKUP('Données projet'!$B$9,Paramètres!$A$1:$I$89,5,0)</f>
        <v>2.6280396079692911</v>
      </c>
      <c r="P10" s="13">
        <f t="shared" si="33"/>
        <v>1.082277967291873</v>
      </c>
      <c r="Q10" s="20">
        <f t="shared" si="2"/>
        <v>6.4621364435798609</v>
      </c>
      <c r="R10" s="57">
        <f t="shared" si="0"/>
        <v>218.15965141672132</v>
      </c>
      <c r="S10" s="57">
        <f ca="1">AVERAGE(OFFSET($R$3,0,0,'Données projet'!$E$9+1,1))-AVERAGE(OFFSET($H$3,0,0,'Données projet'!$E$9+1,1))</f>
        <v>332.70145542047612</v>
      </c>
      <c r="T10" s="57">
        <f t="shared" si="34"/>
        <v>172.22433737900428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55.402352568432519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4.3352272727272725</v>
      </c>
      <c r="AI10" s="13">
        <f>IF('Données projet'!$A$62&gt;35,AI9+AH10-AQ9,IF(A10&lt;'Données projet'!$A$62,$AF$205^A10,IF(A10='Données projet'!$A$62,'Données projet'!$B$62,AI9+AH10-AQ9)))</f>
        <v>30.34659090909091</v>
      </c>
      <c r="AJ10" s="13">
        <f>AI10*VLOOKUP('Données projet'!$B$10,Paramètres!$A$1:$I$89,3,0)*VLOOKUP('Données projet'!$B$10,Paramètres!$A$1:$I$89,5,0)</f>
        <v>27.457595454545455</v>
      </c>
      <c r="AK10" s="13">
        <f t="shared" si="35"/>
        <v>8.6050669120118162</v>
      </c>
      <c r="AL10" s="20">
        <f t="shared" si="4"/>
        <v>62.80913695508724</v>
      </c>
      <c r="AM10" s="57">
        <f t="shared" si="5"/>
        <v>274.50665192822873</v>
      </c>
      <c r="AN10" s="57">
        <f ca="1">AVERAGE(OFFSET($AM$3,0,0,'Données projet'!$E$10+1,1))-AVERAGE(OFFSET($H$3,0,0,'Données projet'!$E$10+1,1))</f>
        <v>469.4210143164521</v>
      </c>
      <c r="AO10" s="57">
        <f t="shared" si="36"/>
        <v>308.4508386530556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55.402352568432519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1.1000000000000001</v>
      </c>
      <c r="BD10" s="12">
        <f>IF('Données projet'!$A$88&gt;35,BD9+BC10-BL9,IF(A10&lt;'Données projet'!$A$88,$BA$205^A10,IF(A10='Données projet'!$A$88,'Données projet'!$B$88,BD9+BC10-BL9)))</f>
        <v>5.3576566694841175</v>
      </c>
      <c r="BE10" s="13">
        <f>BD10*VLOOKUP('Données projet'!$B$11,Paramètres!$A$1:$I$89,3,0)*VLOOKUP('Données projet'!$B$11,Paramètres!$A$1:$I$89,5,0)</f>
        <v>3.9282338700657551</v>
      </c>
      <c r="BF10" s="13">
        <f t="shared" si="37"/>
        <v>1.5437779404847436</v>
      </c>
      <c r="BG10" s="20">
        <f t="shared" si="7"/>
        <v>9.5304205700421178</v>
      </c>
      <c r="BH10" s="57">
        <f t="shared" si="8"/>
        <v>221.22793554318358</v>
      </c>
      <c r="BI10" s="57">
        <f ca="1">AVERAGE(OFFSET($BH$3,0,0,'Données projet'!$E$11+1,1))-AVERAGE(OFFSET($H$3,0,0,'Données projet'!$E$11+1,1))</f>
        <v>344.32981377462971</v>
      </c>
      <c r="BJ10" s="57">
        <f t="shared" si="38"/>
        <v>334.42512656625763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55.402352568432519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4.04</v>
      </c>
      <c r="BY10" s="12">
        <f>IF('Données projet'!$A$114&gt;35,BY9+BX10-CG9,IF(A10&lt;'Données projet'!$A$114,$BV$205^A10,IF(A10='Données projet'!$A$114,'Données projet'!$B$114,BY9+BX10-CG9)))</f>
        <v>3.6409103433804115</v>
      </c>
      <c r="BZ10" s="13">
        <f>BY10*VLOOKUP('Données projet'!$B$12,Paramètres!$A$1:$I$89,3,0)*VLOOKUP('Données projet'!$B$12,Paramètres!$A$1:$I$89,5,0)</f>
        <v>3.4646902827607997</v>
      </c>
      <c r="CA10" s="13">
        <f t="shared" si="39"/>
        <v>1.3816547824813181</v>
      </c>
      <c r="CB10" s="20">
        <f t="shared" si="10"/>
        <v>8.4407176552966874</v>
      </c>
      <c r="CC10" s="57">
        <f t="shared" si="11"/>
        <v>220.13823262843815</v>
      </c>
      <c r="CD10" s="57">
        <f ca="1">AVERAGE(OFFSET($CC$3,0,0,'Données projet'!$E$12+1,1))-AVERAGE(OFFSET($H$3,0,0,'Données projet'!$E$12+1,1))</f>
        <v>498.77732039282807</v>
      </c>
      <c r="CE10" s="57">
        <f t="shared" si="40"/>
        <v>384.57317421826531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55.402352568432519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4.3352272727272725</v>
      </c>
      <c r="CT10" s="12">
        <f>IF('Données projet'!$A$140&gt;35,CT9+CS10-DB9,IF(A10&lt;'Données projet'!$A$140,$CQ$205^A10,IF(A10='Données projet'!$A$140,'Données projet'!$B$140,CT9+CS10-DB9)))</f>
        <v>30.34659090909091</v>
      </c>
      <c r="CU10" s="17">
        <f>CT10*VLOOKUP('Données projet'!$B$13,Paramètres!$A$1:$I$89,3,0)*VLOOKUP('Données projet'!$B$13,Paramètres!$A$1:$I$89,5,0)</f>
        <v>20.35649318181818</v>
      </c>
      <c r="CV10" s="13">
        <f t="shared" si="41"/>
        <v>6.6057480302864642</v>
      </c>
      <c r="CW10" s="20">
        <f t="shared" si="13"/>
        <v>46.959236777748913</v>
      </c>
      <c r="CX10" s="57">
        <f t="shared" si="14"/>
        <v>258.65675175089041</v>
      </c>
      <c r="CY10" s="57">
        <f ca="1">AVERAGE(OFFSET($CX$3,0,0,'Données projet'!$E$13+1,1))-AVERAGE(OFFSET($H$3,0,0,'Données projet'!$E$13+1,1))</f>
        <v>365.99625753737246</v>
      </c>
      <c r="CZ10" s="57">
        <f t="shared" si="42"/>
        <v>242.84814712692287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55.402352568432519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1.4</v>
      </c>
      <c r="DO10" s="12">
        <f>IF('Données projet'!$A$166&gt;35,DO9+DN10-DW9,IF(A10&lt;'Données projet'!$A$166,$DL$205^A10,IF(A10='Données projet'!$A$166,'Données projet'!$B$166,DO9+DN10-DW9)))</f>
        <v>6.3429257117196256</v>
      </c>
      <c r="DP10" s="17">
        <f>DO10*VLOOKUP('Données projet'!$B$14,Paramètres!$A$1:$I$89,3,0)*VLOOKUP('Données projet'!$B$14,Paramètres!$A$1:$I$89,5,0)</f>
        <v>4.1558849263186985</v>
      </c>
      <c r="DQ10" s="13">
        <f t="shared" si="43"/>
        <v>1.6225688927480735</v>
      </c>
      <c r="DR10" s="20">
        <f t="shared" si="16"/>
        <v>10.064140401541296</v>
      </c>
      <c r="DS10" s="57">
        <f t="shared" si="17"/>
        <v>221.76165537468276</v>
      </c>
      <c r="DT10" s="57">
        <f ca="1">AVERAGE(OFFSET($DS$3,0,0,'Données projet'!$E$14+1,1))-AVERAGE(OFFSET($H$3,0,0,'Données projet'!$E$14+1,1))</f>
        <v>313.79279628660527</v>
      </c>
      <c r="DU10" s="57">
        <f t="shared" si="44"/>
        <v>317.45469955216254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55.402352568432519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0.6</v>
      </c>
      <c r="EJ10" s="12">
        <f>IF('Données projet'!$A$192&gt;35,EJ9+EI10-ER9,IF(A10&lt;'Données projet'!$A$192,$EG$205^A10,IF(A10='Données projet'!$A$192,'Données projet'!$B$192,EJ9+EI10-ER9)))</f>
        <v>2.788130973628832</v>
      </c>
      <c r="EK10" s="17">
        <f>EJ10*VLOOKUP('Données projet'!$B$15,Paramètres!$A$1:$I$89,3,0)*VLOOKUP('Données projet'!$B$15,Paramètres!$A$1:$I$89,5,0)</f>
        <v>2.3922163753735384</v>
      </c>
      <c r="EL10" s="13">
        <f t="shared" si="45"/>
        <v>0.99600186210257591</v>
      </c>
      <c r="EM10" s="20">
        <f t="shared" si="19"/>
        <v>5.9011467636042321</v>
      </c>
      <c r="EN10" s="57">
        <f t="shared" si="20"/>
        <v>217.5986617367457</v>
      </c>
      <c r="EO10" s="57">
        <f ca="1">AVERAGE(OFFSET($EN$3,0,0,'Données projet'!$E$15+1,1))-AVERAGE(OFFSET($H$3,0,0,'Données projet'!$E$15+1,1))</f>
        <v>643.04899298561475</v>
      </c>
      <c r="EP10" s="57">
        <f t="shared" si="46"/>
        <v>474.94999304483031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55.402352568432519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1.1000000000000001</v>
      </c>
      <c r="FE10" s="12">
        <f>IF('Données projet'!$A$218&gt;35,FE9+FD10-FM9,IF(A10&lt;'Données projet'!$A$218,$FB$205^A10,IF(A10='Données projet'!$A$218,'Données projet'!$B$218,FE9+FD10-FM9)))</f>
        <v>5.3576566694841175</v>
      </c>
      <c r="FF10" s="17">
        <f>FE10*VLOOKUP('Données projet'!$B$16,Paramètres!$A$1:$I$89,3,0)*VLOOKUP('Données projet'!$B$16,Paramètres!$A$1:$I$89,5,0)</f>
        <v>4.3461310902855157</v>
      </c>
      <c r="FG10" s="13">
        <f t="shared" si="47"/>
        <v>1.6880282793406653</v>
      </c>
      <c r="FH10" s="20">
        <f t="shared" si="22"/>
        <v>10.509494235432264</v>
      </c>
      <c r="FI10" s="57">
        <f t="shared" si="23"/>
        <v>222.20700920857374</v>
      </c>
      <c r="FJ10" s="57">
        <f ca="1">AVERAGE(OFFSET($FI$3,0,0,'Données projet'!$E$16+1,1))-AVERAGE(OFFSET($H$3,0,0,'Données projet'!$E$16+1,1))</f>
        <v>375.34603719604439</v>
      </c>
      <c r="FK10" s="57">
        <f t="shared" si="48"/>
        <v>363.99476973672211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55.402352568432519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10.163529411764706</v>
      </c>
      <c r="FZ10" s="12">
        <f>IF('Données projet'!$A$244&gt;35,FZ9+FY10-GH9,IF(A10&lt;'Données projet'!$A$244,$FW$205^A10,IF(A10='Données projet'!$A$244,'Données projet'!$B$244,FZ9+FY10-GH9)))</f>
        <v>8.3429730452220969</v>
      </c>
      <c r="GA10" s="17">
        <f>FZ10*VLOOKUP('Données projet'!$B$17,Paramètres!$A$1:$I$89,3,0)*VLOOKUP('Données projet'!$B$17,Paramètres!$A$1:$I$89,5,0)</f>
        <v>4.6637219322791523</v>
      </c>
      <c r="GB10" s="13">
        <f t="shared" si="49"/>
        <v>1.7965703706377396</v>
      </c>
      <c r="GC10" s="20">
        <f t="shared" si="25"/>
        <v>11.251675760913587</v>
      </c>
      <c r="GD10" s="57">
        <f t="shared" si="26"/>
        <v>222.94919073405507</v>
      </c>
      <c r="GE10" s="57">
        <f ca="1">AVERAGE(OFFSET($GD$3,0,0,'Données projet'!$E$17+1,1))-AVERAGE(OFFSET($H$3,0,0,'Données projet'!$E$17+1,1))</f>
        <v>414.47327143450701</v>
      </c>
      <c r="GF10" s="57">
        <f t="shared" si="50"/>
        <v>546.83385887302961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55.402352568432519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2.7</v>
      </c>
      <c r="GU10" s="12">
        <f>IF('Données projet'!$A$270&gt;35,GU9+GT10-HC9,IF(A10&lt;'Données projet'!$A$270,$GR$205^A10,IF(A10='Données projet'!$A$270,'Données projet'!$B$270,GU9+GT10-HC9)))</f>
        <v>10.045108566305135</v>
      </c>
      <c r="GV10" s="17">
        <f>GU10*VLOOKUP('Données projet'!$B$18,Paramètres!$A$1:$I$89,3,0)*VLOOKUP('Données projet'!$B$18,Paramètres!$A$1:$I$89,5,0)</f>
        <v>5.484629277202604</v>
      </c>
      <c r="GW10" s="13">
        <f t="shared" si="51"/>
        <v>2.0733021563103682</v>
      </c>
      <c r="GX10" s="20">
        <f t="shared" si="28"/>
        <v>13.163397246701761</v>
      </c>
      <c r="GY10" s="57">
        <f t="shared" si="29"/>
        <v>224.86091221984321</v>
      </c>
      <c r="GZ10" s="57">
        <f ca="1">AVERAGE(OFFSET($GY$3,0,0,'Données projet'!$E$18+1,1))-AVERAGE(OFFSET($H$3,0,0,'Données projet'!$E$18+1,1))</f>
        <v>381.00532469288714</v>
      </c>
      <c r="HA10" s="57">
        <f t="shared" si="52"/>
        <v>314.875259641757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>
        <f>EXP(-LN(2)/35)*HG9+(1-EXP(-LN(2)/35))/(LN(2)/35)*HC10*HD10*VLOOKUP('Données projet'!$B$18,Paramètres!$A$1:$I$89,3,0)*0.475*44/12</f>
        <v>0</v>
      </c>
      <c r="HH10" s="21">
        <f>EXP(-LN(2)/25)*HH9+(1-EXP(-LN(2)/25))/(LN(2)/25)*Calculateur!HC10*Calculateur!HE10*VLOOKUP('Données projet'!$B$18,Paramètres!$A$1:$I$89,3,0)*0.475*44/12</f>
        <v>0</v>
      </c>
      <c r="HI10" s="21">
        <f>EXP(-LN(2)/2)*HI9+(1-EXP(-LN(2)/2))/(LN(2)/2)*HC10*HF10*VLOOKUP('Données projet'!$B$18,Paramètres!$A$1:$I$89,3,0)*0.475*44/12</f>
        <v>0</v>
      </c>
      <c r="HJ10" s="22">
        <f t="shared" si="30"/>
        <v>0</v>
      </c>
    </row>
    <row r="11" spans="1:218" x14ac:dyDescent="0.2">
      <c r="A11" s="10">
        <f t="shared" si="31"/>
        <v>8</v>
      </c>
      <c r="B11" s="71">
        <f>'Scénario référence'!$B$16*5+'Scénario référence'!$B$17*0+'Scénario référence'!$B$18*5</f>
        <v>3.3000000000000003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12.100000000000001</v>
      </c>
      <c r="H11" s="65">
        <f t="shared" si="1"/>
        <v>208.26666666666665</v>
      </c>
      <c r="I11" s="6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55.65558911591971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1.2</v>
      </c>
      <c r="N11" s="13">
        <f>IF('Données projet'!$A$36&gt;35,N10+M11-V10,IF(A11&lt;'Données projet'!$A$36,$K$205^A11,IF(A11='Données projet'!$A$36,'Données projet'!$B$36,N10+M11-V10)))</f>
        <v>2.9694690391391689</v>
      </c>
      <c r="O11" s="13">
        <f>N11*VLOOKUP('Données projet'!$B$9,Paramètres!$A$1:$I$89,3,0)*VLOOKUP('Données projet'!$B$9,Paramètres!$A$1:$I$89,5,0)</f>
        <v>3.0110416056871174</v>
      </c>
      <c r="P11" s="13">
        <f t="shared" si="33"/>
        <v>1.2205236269315363</v>
      </c>
      <c r="Q11" s="20">
        <f t="shared" si="2"/>
        <v>7.3699761134774882</v>
      </c>
      <c r="R11" s="57">
        <f t="shared" si="0"/>
        <v>221.2182473162942</v>
      </c>
      <c r="S11" s="57">
        <f ca="1">AVERAGE(OFFSET($R$3,0,0,'Données projet'!$E$9+1,1))-AVERAGE(OFFSET($H$3,0,0,'Données projet'!$E$9+1,1))</f>
        <v>332.70145542047612</v>
      </c>
      <c r="T11" s="57">
        <f t="shared" si="34"/>
        <v>172.22433737900428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55.65558911591971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4.3352272727272725</v>
      </c>
      <c r="AI11" s="13">
        <f>IF('Données projet'!$A$62&gt;35,AI10+AH11-AQ10,IF(A11&lt;'Données projet'!$A$62,$AF$205^A11,IF(A11='Données projet'!$A$62,'Données projet'!$B$62,AI10+AH11-AQ10)))</f>
        <v>34.68181818181818</v>
      </c>
      <c r="AJ11" s="13">
        <f>AI11*VLOOKUP('Données projet'!$B$10,Paramètres!$A$1:$I$89,3,0)*VLOOKUP('Données projet'!$B$10,Paramètres!$A$1:$I$89,5,0)</f>
        <v>31.380109090909087</v>
      </c>
      <c r="AK11" s="13">
        <f t="shared" si="35"/>
        <v>9.68268795556226</v>
      </c>
      <c r="AL11" s="20">
        <f t="shared" si="4"/>
        <v>71.517704855937595</v>
      </c>
      <c r="AM11" s="57">
        <f t="shared" si="5"/>
        <v>285.36597605875431</v>
      </c>
      <c r="AN11" s="57">
        <f ca="1">AVERAGE(OFFSET($AM$3,0,0,'Données projet'!$E$10+1,1))-AVERAGE(OFFSET($H$3,0,0,'Données projet'!$E$10+1,1))</f>
        <v>469.4210143164521</v>
      </c>
      <c r="AO11" s="57">
        <f t="shared" si="36"/>
        <v>308.4508386530556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55.65558911591971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1.1000000000000001</v>
      </c>
      <c r="BD11" s="12">
        <f>IF('Données projet'!$A$88&gt;35,BD10+BC11-BL10,IF(A11&lt;'Données projet'!$A$88,$BA$205^A11,IF(A11='Données projet'!$A$88,'Données projet'!$B$88,BD10+BC11-BL10)))</f>
        <v>6.8094831275223076</v>
      </c>
      <c r="BE11" s="13">
        <f>BD11*VLOOKUP('Données projet'!$B$11,Paramètres!$A$1:$I$89,3,0)*VLOOKUP('Données projet'!$B$11,Paramètres!$A$1:$I$89,5,0)</f>
        <v>4.9927130290993551</v>
      </c>
      <c r="BF11" s="13">
        <f t="shared" si="37"/>
        <v>1.9081050833380053</v>
      </c>
      <c r="BG11" s="20">
        <f t="shared" si="7"/>
        <v>12.018924879161736</v>
      </c>
      <c r="BH11" s="57">
        <f t="shared" si="8"/>
        <v>225.86719608197845</v>
      </c>
      <c r="BI11" s="57">
        <f ca="1">AVERAGE(OFFSET($BH$3,0,0,'Données projet'!$E$11+1,1))-AVERAGE(OFFSET($H$3,0,0,'Données projet'!$E$11+1,1))</f>
        <v>344.32981377462971</v>
      </c>
      <c r="BJ11" s="57">
        <f t="shared" si="38"/>
        <v>334.42512656625763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55.65558911591971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4.04</v>
      </c>
      <c r="BY11" s="12">
        <f>IF('Données projet'!$A$114&gt;35,BY10+BX11-CG10,IF(A11&lt;'Données projet'!$A$114,$BV$205^A11,IF(A11='Données projet'!$A$114,'Données projet'!$B$114,BY10+BX11-CG10)))</f>
        <v>4.3790796003022399</v>
      </c>
      <c r="BZ11" s="13">
        <f>BY11*VLOOKUP('Données projet'!$B$12,Paramètres!$A$1:$I$89,3,0)*VLOOKUP('Données projet'!$B$12,Paramètres!$A$1:$I$89,5,0)</f>
        <v>4.167132147647612</v>
      </c>
      <c r="CA11" s="13">
        <f t="shared" si="39"/>
        <v>1.6264483613277441</v>
      </c>
      <c r="CB11" s="20">
        <f t="shared" si="10"/>
        <v>10.090486053132079</v>
      </c>
      <c r="CC11" s="57">
        <f t="shared" si="11"/>
        <v>223.93875725594879</v>
      </c>
      <c r="CD11" s="57">
        <f ca="1">AVERAGE(OFFSET($CC$3,0,0,'Données projet'!$E$12+1,1))-AVERAGE(OFFSET($H$3,0,0,'Données projet'!$E$12+1,1))</f>
        <v>498.77732039282807</v>
      </c>
      <c r="CE11" s="57">
        <f t="shared" si="40"/>
        <v>384.57317421826531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55.65558911591971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4.3352272727272725</v>
      </c>
      <c r="CT11" s="12">
        <f>IF('Données projet'!$A$140&gt;35,CT10+CS11-DB10,IF(A11&lt;'Données projet'!$A$140,$CQ$205^A11,IF(A11='Données projet'!$A$140,'Données projet'!$B$140,CT10+CS11-DB10)))</f>
        <v>34.68181818181818</v>
      </c>
      <c r="CU11" s="17">
        <f>CT11*VLOOKUP('Données projet'!$B$13,Paramètres!$A$1:$I$89,3,0)*VLOOKUP('Données projet'!$B$13,Paramètres!$A$1:$I$89,5,0)</f>
        <v>23.264563636363636</v>
      </c>
      <c r="CV11" s="13">
        <f t="shared" si="41"/>
        <v>7.4329923920812426</v>
      </c>
      <c r="CW11" s="20">
        <f t="shared" si="13"/>
        <v>53.46491008287483</v>
      </c>
      <c r="CX11" s="57">
        <f t="shared" si="14"/>
        <v>267.31318128569154</v>
      </c>
      <c r="CY11" s="57">
        <f ca="1">AVERAGE(OFFSET($CX$3,0,0,'Données projet'!$E$13+1,1))-AVERAGE(OFFSET($H$3,0,0,'Données projet'!$E$13+1,1))</f>
        <v>365.99625753737246</v>
      </c>
      <c r="CZ11" s="57">
        <f t="shared" si="42"/>
        <v>242.84814712692287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55.65558911591971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1.4</v>
      </c>
      <c r="DO11" s="12">
        <f>IF('Données projet'!$A$166&gt;35,DO10+DN11-DW10,IF(A11&lt;'Données projet'!$A$166,$DL$205^A11,IF(A11='Données projet'!$A$166,'Données projet'!$B$166,DO10+DN11-DW10)))</f>
        <v>8.258523872989457</v>
      </c>
      <c r="DP11" s="17">
        <f>DO11*VLOOKUP('Données projet'!$B$14,Paramètres!$A$1:$I$89,3,0)*VLOOKUP('Données projet'!$B$14,Paramètres!$A$1:$I$89,5,0)</f>
        <v>5.4109848415826924</v>
      </c>
      <c r="DQ11" s="13">
        <f t="shared" si="43"/>
        <v>2.0486842036581692</v>
      </c>
      <c r="DR11" s="20">
        <f t="shared" si="16"/>
        <v>12.992256920461166</v>
      </c>
      <c r="DS11" s="57">
        <f t="shared" si="17"/>
        <v>226.84052812327786</v>
      </c>
      <c r="DT11" s="57">
        <f ca="1">AVERAGE(OFFSET($DS$3,0,0,'Données projet'!$E$14+1,1))-AVERAGE(OFFSET($H$3,0,0,'Données projet'!$E$14+1,1))</f>
        <v>313.79279628660527</v>
      </c>
      <c r="DU11" s="57">
        <f t="shared" si="44"/>
        <v>317.45469955216254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55.65558911591971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0.6</v>
      </c>
      <c r="EJ11" s="12">
        <f>IF('Données projet'!$A$192&gt;35,EJ10+EI11-ER10,IF(A11&lt;'Données projet'!$A$192,$EG$205^A11,IF(A11='Données projet'!$A$192,'Données projet'!$B$192,EJ10+EI11-ER10)))</f>
        <v>3.227968874176038</v>
      </c>
      <c r="EK11" s="17">
        <f>EJ11*VLOOKUP('Données projet'!$B$15,Paramètres!$A$1:$I$89,3,0)*VLOOKUP('Données projet'!$B$15,Paramètres!$A$1:$I$89,5,0)</f>
        <v>2.7695972940430411</v>
      </c>
      <c r="EL11" s="13">
        <f t="shared" si="45"/>
        <v>1.1336301706624319</v>
      </c>
      <c r="EM11" s="20">
        <f t="shared" si="19"/>
        <v>6.7981211676953643</v>
      </c>
      <c r="EN11" s="57">
        <f t="shared" si="20"/>
        <v>220.64639237051207</v>
      </c>
      <c r="EO11" s="57">
        <f ca="1">AVERAGE(OFFSET($EN$3,0,0,'Données projet'!$E$15+1,1))-AVERAGE(OFFSET($H$3,0,0,'Données projet'!$E$15+1,1))</f>
        <v>643.04899298561475</v>
      </c>
      <c r="EP11" s="57">
        <f t="shared" si="46"/>
        <v>474.94999304483031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55.65558911591971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1.1000000000000001</v>
      </c>
      <c r="FE11" s="12">
        <f>IF('Données projet'!$A$218&gt;35,FE10+FD11-FM10,IF(A11&lt;'Données projet'!$A$218,$FB$205^A11,IF(A11='Données projet'!$A$218,'Données projet'!$B$218,FE10+FD11-FM10)))</f>
        <v>6.8094831275223076</v>
      </c>
      <c r="FF11" s="17">
        <f>FE11*VLOOKUP('Données projet'!$B$16,Paramètres!$A$1:$I$89,3,0)*VLOOKUP('Données projet'!$B$16,Paramètres!$A$1:$I$89,5,0)</f>
        <v>5.5238527130460966</v>
      </c>
      <c r="FG11" s="13">
        <f t="shared" si="47"/>
        <v>2.0863980862538192</v>
      </c>
      <c r="FH11" s="20">
        <f t="shared" si="22"/>
        <v>13.25452014211402</v>
      </c>
      <c r="FI11" s="57">
        <f t="shared" si="23"/>
        <v>227.10279134493072</v>
      </c>
      <c r="FJ11" s="57">
        <f ca="1">AVERAGE(OFFSET($FI$3,0,0,'Données projet'!$E$16+1,1))-AVERAGE(OFFSET($H$3,0,0,'Données projet'!$E$16+1,1))</f>
        <v>375.34603719604439</v>
      </c>
      <c r="FK11" s="57">
        <f t="shared" si="48"/>
        <v>363.99476973672211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55.65558911591971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10.163529411764706</v>
      </c>
      <c r="FZ11" s="12">
        <f>IF('Données projet'!$A$244&gt;35,FZ10+FY11-GH10,IF(A11&lt;'Données projet'!$A$244,$FW$205^A11,IF(A11='Données projet'!$A$244,'Données projet'!$B$244,FZ10+FY11-GH10)))</f>
        <v>11.296349050916252</v>
      </c>
      <c r="GA11" s="17">
        <f>FZ11*VLOOKUP('Données projet'!$B$17,Paramètres!$A$1:$I$89,3,0)*VLOOKUP('Données projet'!$B$17,Paramètres!$A$1:$I$89,5,0)</f>
        <v>6.3146591194621848</v>
      </c>
      <c r="GB11" s="13">
        <f t="shared" si="49"/>
        <v>2.3482333217583955</v>
      </c>
      <c r="GC11" s="20">
        <f t="shared" si="25"/>
        <v>15.087871001792513</v>
      </c>
      <c r="GD11" s="57">
        <f t="shared" si="26"/>
        <v>228.93614220460921</v>
      </c>
      <c r="GE11" s="57">
        <f ca="1">AVERAGE(OFFSET($GD$3,0,0,'Données projet'!$E$17+1,1))-AVERAGE(OFFSET($H$3,0,0,'Données projet'!$E$17+1,1))</f>
        <v>414.47327143450701</v>
      </c>
      <c r="GF11" s="57">
        <f t="shared" si="50"/>
        <v>546.83385887302961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55.65558911591971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2.7</v>
      </c>
      <c r="GU11" s="12">
        <f>IF('Données projet'!$A$270&gt;35,GU10+GT11-HC10,IF(A11&lt;'Données projet'!$A$270,$GR$205^A11,IF(A11='Données projet'!$A$270,'Données projet'!$B$270,GU10+GT11-HC10)))</f>
        <v>13.96661016523823</v>
      </c>
      <c r="GV11" s="17">
        <f>GU11*VLOOKUP('Données projet'!$B$18,Paramètres!$A$1:$I$89,3,0)*VLOOKUP('Données projet'!$B$18,Paramètres!$A$1:$I$89,5,0)</f>
        <v>7.6257691502200728</v>
      </c>
      <c r="GW11" s="13">
        <f t="shared" si="51"/>
        <v>2.7742008570994008</v>
      </c>
      <c r="GX11" s="20">
        <f t="shared" si="28"/>
        <v>18.113281096081419</v>
      </c>
      <c r="GY11" s="57">
        <f t="shared" si="29"/>
        <v>231.96155229889811</v>
      </c>
      <c r="GZ11" s="57">
        <f ca="1">AVERAGE(OFFSET($GY$3,0,0,'Données projet'!$E$18+1,1))-AVERAGE(OFFSET($H$3,0,0,'Données projet'!$E$18+1,1))</f>
        <v>381.00532469288714</v>
      </c>
      <c r="HA11" s="57">
        <f t="shared" si="52"/>
        <v>314.875259641757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>
        <f>EXP(-LN(2)/35)*HG10+(1-EXP(-LN(2)/35))/(LN(2)/35)*HC11*HD11*VLOOKUP('Données projet'!$B$18,Paramètres!$A$1:$I$89,3,0)*0.475*44/12</f>
        <v>0</v>
      </c>
      <c r="HH11" s="21">
        <f>EXP(-LN(2)/25)*HH10+(1-EXP(-LN(2)/25))/(LN(2)/25)*Calculateur!HC11*Calculateur!HE11*VLOOKUP('Données projet'!$B$18,Paramètres!$A$1:$I$89,3,0)*0.475*44/12</f>
        <v>0</v>
      </c>
      <c r="HI11" s="21">
        <f>EXP(-LN(2)/2)*HI10+(1-EXP(-LN(2)/2))/(LN(2)/2)*HC11*HF11*VLOOKUP('Données projet'!$B$18,Paramètres!$A$1:$I$89,3,0)*0.475*44/12</f>
        <v>0</v>
      </c>
      <c r="HJ11" s="22">
        <f t="shared" si="30"/>
        <v>0</v>
      </c>
    </row>
    <row r="12" spans="1:218" x14ac:dyDescent="0.2">
      <c r="A12" s="10">
        <f t="shared" si="31"/>
        <v>9</v>
      </c>
      <c r="B12" s="71">
        <f>'Scénario référence'!$B$16*5+'Scénario référence'!$B$17*0+'Scénario référence'!$B$18*5</f>
        <v>3.3000000000000003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12.100000000000001</v>
      </c>
      <c r="H12" s="65">
        <f t="shared" si="1"/>
        <v>208.26666666666665</v>
      </c>
      <c r="I12" s="6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55.904432575460092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1.2</v>
      </c>
      <c r="N12" s="13">
        <f>IF('Données projet'!$A$36&gt;35,N11+M12-V11,IF(A12&lt;'Données projet'!$A$36,$K$205^A12,IF(A12='Données projet'!$A$36,'Données projet'!$B$36,N11+M12-V11)))</f>
        <v>3.4022298585357786</v>
      </c>
      <c r="O12" s="13">
        <f>N12*VLOOKUP('Données projet'!$B$9,Paramètres!$A$1:$I$89,3,0)*VLOOKUP('Données projet'!$B$9,Paramètres!$A$1:$I$89,5,0)</f>
        <v>3.4498610765552797</v>
      </c>
      <c r="P12" s="13">
        <f t="shared" si="33"/>
        <v>1.3764282087582862</v>
      </c>
      <c r="Q12" s="20">
        <f t="shared" si="2"/>
        <v>8.4057871719211263</v>
      </c>
      <c r="R12" s="57">
        <f t="shared" si="0"/>
        <v>224.3887066152748</v>
      </c>
      <c r="S12" s="57">
        <f ca="1">AVERAGE(OFFSET($R$3,0,0,'Données projet'!$E$9+1,1))-AVERAGE(OFFSET($H$3,0,0,'Données projet'!$E$9+1,1))</f>
        <v>332.70145542047612</v>
      </c>
      <c r="T12" s="57">
        <f t="shared" si="34"/>
        <v>172.22433737900428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55.904432575460092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4.3352272727272725</v>
      </c>
      <c r="AI12" s="13">
        <f>IF('Données projet'!$A$62&gt;35,AI11+AH12-AQ11,IF(A12&lt;'Données projet'!$A$62,$AF$205^A12,IF(A12='Données projet'!$A$62,'Données projet'!$B$62,AI11+AH12-AQ11)))</f>
        <v>39.017045454545453</v>
      </c>
      <c r="AJ12" s="13">
        <f>AI12*VLOOKUP('Données projet'!$B$10,Paramètres!$A$1:$I$89,3,0)*VLOOKUP('Données projet'!$B$10,Paramètres!$A$1:$I$89,5,0)</f>
        <v>35.302622727272727</v>
      </c>
      <c r="AK12" s="13">
        <f t="shared" si="35"/>
        <v>10.744700265028126</v>
      </c>
      <c r="AL12" s="20">
        <f t="shared" si="4"/>
        <v>80.19908754492397</v>
      </c>
      <c r="AM12" s="57">
        <f t="shared" si="5"/>
        <v>296.18200698827764</v>
      </c>
      <c r="AN12" s="57">
        <f ca="1">AVERAGE(OFFSET($AM$3,0,0,'Données projet'!$E$10+1,1))-AVERAGE(OFFSET($H$3,0,0,'Données projet'!$E$10+1,1))</f>
        <v>469.4210143164521</v>
      </c>
      <c r="AO12" s="57">
        <f t="shared" si="36"/>
        <v>308.4508386530556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55.904432575460092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1.1000000000000001</v>
      </c>
      <c r="BD12" s="12">
        <f>IF('Données projet'!$A$88&gt;35,BD11+BC12-BL11,IF(A12&lt;'Données projet'!$A$88,$BA$205^A12,IF(A12='Données projet'!$A$88,'Données projet'!$B$88,BD11+BC12-BL11)))</f>
        <v>8.6547278641645029</v>
      </c>
      <c r="BE12" s="13">
        <f>BD12*VLOOKUP('Données projet'!$B$11,Paramètres!$A$1:$I$89,3,0)*VLOOKUP('Données projet'!$B$11,Paramètres!$A$1:$I$89,5,0)</f>
        <v>6.3456464700054127</v>
      </c>
      <c r="BF12" s="13">
        <f t="shared" si="37"/>
        <v>2.3584123814576028</v>
      </c>
      <c r="BG12" s="20">
        <f t="shared" si="7"/>
        <v>15.159569166298086</v>
      </c>
      <c r="BH12" s="57">
        <f t="shared" si="8"/>
        <v>231.14248860965176</v>
      </c>
      <c r="BI12" s="57">
        <f ca="1">AVERAGE(OFFSET($BH$3,0,0,'Données projet'!$E$11+1,1))-AVERAGE(OFFSET($H$3,0,0,'Données projet'!$E$11+1,1))</f>
        <v>344.32981377462971</v>
      </c>
      <c r="BJ12" s="57">
        <f t="shared" si="38"/>
        <v>334.42512656625763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55.904432575460092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4.04</v>
      </c>
      <c r="BY12" s="12">
        <f>IF('Données projet'!$A$114&gt;35,BY11+BX12-CG11,IF(A12&lt;'Données projet'!$A$114,$BV$205^A12,IF(A12='Données projet'!$A$114,'Données projet'!$B$114,BY11+BX12-CG11)))</f>
        <v>5.2669075415844793</v>
      </c>
      <c r="BZ12" s="13">
        <f>BY12*VLOOKUP('Données projet'!$B$12,Paramètres!$A$1:$I$89,3,0)*VLOOKUP('Données projet'!$B$12,Paramètres!$A$1:$I$89,5,0)</f>
        <v>5.0119892165717905</v>
      </c>
      <c r="CA12" s="13">
        <f t="shared" si="39"/>
        <v>1.9146130463319784</v>
      </c>
      <c r="CB12" s="20">
        <f t="shared" si="10"/>
        <v>12.063832274557399</v>
      </c>
      <c r="CC12" s="57">
        <f t="shared" si="11"/>
        <v>228.04675171791106</v>
      </c>
      <c r="CD12" s="57">
        <f ca="1">AVERAGE(OFFSET($CC$3,0,0,'Données projet'!$E$12+1,1))-AVERAGE(OFFSET($H$3,0,0,'Données projet'!$E$12+1,1))</f>
        <v>498.77732039282807</v>
      </c>
      <c r="CE12" s="57">
        <f t="shared" si="40"/>
        <v>384.57317421826531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55.904432575460092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4.3352272727272725</v>
      </c>
      <c r="CT12" s="12">
        <f>IF('Données projet'!$A$140&gt;35,CT11+CS12-DB11,IF(A12&lt;'Données projet'!$A$140,$CQ$205^A12,IF(A12='Données projet'!$A$140,'Données projet'!$B$140,CT11+CS12-DB11)))</f>
        <v>39.017045454545453</v>
      </c>
      <c r="CU12" s="17">
        <f>CT12*VLOOKUP('Données projet'!$B$13,Paramètres!$A$1:$I$89,3,0)*VLOOKUP('Données projet'!$B$13,Paramètres!$A$1:$I$89,5,0)</f>
        <v>26.172634090909092</v>
      </c>
      <c r="CV12" s="13">
        <f t="shared" si="41"/>
        <v>8.2482545850574915</v>
      </c>
      <c r="CW12" s="20">
        <f t="shared" si="13"/>
        <v>59.949714443975118</v>
      </c>
      <c r="CX12" s="57">
        <f t="shared" si="14"/>
        <v>275.93263388732879</v>
      </c>
      <c r="CY12" s="57">
        <f ca="1">AVERAGE(OFFSET($CX$3,0,0,'Données projet'!$E$13+1,1))-AVERAGE(OFFSET($H$3,0,0,'Données projet'!$E$13+1,1))</f>
        <v>365.99625753737246</v>
      </c>
      <c r="CZ12" s="57">
        <f t="shared" si="42"/>
        <v>242.84814712692287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55.904432575460092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1.4</v>
      </c>
      <c r="DO12" s="12">
        <f>IF('Données projet'!$A$166&gt;35,DO11+DN12-DW11,IF(A12&lt;'Données projet'!$A$166,$DL$205^A12,IF(A12='Données projet'!$A$166,'Données projet'!$B$166,DO11+DN12-DW11)))</f>
        <v>10.752643127243291</v>
      </c>
      <c r="DP12" s="17">
        <f>DO12*VLOOKUP('Données projet'!$B$14,Paramètres!$A$1:$I$89,3,0)*VLOOKUP('Données projet'!$B$14,Paramètres!$A$1:$I$89,5,0)</f>
        <v>7.0451317769698045</v>
      </c>
      <c r="DQ12" s="13">
        <f t="shared" si="43"/>
        <v>2.5867049375081068</v>
      </c>
      <c r="DR12" s="20">
        <f t="shared" si="16"/>
        <v>16.775448944382362</v>
      </c>
      <c r="DS12" s="57">
        <f t="shared" si="17"/>
        <v>232.75836838773603</v>
      </c>
      <c r="DT12" s="57">
        <f ca="1">AVERAGE(OFFSET($DS$3,0,0,'Données projet'!$E$14+1,1))-AVERAGE(OFFSET($H$3,0,0,'Données projet'!$E$14+1,1))</f>
        <v>313.79279628660527</v>
      </c>
      <c r="DU12" s="57">
        <f t="shared" si="44"/>
        <v>317.45469955216254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55.904432575460092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0.6</v>
      </c>
      <c r="EJ12" s="12">
        <f>IF('Données projet'!$A$192&gt;35,EJ11+EI12-ER11,IF(A12&lt;'Données projet'!$A$192,$EG$205^A12,IF(A12='Données projet'!$A$192,'Données projet'!$B$192,EJ11+EI12-ER11)))</f>
        <v>3.7371928188465526</v>
      </c>
      <c r="EK12" s="17">
        <f>EJ12*VLOOKUP('Données projet'!$B$15,Paramètres!$A$1:$I$89,3,0)*VLOOKUP('Données projet'!$B$15,Paramètres!$A$1:$I$89,5,0)</f>
        <v>3.2065114385703426</v>
      </c>
      <c r="EL12" s="13">
        <f t="shared" si="45"/>
        <v>1.2902760654716356</v>
      </c>
      <c r="EM12" s="20">
        <f t="shared" si="19"/>
        <v>7.831904902873112</v>
      </c>
      <c r="EN12" s="57">
        <f t="shared" si="20"/>
        <v>223.81482434622677</v>
      </c>
      <c r="EO12" s="57">
        <f ca="1">AVERAGE(OFFSET($EN$3,0,0,'Données projet'!$E$15+1,1))-AVERAGE(OFFSET($H$3,0,0,'Données projet'!$E$15+1,1))</f>
        <v>643.04899298561475</v>
      </c>
      <c r="EP12" s="57">
        <f t="shared" si="46"/>
        <v>474.94999304483031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55.904432575460092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1.1000000000000001</v>
      </c>
      <c r="FE12" s="12">
        <f>IF('Données projet'!$A$218&gt;35,FE11+FD12-FM11,IF(A12&lt;'Données projet'!$A$218,$FB$205^A12,IF(A12='Données projet'!$A$218,'Données projet'!$B$218,FE11+FD12-FM11)))</f>
        <v>8.6547278641645029</v>
      </c>
      <c r="FF12" s="17">
        <f>FE12*VLOOKUP('Données projet'!$B$16,Paramètres!$A$1:$I$89,3,0)*VLOOKUP('Données projet'!$B$16,Paramètres!$A$1:$I$89,5,0)</f>
        <v>7.0207152434102458</v>
      </c>
      <c r="FG12" s="13">
        <f t="shared" si="47"/>
        <v>2.5787820189978565</v>
      </c>
      <c r="FH12" s="20">
        <f t="shared" si="22"/>
        <v>16.71912439869411</v>
      </c>
      <c r="FI12" s="57">
        <f t="shared" si="23"/>
        <v>232.70204384204777</v>
      </c>
      <c r="FJ12" s="57">
        <f ca="1">AVERAGE(OFFSET($FI$3,0,0,'Données projet'!$E$16+1,1))-AVERAGE(OFFSET($H$3,0,0,'Données projet'!$E$16+1,1))</f>
        <v>375.34603719604439</v>
      </c>
      <c r="FK12" s="57">
        <f t="shared" si="48"/>
        <v>363.99476973672211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55.904432575460092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10.163529411764706</v>
      </c>
      <c r="FZ12" s="12">
        <f>IF('Données projet'!$A$244&gt;35,FZ11+FY12-GH11,IF(A12&lt;'Données projet'!$A$244,$FW$205^A12,IF(A12='Données projet'!$A$244,'Données projet'!$B$244,FZ11+FY12-GH11)))</f>
        <v>15.295207258666087</v>
      </c>
      <c r="GA12" s="17">
        <f>FZ12*VLOOKUP('Données projet'!$B$17,Paramètres!$A$1:$I$89,3,0)*VLOOKUP('Données projet'!$B$17,Paramètres!$A$1:$I$89,5,0)</f>
        <v>8.5500208575943439</v>
      </c>
      <c r="GB12" s="13">
        <f t="shared" si="49"/>
        <v>3.0692923714750222</v>
      </c>
      <c r="GC12" s="20">
        <f t="shared" si="25"/>
        <v>20.236970540629144</v>
      </c>
      <c r="GD12" s="57">
        <f t="shared" si="26"/>
        <v>236.2198899839828</v>
      </c>
      <c r="GE12" s="57">
        <f ca="1">AVERAGE(OFFSET($GD$3,0,0,'Données projet'!$E$17+1,1))-AVERAGE(OFFSET($H$3,0,0,'Données projet'!$E$17+1,1))</f>
        <v>414.47327143450701</v>
      </c>
      <c r="GF12" s="57">
        <f t="shared" si="50"/>
        <v>546.83385887302961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55.904432575460092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2.7</v>
      </c>
      <c r="GU12" s="12">
        <f>IF('Données projet'!$A$270&gt;35,GU11+GT12-HC11,IF(A12&lt;'Données projet'!$A$270,$GR$205^A12,IF(A12='Données projet'!$A$270,'Données projet'!$B$270,GU11+GT12-HC11)))</f>
        <v>19.419023519771326</v>
      </c>
      <c r="GV12" s="17">
        <f>GU12*VLOOKUP('Données projet'!$B$18,Paramètres!$A$1:$I$89,3,0)*VLOOKUP('Données projet'!$B$18,Paramètres!$A$1:$I$89,5,0)</f>
        <v>10.602786841795142</v>
      </c>
      <c r="GW12" s="13">
        <f t="shared" si="51"/>
        <v>3.7120447553226521</v>
      </c>
      <c r="GX12" s="20">
        <f t="shared" si="28"/>
        <v>24.931665031646826</v>
      </c>
      <c r="GY12" s="57">
        <f t="shared" si="29"/>
        <v>240.91458447500048</v>
      </c>
      <c r="GZ12" s="57">
        <f ca="1">AVERAGE(OFFSET($GY$3,0,0,'Données projet'!$E$18+1,1))-AVERAGE(OFFSET($H$3,0,0,'Données projet'!$E$18+1,1))</f>
        <v>381.00532469288714</v>
      </c>
      <c r="HA12" s="57">
        <f t="shared" si="52"/>
        <v>314.875259641757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>
        <f>EXP(-LN(2)/35)*HG11+(1-EXP(-LN(2)/35))/(LN(2)/35)*HC12*HD12*VLOOKUP('Données projet'!$B$18,Paramètres!$A$1:$I$89,3,0)*0.475*44/12</f>
        <v>0</v>
      </c>
      <c r="HH12" s="21">
        <f>EXP(-LN(2)/25)*HH11+(1-EXP(-LN(2)/25))/(LN(2)/25)*Calculateur!HC12*Calculateur!HE12*VLOOKUP('Données projet'!$B$18,Paramètres!$A$1:$I$89,3,0)*0.475*44/12</f>
        <v>0</v>
      </c>
      <c r="HI12" s="21">
        <f>EXP(-LN(2)/2)*HI11+(1-EXP(-LN(2)/2))/(LN(2)/2)*HC12*HF12*VLOOKUP('Données projet'!$B$18,Paramètres!$A$1:$I$89,3,0)*0.475*44/12</f>
        <v>0</v>
      </c>
      <c r="HJ12" s="22">
        <f t="shared" si="30"/>
        <v>0</v>
      </c>
    </row>
    <row r="13" spans="1:218" x14ac:dyDescent="0.2">
      <c r="A13" s="10">
        <f t="shared" si="31"/>
        <v>10</v>
      </c>
      <c r="B13" s="71">
        <f>'Scénario référence'!$B$16*5+'Scénario référence'!$B$17*0+'Scénario référence'!$B$18*5</f>
        <v>3.3000000000000003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12.100000000000001</v>
      </c>
      <c r="H13" s="65">
        <f t="shared" si="1"/>
        <v>208.26666666666665</v>
      </c>
      <c r="I13" s="6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56.148959157308084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1.2</v>
      </c>
      <c r="N13" s="13">
        <f>IF('Données projet'!$A$36&gt;35,N12+M13-V12,IF(A13&lt;'Données projet'!$A$36,$K$205^A13,IF(A13='Données projet'!$A$36,'Données projet'!$B$36,N12+M13-V12)))</f>
        <v>3.8980598409161908</v>
      </c>
      <c r="O13" s="13">
        <f>N13*VLOOKUP('Données projet'!$B$9,Paramètres!$A$1:$I$89,3,0)*VLOOKUP('Données projet'!$B$9,Paramètres!$A$1:$I$89,5,0)</f>
        <v>3.9526326786890178</v>
      </c>
      <c r="P13" s="13">
        <f t="shared" si="33"/>
        <v>1.552247389613062</v>
      </c>
      <c r="Q13" s="20">
        <f t="shared" si="2"/>
        <v>9.5876661189594543</v>
      </c>
      <c r="R13" s="57">
        <f t="shared" si="0"/>
        <v>227.68940525131131</v>
      </c>
      <c r="S13" s="57">
        <f ca="1">AVERAGE(OFFSET($R$3,0,0,'Données projet'!$E$9+1,1))-AVERAGE(OFFSET($H$3,0,0,'Données projet'!$E$9+1,1))</f>
        <v>332.70145542047612</v>
      </c>
      <c r="T13" s="57">
        <f t="shared" si="34"/>
        <v>172.22433737900428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56.148959157308084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4.3352272727272725</v>
      </c>
      <c r="AI13" s="13">
        <f>IF('Données projet'!$A$62&gt;35,AI12+AH13-AQ12,IF(A13&lt;'Données projet'!$A$62,$AF$205^A13,IF(A13='Données projet'!$A$62,'Données projet'!$B$62,AI12+AH13-AQ12)))</f>
        <v>43.352272727272727</v>
      </c>
      <c r="AJ13" s="13">
        <f>AI13*VLOOKUP('Données projet'!$B$10,Paramètres!$A$1:$I$89,3,0)*VLOOKUP('Données projet'!$B$10,Paramètres!$A$1:$I$89,5,0)</f>
        <v>39.225136363636359</v>
      </c>
      <c r="AK13" s="13">
        <f t="shared" si="35"/>
        <v>11.793035979734796</v>
      </c>
      <c r="AL13" s="20">
        <f t="shared" si="4"/>
        <v>88.85665016470476</v>
      </c>
      <c r="AM13" s="57">
        <f t="shared" si="5"/>
        <v>306.95838929705661</v>
      </c>
      <c r="AN13" s="57">
        <f ca="1">AVERAGE(OFFSET($AM$3,0,0,'Données projet'!$E$10+1,1))-AVERAGE(OFFSET($H$3,0,0,'Données projet'!$E$10+1,1))</f>
        <v>469.4210143164521</v>
      </c>
      <c r="AO13" s="57">
        <f t="shared" si="36"/>
        <v>308.4508386530556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56.148959157308084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>
        <f>VLOOKUP(A13,'Données projet'!$A$87:$I$107,2,0)</f>
        <v>11</v>
      </c>
      <c r="BB13" s="12">
        <f>VLOOKUP(A13,'Données projet'!$A$87:$I$107,9,0)</f>
        <v>1.1000000000000001</v>
      </c>
      <c r="BC13" s="12">
        <f t="array" ref="BC13">INDEX(BB:BB,MIN(IF(ISNUMBER(BB13:BB209),ROW(BB13:BB209),"")))</f>
        <v>1.1000000000000001</v>
      </c>
      <c r="BD13" s="12">
        <f>IF('Données projet'!$A$88&gt;35,BD12+BC13-BL12,IF(A13&lt;'Données projet'!$A$88,$BA$205^A13,IF(A13='Données projet'!$A$88,'Données projet'!$B$88,BD12+BC13-BL12)))</f>
        <v>11</v>
      </c>
      <c r="BE13" s="13">
        <f>BD13*VLOOKUP('Données projet'!$B$11,Paramètres!$A$1:$I$89,3,0)*VLOOKUP('Données projet'!$B$11,Paramètres!$A$1:$I$89,5,0)</f>
        <v>8.0652000000000008</v>
      </c>
      <c r="BF13" s="13">
        <f t="shared" si="37"/>
        <v>2.9149909035839161</v>
      </c>
      <c r="BG13" s="20">
        <f t="shared" si="7"/>
        <v>19.123832490408656</v>
      </c>
      <c r="BH13" s="57">
        <f t="shared" si="8"/>
        <v>237.22557162276053</v>
      </c>
      <c r="BI13" s="57">
        <f ca="1">AVERAGE(OFFSET($BH$3,0,0,'Données projet'!$E$11+1,1))-AVERAGE(OFFSET($H$3,0,0,'Données projet'!$E$11+1,1))</f>
        <v>344.32981377462971</v>
      </c>
      <c r="BJ13" s="57">
        <f t="shared" si="38"/>
        <v>334.42512656625763</v>
      </c>
      <c r="BK13" s="15">
        <f>IF(ISNA(VLOOKUP(A13,'Données projet'!$A$87:$I$107,3,0)),0,VLOOKUP(A13,'Données projet'!$A$87:$I$107,3,0))</f>
        <v>1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56.148959157308084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4.04</v>
      </c>
      <c r="BY13" s="12">
        <f>IF('Données projet'!$A$114&gt;35,BY12+BX13-CG12,IF(A13&lt;'Données projet'!$A$114,$BV$205^A13,IF(A13='Données projet'!$A$114,'Données projet'!$B$114,BY12+BX13-CG12)))</f>
        <v>6.3347364249064704</v>
      </c>
      <c r="BZ13" s="13">
        <f>BY13*VLOOKUP('Données projet'!$B$12,Paramètres!$A$1:$I$89,3,0)*VLOOKUP('Données projet'!$B$12,Paramètres!$A$1:$I$89,5,0)</f>
        <v>6.0281351819409972</v>
      </c>
      <c r="CA13" s="13">
        <f t="shared" si="39"/>
        <v>2.2538330784705058</v>
      </c>
      <c r="CB13" s="20">
        <f t="shared" si="10"/>
        <v>14.424428053550036</v>
      </c>
      <c r="CC13" s="57">
        <f t="shared" si="11"/>
        <v>232.5261671859019</v>
      </c>
      <c r="CD13" s="57">
        <f ca="1">AVERAGE(OFFSET($CC$3,0,0,'Données projet'!$E$12+1,1))-AVERAGE(OFFSET($H$3,0,0,'Données projet'!$E$12+1,1))</f>
        <v>498.77732039282807</v>
      </c>
      <c r="CE13" s="57">
        <f t="shared" si="40"/>
        <v>384.57317421826531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56.148959157308084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4.3352272727272725</v>
      </c>
      <c r="CT13" s="12">
        <f>IF('Données projet'!$A$140&gt;35,CT12+CS13-DB12,IF(A13&lt;'Données projet'!$A$140,$CQ$205^A13,IF(A13='Données projet'!$A$140,'Données projet'!$B$140,CT12+CS13-DB12)))</f>
        <v>43.352272727272727</v>
      </c>
      <c r="CU13" s="17">
        <f>CT13*VLOOKUP('Données projet'!$B$13,Paramètres!$A$1:$I$89,3,0)*VLOOKUP('Données projet'!$B$13,Paramètres!$A$1:$I$89,5,0)</f>
        <v>29.080704545454545</v>
      </c>
      <c r="CV13" s="13">
        <f t="shared" si="41"/>
        <v>9.0530178313299725</v>
      </c>
      <c r="CW13" s="20">
        <f t="shared" si="13"/>
        <v>66.416233139566373</v>
      </c>
      <c r="CX13" s="57">
        <f t="shared" si="14"/>
        <v>284.51797227191821</v>
      </c>
      <c r="CY13" s="57">
        <f ca="1">AVERAGE(OFFSET($CX$3,0,0,'Données projet'!$E$13+1,1))-AVERAGE(OFFSET($H$3,0,0,'Données projet'!$E$13+1,1))</f>
        <v>365.99625753737246</v>
      </c>
      <c r="CZ13" s="57">
        <f t="shared" si="42"/>
        <v>242.84814712692287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56.148959157308084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>
        <f>VLOOKUP(A13,'Données projet'!$A$165:$I$185,2,0)</f>
        <v>14</v>
      </c>
      <c r="DM13" s="12">
        <f>VLOOKUP(A13,'Données projet'!$A$165:$I$185,9,0)</f>
        <v>1.4</v>
      </c>
      <c r="DN13" s="12">
        <f t="array" ref="DN13">INDEX(DM:DM,MIN(IF(ISNUMBER(DM13:DM209),ROW(DM13:DM209),"")))</f>
        <v>1.4</v>
      </c>
      <c r="DO13" s="12">
        <f>IF('Données projet'!$A$166&gt;35,DO12+DN13-DW12,IF(A13&lt;'Données projet'!$A$166,$DL$205^A13,IF(A13='Données projet'!$A$166,'Données projet'!$B$166,DO12+DN13-DW12)))</f>
        <v>14</v>
      </c>
      <c r="DP13" s="17">
        <f>DO13*VLOOKUP('Données projet'!$B$14,Paramètres!$A$1:$I$89,3,0)*VLOOKUP('Données projet'!$B$14,Paramètres!$A$1:$I$89,5,0)</f>
        <v>9.1728000000000005</v>
      </c>
      <c r="DQ13" s="13">
        <f t="shared" si="43"/>
        <v>3.2660194391020205</v>
      </c>
      <c r="DR13" s="20">
        <f t="shared" si="16"/>
        <v>21.664277189769351</v>
      </c>
      <c r="DS13" s="57">
        <f t="shared" si="17"/>
        <v>239.76601632212123</v>
      </c>
      <c r="DT13" s="57">
        <f ca="1">AVERAGE(OFFSET($DS$3,0,0,'Données projet'!$E$14+1,1))-AVERAGE(OFFSET($H$3,0,0,'Données projet'!$E$14+1,1))</f>
        <v>313.79279628660527</v>
      </c>
      <c r="DU13" s="57">
        <f t="shared" si="44"/>
        <v>317.45469955216254</v>
      </c>
      <c r="DV13" s="15">
        <f>IF(ISNA(VLOOKUP(A13,'Données projet'!$A$165:$I$185,3,0)),0,VLOOKUP(A13,'Données projet'!$A$165:$I$185,3,0))</f>
        <v>1</v>
      </c>
      <c r="DW13" s="15">
        <f>IF(ISNA(VLOOKUP(A13,'Données projet'!$A$165:$I$185,4,0)),0,VLOOKUP(A13,'Données projet'!$A$165:$I$185,4,0))</f>
        <v>1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56.148959157308084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0.6</v>
      </c>
      <c r="EJ13" s="12">
        <f>IF('Données projet'!$A$192&gt;35,EJ12+EI13-ER12,IF(A13&lt;'Données projet'!$A$192,$EG$205^A13,IF(A13='Données projet'!$A$192,'Données projet'!$B$192,EJ12+EI13-ER12)))</f>
        <v>4.3267487109222253</v>
      </c>
      <c r="EK13" s="17">
        <f>EJ13*VLOOKUP('Données projet'!$B$15,Paramètres!$A$1:$I$89,3,0)*VLOOKUP('Données projet'!$B$15,Paramètres!$A$1:$I$89,5,0)</f>
        <v>3.7123503939712696</v>
      </c>
      <c r="EL13" s="13">
        <f t="shared" si="45"/>
        <v>1.4685674113243992</v>
      </c>
      <c r="EM13" s="20">
        <f t="shared" si="19"/>
        <v>9.023431844223289</v>
      </c>
      <c r="EN13" s="57">
        <f t="shared" si="20"/>
        <v>227.12517097657516</v>
      </c>
      <c r="EO13" s="57">
        <f ca="1">AVERAGE(OFFSET($EN$3,0,0,'Données projet'!$E$15+1,1))-AVERAGE(OFFSET($H$3,0,0,'Données projet'!$E$15+1,1))</f>
        <v>643.04899298561475</v>
      </c>
      <c r="EP13" s="57">
        <f t="shared" si="46"/>
        <v>474.94999304483031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56.148959157308084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>
        <f>VLOOKUP(A13,'Données projet'!$A$217:$I$237,2,0)</f>
        <v>11</v>
      </c>
      <c r="FC13" s="12">
        <f>VLOOKUP(A13,'Données projet'!$A$217:$I$237,9,0)</f>
        <v>1.1000000000000001</v>
      </c>
      <c r="FD13" s="12">
        <f t="array" ref="FD13">INDEX(FC:FC,MIN(IF(ISNUMBER(FC13:FC209),ROW(FC13:FC209),"")))</f>
        <v>1.1000000000000001</v>
      </c>
      <c r="FE13" s="12">
        <f>IF('Données projet'!$A$218&gt;35,FE12+FD13-FM12,IF(A13&lt;'Données projet'!$A$218,$FB$205^A13,IF(A13='Données projet'!$A$218,'Données projet'!$B$218,FE12+FD13-FM12)))</f>
        <v>11</v>
      </c>
      <c r="FF13" s="17">
        <f>FE13*VLOOKUP('Données projet'!$B$16,Paramètres!$A$1:$I$89,3,0)*VLOOKUP('Données projet'!$B$16,Paramètres!$A$1:$I$89,5,0)</f>
        <v>8.9232000000000014</v>
      </c>
      <c r="FG13" s="13">
        <f t="shared" si="47"/>
        <v>3.187367140202428</v>
      </c>
      <c r="FH13" s="20">
        <f t="shared" si="22"/>
        <v>21.092571102519226</v>
      </c>
      <c r="FI13" s="57">
        <f t="shared" si="23"/>
        <v>239.1943102348711</v>
      </c>
      <c r="FJ13" s="57">
        <f ca="1">AVERAGE(OFFSET($FI$3,0,0,'Données projet'!$E$16+1,1))-AVERAGE(OFFSET($H$3,0,0,'Données projet'!$E$16+1,1))</f>
        <v>375.34603719604439</v>
      </c>
      <c r="FK13" s="57">
        <f t="shared" si="48"/>
        <v>363.99476973672211</v>
      </c>
      <c r="FL13" s="15">
        <f>IF(ISNA(VLOOKUP(A13,'Données projet'!$A$217:$I$237,3,0)),0,VLOOKUP(A13,'Données projet'!$A$217:$I$237,3,0))</f>
        <v>1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56.148959157308084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10.163529411764706</v>
      </c>
      <c r="FZ13" s="12">
        <f>IF('Données projet'!$A$244&gt;35,FZ12+FY13-GH12,IF(A13&lt;'Données projet'!$A$244,$FW$205^A13,IF(A13='Données projet'!$A$244,'Données projet'!$B$244,FZ12+FY13-GH12)))</f>
        <v>20.709643800053833</v>
      </c>
      <c r="GA13" s="17">
        <f>FZ13*VLOOKUP('Données projet'!$B$17,Paramètres!$A$1:$I$89,3,0)*VLOOKUP('Données projet'!$B$17,Paramètres!$A$1:$I$89,5,0)</f>
        <v>11.576690884230093</v>
      </c>
      <c r="GB13" s="13">
        <f t="shared" si="49"/>
        <v>4.0117630451391877</v>
      </c>
      <c r="GC13" s="20">
        <f t="shared" si="25"/>
        <v>27.149890593651492</v>
      </c>
      <c r="GD13" s="57">
        <f t="shared" si="26"/>
        <v>245.25162972600336</v>
      </c>
      <c r="GE13" s="57">
        <f ca="1">AVERAGE(OFFSET($GD$3,0,0,'Données projet'!$E$17+1,1))-AVERAGE(OFFSET($H$3,0,0,'Données projet'!$E$17+1,1))</f>
        <v>414.47327143450701</v>
      </c>
      <c r="GF13" s="57">
        <f t="shared" si="50"/>
        <v>546.83385887302961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56.148959157308084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>
        <f>VLOOKUP(A13,'Données projet'!$A$269:$I$289,2,0)</f>
        <v>27</v>
      </c>
      <c r="GS13" s="12">
        <f>VLOOKUP(A13,'Données projet'!$A$269:$I$289,9,0)</f>
        <v>2.7</v>
      </c>
      <c r="GT13" s="12">
        <f t="array" ref="GT13">INDEX(GS:GS,MIN(IF(ISNUMBER(GS13:GS209),ROW(GS13:GS209),"")))</f>
        <v>2.7</v>
      </c>
      <c r="GU13" s="12">
        <f>IF('Données projet'!$A$270&gt;35,GU12+GT13-HC12,IF(A13&lt;'Données projet'!$A$270,$GR$205^A13,IF(A13='Données projet'!$A$270,'Données projet'!$B$270,GU12+GT13-HC12)))</f>
        <v>27</v>
      </c>
      <c r="GV13" s="17">
        <f>GU13*VLOOKUP('Données projet'!$B$18,Paramètres!$A$1:$I$89,3,0)*VLOOKUP('Données projet'!$B$18,Paramètres!$A$1:$I$89,5,0)</f>
        <v>14.742000000000001</v>
      </c>
      <c r="GW13" s="13">
        <f t="shared" si="51"/>
        <v>4.9669353357224164</v>
      </c>
      <c r="GX13" s="20">
        <f t="shared" si="28"/>
        <v>34.326395709716536</v>
      </c>
      <c r="GY13" s="57">
        <f t="shared" si="29"/>
        <v>252.4281348420684</v>
      </c>
      <c r="GZ13" s="57">
        <f ca="1">AVERAGE(OFFSET($GY$3,0,0,'Données projet'!$E$18+1,1))-AVERAGE(OFFSET($H$3,0,0,'Données projet'!$E$18+1,1))</f>
        <v>381.00532469288714</v>
      </c>
      <c r="HA13" s="57">
        <f t="shared" si="52"/>
        <v>314.875259641757</v>
      </c>
      <c r="HB13" s="15">
        <f>IF(ISNA(VLOOKUP(A13,'Données projet'!$A$269:$I$289,3,0)),0,VLOOKUP(A13,'Données projet'!$A$269:$I$289,3,0))</f>
        <v>1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0.12</v>
      </c>
      <c r="HE13" s="16">
        <f>IF(ISNA(VLOOKUP(A13,'Données projet'!$A$269:$I$289,6,0)),0%,VLOOKUP(A13,'Données projet'!$A$269:$I$289,6,0)*VLOOKUP('Données projet'!$B$18,Paramètres!$A$1:$I$89,7,0))</f>
        <v>0.27</v>
      </c>
      <c r="HF13" s="16">
        <f>IF(ISNA(VLOOKUP(A13,'Données projet'!$A$269:$I$289,7,0)),0%,VLOOKUP(A13,'Données projet'!$A$269:$I$289,7,0))</f>
        <v>0.35</v>
      </c>
      <c r="HG13" s="21">
        <f>EXP(-LN(2)/35)*HG12+(1-EXP(-LN(2)/35))/(LN(2)/35)*HC13*HD13*VLOOKUP('Données projet'!$B$18,Paramètres!$A$1:$I$89,3,0)*0.475*44/12</f>
        <v>0</v>
      </c>
      <c r="HH13" s="21">
        <f>EXP(-LN(2)/25)*HH12+(1-EXP(-LN(2)/25))/(LN(2)/25)*Calculateur!HC13*Calculateur!HE13*VLOOKUP('Données projet'!$B$18,Paramètres!$A$1:$I$89,3,0)*0.475*44/12</f>
        <v>0</v>
      </c>
      <c r="HI13" s="21">
        <f>EXP(-LN(2)/2)*HI12+(1-EXP(-LN(2)/2))/(LN(2)/2)*HC13*HF13*VLOOKUP('Données projet'!$B$18,Paramètres!$A$1:$I$89,3,0)*0.475*44/12</f>
        <v>0</v>
      </c>
      <c r="HJ13" s="22">
        <f t="shared" si="30"/>
        <v>0</v>
      </c>
    </row>
    <row r="14" spans="1:218" x14ac:dyDescent="0.2">
      <c r="A14" s="10">
        <f t="shared" si="31"/>
        <v>11</v>
      </c>
      <c r="B14" s="71">
        <f>'Scénario référence'!$B$16*5+'Scénario référence'!$B$17*0+'Scénario référence'!$B$18*5</f>
        <v>3.3000000000000003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12.100000000000001</v>
      </c>
      <c r="H14" s="65">
        <f t="shared" si="1"/>
        <v>208.26666666666665</v>
      </c>
      <c r="I14" s="6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56.389243749640542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1.2</v>
      </c>
      <c r="N14" s="13">
        <f>IF('Données projet'!$A$36&gt;35,N13+M14-V13,IF(A14&lt;'Données projet'!$A$36,$K$205^A14,IF(A14='Données projet'!$A$36,'Données projet'!$B$36,N13+M14-V13)))</f>
        <v>4.4661504822319662</v>
      </c>
      <c r="O14" s="13">
        <f>N14*VLOOKUP('Données projet'!$B$9,Paramètres!$A$1:$I$89,3,0)*VLOOKUP('Données projet'!$B$9,Paramètres!$A$1:$I$89,5,0)</f>
        <v>4.5286765889832141</v>
      </c>
      <c r="P14" s="13">
        <f t="shared" si="33"/>
        <v>1.7505249770594407</v>
      </c>
      <c r="Q14" s="20">
        <f t="shared" si="2"/>
        <v>10.936276060857622</v>
      </c>
      <c r="R14" s="57">
        <f t="shared" si="0"/>
        <v>231.14128092065073</v>
      </c>
      <c r="S14" s="57">
        <f ca="1">AVERAGE(OFFSET($R$3,0,0,'Données projet'!$E$9+1,1))-AVERAGE(OFFSET($H$3,0,0,'Données projet'!$E$9+1,1))</f>
        <v>332.70145542047612</v>
      </c>
      <c r="T14" s="57">
        <f t="shared" si="34"/>
        <v>172.22433737900428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56.389243749640542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4.3352272727272725</v>
      </c>
      <c r="AI14" s="13">
        <f>IF('Données projet'!$A$62&gt;35,AI13+AH14-AQ13,IF(A14&lt;'Données projet'!$A$62,$AF$205^A14,IF(A14='Données projet'!$A$62,'Données projet'!$B$62,AI13+AH14-AQ13)))</f>
        <v>47.6875</v>
      </c>
      <c r="AJ14" s="13">
        <f>AI14*VLOOKUP('Données projet'!$B$10,Paramètres!$A$1:$I$89,3,0)*VLOOKUP('Données projet'!$B$10,Paramètres!$A$1:$I$89,5,0)</f>
        <v>43.147649999999999</v>
      </c>
      <c r="AK14" s="13">
        <f t="shared" si="35"/>
        <v>12.829218449594824</v>
      </c>
      <c r="AL14" s="20">
        <f t="shared" si="4"/>
        <v>97.493045883044317</v>
      </c>
      <c r="AM14" s="57">
        <f t="shared" si="5"/>
        <v>317.69805074283738</v>
      </c>
      <c r="AN14" s="57">
        <f ca="1">AVERAGE(OFFSET($AM$3,0,0,'Données projet'!$E$10+1,1))-AVERAGE(OFFSET($H$3,0,0,'Données projet'!$E$10+1,1))</f>
        <v>469.4210143164521</v>
      </c>
      <c r="AO14" s="57">
        <f t="shared" si="36"/>
        <v>308.4508386530556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56.389243749640542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10.8</v>
      </c>
      <c r="BD14" s="12">
        <f>IF('Données projet'!$A$88&gt;35,BD13+BC14-BL13,IF(A14&lt;'Données projet'!$A$88,$BA$205^A14,IF(A14='Données projet'!$A$88,'Données projet'!$B$88,BD13+BC14-BL13)))</f>
        <v>21.8</v>
      </c>
      <c r="BE14" s="13">
        <f>BD14*VLOOKUP('Données projet'!$B$11,Paramètres!$A$1:$I$89,3,0)*VLOOKUP('Données projet'!$B$11,Paramètres!$A$1:$I$89,5,0)</f>
        <v>15.983760000000002</v>
      </c>
      <c r="BF14" s="13">
        <f t="shared" si="37"/>
        <v>5.3348570279475842</v>
      </c>
      <c r="BG14" s="20">
        <f t="shared" si="7"/>
        <v>37.129924657008708</v>
      </c>
      <c r="BH14" s="57">
        <f t="shared" si="8"/>
        <v>257.33492951680182</v>
      </c>
      <c r="BI14" s="57">
        <f ca="1">AVERAGE(OFFSET($BH$3,0,0,'Données projet'!$E$11+1,1))-AVERAGE(OFFSET($H$3,0,0,'Données projet'!$E$11+1,1))</f>
        <v>344.32981377462971</v>
      </c>
      <c r="BJ14" s="57">
        <f t="shared" si="38"/>
        <v>334.42512656625763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56.389243749640542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4.04</v>
      </c>
      <c r="BY14" s="12">
        <f>IF('Données projet'!$A$114&gt;35,BY13+BX14-CG13,IF(A14&lt;'Données projet'!$A$114,$BV$205^A14,IF(A14='Données projet'!$A$114,'Données projet'!$B$114,BY13+BX14-CG13)))</f>
        <v>7.619060189722747</v>
      </c>
      <c r="BZ14" s="13">
        <f>BY14*VLOOKUP('Données projet'!$B$12,Paramètres!$A$1:$I$89,3,0)*VLOOKUP('Données projet'!$B$12,Paramètres!$A$1:$I$89,5,0)</f>
        <v>7.2502976765401659</v>
      </c>
      <c r="CA14" s="13">
        <f t="shared" si="39"/>
        <v>2.6531541479567706</v>
      </c>
      <c r="CB14" s="20">
        <f t="shared" si="10"/>
        <v>17.248511927665501</v>
      </c>
      <c r="CC14" s="57">
        <f t="shared" si="11"/>
        <v>237.4535167874586</v>
      </c>
      <c r="CD14" s="57">
        <f ca="1">AVERAGE(OFFSET($CC$3,0,0,'Données projet'!$E$12+1,1))-AVERAGE(OFFSET($H$3,0,0,'Données projet'!$E$12+1,1))</f>
        <v>498.77732039282807</v>
      </c>
      <c r="CE14" s="57">
        <f t="shared" si="40"/>
        <v>384.57317421826531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56.389243749640542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4.3352272727272725</v>
      </c>
      <c r="CT14" s="12">
        <f>IF('Données projet'!$A$140&gt;35,CT13+CS14-DB13,IF(A14&lt;'Données projet'!$A$140,$CQ$205^A14,IF(A14='Données projet'!$A$140,'Données projet'!$B$140,CT13+CS14-DB13)))</f>
        <v>47.6875</v>
      </c>
      <c r="CU14" s="17">
        <f>CT14*VLOOKUP('Données projet'!$B$13,Paramètres!$A$1:$I$89,3,0)*VLOOKUP('Données projet'!$B$13,Paramètres!$A$1:$I$89,5,0)</f>
        <v>31.988775</v>
      </c>
      <c r="CV14" s="13">
        <f t="shared" si="41"/>
        <v>9.8484515425705723</v>
      </c>
      <c r="CW14" s="20">
        <f t="shared" si="13"/>
        <v>72.866502894977074</v>
      </c>
      <c r="CX14" s="57">
        <f t="shared" si="14"/>
        <v>293.07150775477015</v>
      </c>
      <c r="CY14" s="57">
        <f ca="1">AVERAGE(OFFSET($CX$3,0,0,'Données projet'!$E$13+1,1))-AVERAGE(OFFSET($H$3,0,0,'Données projet'!$E$13+1,1))</f>
        <v>365.99625753737246</v>
      </c>
      <c r="CZ14" s="57">
        <f t="shared" si="42"/>
        <v>242.84814712692287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56.389243749640542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7.8</v>
      </c>
      <c r="DO14" s="12">
        <f>IF('Données projet'!$A$166&gt;35,DO13+DN14-DW13,IF(A14&lt;'Données projet'!$A$166,$DL$205^A14,IF(A14='Données projet'!$A$166,'Données projet'!$B$166,DO13+DN14-DW13)))</f>
        <v>20.8</v>
      </c>
      <c r="DP14" s="17">
        <f>DO14*VLOOKUP('Données projet'!$B$14,Paramètres!$A$1:$I$89,3,0)*VLOOKUP('Données projet'!$B$14,Paramètres!$A$1:$I$89,5,0)</f>
        <v>13.628160000000001</v>
      </c>
      <c r="DQ14" s="13">
        <f t="shared" si="43"/>
        <v>4.6338374564363161</v>
      </c>
      <c r="DR14" s="20">
        <f t="shared" si="16"/>
        <v>31.806312236626585</v>
      </c>
      <c r="DS14" s="57">
        <f t="shared" si="17"/>
        <v>252.01131709641967</v>
      </c>
      <c r="DT14" s="57">
        <f ca="1">AVERAGE(OFFSET($DS$3,0,0,'Données projet'!$E$14+1,1))-AVERAGE(OFFSET($H$3,0,0,'Données projet'!$E$14+1,1))</f>
        <v>313.79279628660527</v>
      </c>
      <c r="DU14" s="57">
        <f t="shared" si="44"/>
        <v>317.45469955216254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56.389243749640542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0.6</v>
      </c>
      <c r="EJ14" s="12">
        <f>IF('Données projet'!$A$192&gt;35,EJ13+EI14-ER13,IF(A14&lt;'Données projet'!$A$192,$EG$205^A14,IF(A14='Données projet'!$A$192,'Données projet'!$B$192,EJ13+EI14-ER13)))</f>
        <v>5.0093092101266317</v>
      </c>
      <c r="EK14" s="17">
        <f>EJ14*VLOOKUP('Données projet'!$B$15,Paramètres!$A$1:$I$89,3,0)*VLOOKUP('Données projet'!$B$15,Paramètres!$A$1:$I$89,5,0)</f>
        <v>4.297987302288651</v>
      </c>
      <c r="EL14" s="13">
        <f t="shared" si="45"/>
        <v>1.6714951934070881</v>
      </c>
      <c r="EM14" s="20">
        <f t="shared" si="19"/>
        <v>10.39684868000341</v>
      </c>
      <c r="EN14" s="57">
        <f t="shared" si="20"/>
        <v>230.60185353979651</v>
      </c>
      <c r="EO14" s="57">
        <f ca="1">AVERAGE(OFFSET($EN$3,0,0,'Données projet'!$E$15+1,1))-AVERAGE(OFFSET($H$3,0,0,'Données projet'!$E$15+1,1))</f>
        <v>643.04899298561475</v>
      </c>
      <c r="EP14" s="57">
        <f t="shared" si="46"/>
        <v>474.94999304483031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56.389243749640542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10.8</v>
      </c>
      <c r="FE14" s="12">
        <f>IF('Données projet'!$A$218&gt;35,FE13+FD14-FM13,IF(A14&lt;'Données projet'!$A$218,$FB$205^A14,IF(A14='Données projet'!$A$218,'Données projet'!$B$218,FE13+FD14-FM13)))</f>
        <v>21.8</v>
      </c>
      <c r="FF14" s="17">
        <f>FE14*VLOOKUP('Données projet'!$B$16,Paramètres!$A$1:$I$89,3,0)*VLOOKUP('Données projet'!$B$16,Paramètres!$A$1:$I$89,5,0)</f>
        <v>17.684160000000002</v>
      </c>
      <c r="FG14" s="13">
        <f t="shared" si="47"/>
        <v>5.8333451290197509</v>
      </c>
      <c r="FH14" s="20">
        <f t="shared" si="22"/>
        <v>40.959654766376069</v>
      </c>
      <c r="FI14" s="57">
        <f t="shared" si="23"/>
        <v>261.16465962616917</v>
      </c>
      <c r="FJ14" s="57">
        <f ca="1">AVERAGE(OFFSET($FI$3,0,0,'Données projet'!$E$16+1,1))-AVERAGE(OFFSET($H$3,0,0,'Données projet'!$E$16+1,1))</f>
        <v>375.34603719604439</v>
      </c>
      <c r="FK14" s="57">
        <f t="shared" si="48"/>
        <v>363.99476973672211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56.389243749640542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10.163529411764706</v>
      </c>
      <c r="FZ14" s="12">
        <f>IF('Données projet'!$A$244&gt;35,FZ13+FY14-GH13,IF(A14&lt;'Données projet'!$A$244,$FW$205^A14,IF(A14='Données projet'!$A$244,'Données projet'!$B$244,FZ13+FY14-GH13)))</f>
        <v>28.040767220209094</v>
      </c>
      <c r="GA14" s="17">
        <f>FZ14*VLOOKUP('Données projet'!$B$17,Paramètres!$A$1:$I$89,3,0)*VLOOKUP('Données projet'!$B$17,Paramètres!$A$1:$I$89,5,0)</f>
        <v>15.674788876096885</v>
      </c>
      <c r="GB14" s="13">
        <f t="shared" si="49"/>
        <v>5.2436329884760928</v>
      </c>
      <c r="GC14" s="20">
        <f t="shared" si="25"/>
        <v>36.432918080797933</v>
      </c>
      <c r="GD14" s="57">
        <f t="shared" si="26"/>
        <v>256.63792294059101</v>
      </c>
      <c r="GE14" s="57">
        <f ca="1">AVERAGE(OFFSET($GD$3,0,0,'Données projet'!$E$17+1,1))-AVERAGE(OFFSET($H$3,0,0,'Données projet'!$E$17+1,1))</f>
        <v>414.47327143450701</v>
      </c>
      <c r="GF14" s="57">
        <f t="shared" si="50"/>
        <v>546.83385887302961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56.389243749640542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11.8</v>
      </c>
      <c r="GU14" s="12">
        <f>IF('Données projet'!$A$270&gt;35,GU13+GT14-HC13,IF(A14&lt;'Données projet'!$A$270,$GR$205^A14,IF(A14='Données projet'!$A$270,'Données projet'!$B$270,GU13+GT14-HC13)))</f>
        <v>38.799999999999997</v>
      </c>
      <c r="GV14" s="17">
        <f>GU14*VLOOKUP('Données projet'!$B$18,Paramètres!$A$1:$I$89,3,0)*VLOOKUP('Données projet'!$B$18,Paramètres!$A$1:$I$89,5,0)</f>
        <v>21.184799999999999</v>
      </c>
      <c r="GW14" s="13">
        <f t="shared" si="51"/>
        <v>6.8426952223785351</v>
      </c>
      <c r="GX14" s="20">
        <f t="shared" si="28"/>
        <v>48.814554178975946</v>
      </c>
      <c r="GY14" s="57">
        <f t="shared" si="29"/>
        <v>269.01955903876905</v>
      </c>
      <c r="GZ14" s="57">
        <f ca="1">AVERAGE(OFFSET($GY$3,0,0,'Données projet'!$E$18+1,1))-AVERAGE(OFFSET($H$3,0,0,'Données projet'!$E$18+1,1))</f>
        <v>381.00532469288714</v>
      </c>
      <c r="HA14" s="57">
        <f t="shared" si="52"/>
        <v>314.875259641757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>
        <f>EXP(-LN(2)/35)*HG13+(1-EXP(-LN(2)/35))/(LN(2)/35)*HC14*HD14*VLOOKUP('Données projet'!$B$18,Paramètres!$A$1:$I$89,3,0)*0.475*44/12</f>
        <v>0</v>
      </c>
      <c r="HH14" s="21">
        <f>EXP(-LN(2)/25)*HH13+(1-EXP(-LN(2)/25))/(LN(2)/25)*Calculateur!HC14*Calculateur!HE14*VLOOKUP('Données projet'!$B$18,Paramètres!$A$1:$I$89,3,0)*0.475*44/12</f>
        <v>0</v>
      </c>
      <c r="HI14" s="21">
        <f>EXP(-LN(2)/2)*HI13+(1-EXP(-LN(2)/2))/(LN(2)/2)*HC14*HF14*VLOOKUP('Données projet'!$B$18,Paramètres!$A$1:$I$89,3,0)*0.475*44/12</f>
        <v>0</v>
      </c>
      <c r="HJ14" s="22">
        <f t="shared" si="30"/>
        <v>0</v>
      </c>
    </row>
    <row r="15" spans="1:218" x14ac:dyDescent="0.2">
      <c r="A15" s="10">
        <f t="shared" si="31"/>
        <v>12</v>
      </c>
      <c r="B15" s="71">
        <f>'Scénario référence'!$B$16*5+'Scénario référence'!$B$17*0+'Scénario référence'!$B$18*5</f>
        <v>3.3000000000000003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12.100000000000001</v>
      </c>
      <c r="H15" s="65">
        <f t="shared" si="1"/>
        <v>208.26666666666665</v>
      </c>
      <c r="I15" s="6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56.625359941491922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1.2</v>
      </c>
      <c r="N15" s="13">
        <f>IF('Données projet'!$A$36&gt;35,N14+M15-V14,IF(A15&lt;'Données projet'!$A$36,$K$205^A15,IF(A15='Données projet'!$A$36,'Données projet'!$B$36,N14+M15-V14)))</f>
        <v>5.1170328173444979</v>
      </c>
      <c r="O15" s="13">
        <f>N15*VLOOKUP('Données projet'!$B$9,Paramètres!$A$1:$I$89,3,0)*VLOOKUP('Données projet'!$B$9,Paramètres!$A$1:$I$89,5,0)</f>
        <v>5.1886712767873213</v>
      </c>
      <c r="P15" s="13">
        <f t="shared" si="33"/>
        <v>1.9741297139966976</v>
      </c>
      <c r="Q15" s="20">
        <f t="shared" si="2"/>
        <v>12.4752117256155</v>
      </c>
      <c r="R15" s="57">
        <f t="shared" si="0"/>
        <v>234.76819817775254</v>
      </c>
      <c r="S15" s="57">
        <f ca="1">AVERAGE(OFFSET($R$3,0,0,'Données projet'!$E$9+1,1))-AVERAGE(OFFSET($H$3,0,0,'Données projet'!$E$9+1,1))</f>
        <v>332.70145542047612</v>
      </c>
      <c r="T15" s="57">
        <f t="shared" si="34"/>
        <v>172.22433737900428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56.625359941491922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4.3352272727272725</v>
      </c>
      <c r="AI15" s="13">
        <f>IF('Données projet'!$A$62&gt;35,AI14+AH15-AQ14,IF(A15&lt;'Données projet'!$A$62,$AF$205^A15,IF(A15='Données projet'!$A$62,'Données projet'!$B$62,AI14+AH15-AQ14)))</f>
        <v>52.022727272727273</v>
      </c>
      <c r="AJ15" s="13">
        <f>AI15*VLOOKUP('Données projet'!$B$10,Paramètres!$A$1:$I$89,3,0)*VLOOKUP('Données projet'!$B$10,Paramètres!$A$1:$I$89,5,0)</f>
        <v>47.070163636363638</v>
      </c>
      <c r="AK15" s="13">
        <f t="shared" si="35"/>
        <v>13.854478165565803</v>
      </c>
      <c r="AL15" s="20">
        <f t="shared" si="4"/>
        <v>106.11041780502711</v>
      </c>
      <c r="AM15" s="57">
        <f t="shared" si="5"/>
        <v>328.40340425716414</v>
      </c>
      <c r="AN15" s="57">
        <f ca="1">AVERAGE(OFFSET($AM$3,0,0,'Données projet'!$E$10+1,1))-AVERAGE(OFFSET($H$3,0,0,'Données projet'!$E$10+1,1))</f>
        <v>469.4210143164521</v>
      </c>
      <c r="AO15" s="57">
        <f t="shared" si="36"/>
        <v>308.4508386530556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56.625359941491922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10.8</v>
      </c>
      <c r="BD15" s="12">
        <f>IF('Données projet'!$A$88&gt;35,BD14+BC15-BL14,IF(A15&lt;'Données projet'!$A$88,$BA$205^A15,IF(A15='Données projet'!$A$88,'Données projet'!$B$88,BD14+BC15-BL14)))</f>
        <v>32.6</v>
      </c>
      <c r="BE15" s="13">
        <f>BD15*VLOOKUP('Données projet'!$B$11,Paramètres!$A$1:$I$89,3,0)*VLOOKUP('Données projet'!$B$11,Paramètres!$A$1:$I$89,5,0)</f>
        <v>23.90232</v>
      </c>
      <c r="BF15" s="13">
        <f t="shared" si="37"/>
        <v>7.6127522913266521</v>
      </c>
      <c r="BG15" s="20">
        <f t="shared" si="7"/>
        <v>54.88875090739392</v>
      </c>
      <c r="BH15" s="57">
        <f t="shared" si="8"/>
        <v>277.18173735953093</v>
      </c>
      <c r="BI15" s="57">
        <f ca="1">AVERAGE(OFFSET($BH$3,0,0,'Données projet'!$E$11+1,1))-AVERAGE(OFFSET($H$3,0,0,'Données projet'!$E$11+1,1))</f>
        <v>344.32981377462971</v>
      </c>
      <c r="BJ15" s="57">
        <f t="shared" si="38"/>
        <v>334.42512656625763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56.625359941491922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4.04</v>
      </c>
      <c r="BY15" s="12">
        <f>IF('Données projet'!$A$114&gt;35,BY14+BX15-CG14,IF(A15&lt;'Données projet'!$A$114,$BV$205^A15,IF(A15='Données projet'!$A$114,'Données projet'!$B$114,BY14+BX15-CG14)))</f>
        <v>9.1637716679703995</v>
      </c>
      <c r="BZ15" s="13">
        <f>BY15*VLOOKUP('Données projet'!$B$12,Paramètres!$A$1:$I$89,3,0)*VLOOKUP('Données projet'!$B$12,Paramètres!$A$1:$I$89,5,0)</f>
        <v>8.7202451192406318</v>
      </c>
      <c r="CA15" s="13">
        <f t="shared" si="39"/>
        <v>3.1232246079186887</v>
      </c>
      <c r="CB15" s="20">
        <f t="shared" si="10"/>
        <v>20.627376441469149</v>
      </c>
      <c r="CC15" s="57">
        <f t="shared" si="11"/>
        <v>242.92036289360618</v>
      </c>
      <c r="CD15" s="57">
        <f ca="1">AVERAGE(OFFSET($CC$3,0,0,'Données projet'!$E$12+1,1))-AVERAGE(OFFSET($H$3,0,0,'Données projet'!$E$12+1,1))</f>
        <v>498.77732039282807</v>
      </c>
      <c r="CE15" s="57">
        <f t="shared" si="40"/>
        <v>384.57317421826531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56.625359941491922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4.3352272727272725</v>
      </c>
      <c r="CT15" s="12">
        <f>IF('Données projet'!$A$140&gt;35,CT14+CS15-DB14,IF(A15&lt;'Données projet'!$A$140,$CQ$205^A15,IF(A15='Données projet'!$A$140,'Données projet'!$B$140,CT14+CS15-DB14)))</f>
        <v>52.022727272727273</v>
      </c>
      <c r="CU15" s="17">
        <f>CT15*VLOOKUP('Données projet'!$B$13,Paramètres!$A$1:$I$89,3,0)*VLOOKUP('Données projet'!$B$13,Paramètres!$A$1:$I$89,5,0)</f>
        <v>34.896845454545456</v>
      </c>
      <c r="CV15" s="13">
        <f t="shared" si="41"/>
        <v>10.635500314946</v>
      </c>
      <c r="CW15" s="20">
        <f t="shared" si="13"/>
        <v>79.30216888186429</v>
      </c>
      <c r="CX15" s="57">
        <f t="shared" si="14"/>
        <v>301.59515533400133</v>
      </c>
      <c r="CY15" s="57">
        <f ca="1">AVERAGE(OFFSET($CX$3,0,0,'Données projet'!$E$13+1,1))-AVERAGE(OFFSET($H$3,0,0,'Données projet'!$E$13+1,1))</f>
        <v>365.99625753737246</v>
      </c>
      <c r="CZ15" s="57">
        <f t="shared" si="42"/>
        <v>242.84814712692287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56.625359941491922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7.8</v>
      </c>
      <c r="DO15" s="12">
        <f>IF('Données projet'!$A$166&gt;35,DO14+DN15-DW14,IF(A15&lt;'Données projet'!$A$166,$DL$205^A15,IF(A15='Données projet'!$A$166,'Données projet'!$B$166,DO14+DN15-DW14)))</f>
        <v>28.6</v>
      </c>
      <c r="DP15" s="17">
        <f>DO15*VLOOKUP('Données projet'!$B$14,Paramètres!$A$1:$I$89,3,0)*VLOOKUP('Données projet'!$B$14,Paramètres!$A$1:$I$89,5,0)</f>
        <v>18.738720000000001</v>
      </c>
      <c r="DQ15" s="13">
        <f t="shared" si="43"/>
        <v>6.1396704366978918</v>
      </c>
      <c r="DR15" s="20">
        <f t="shared" si="16"/>
        <v>43.329863343915491</v>
      </c>
      <c r="DS15" s="57">
        <f t="shared" si="17"/>
        <v>265.62284979605249</v>
      </c>
      <c r="DT15" s="57">
        <f ca="1">AVERAGE(OFFSET($DS$3,0,0,'Données projet'!$E$14+1,1))-AVERAGE(OFFSET($H$3,0,0,'Données projet'!$E$14+1,1))</f>
        <v>313.79279628660527</v>
      </c>
      <c r="DU15" s="57">
        <f t="shared" si="44"/>
        <v>317.45469955216254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56.625359941491922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0.6</v>
      </c>
      <c r="EJ15" s="12">
        <f>IF('Données projet'!$A$192&gt;35,EJ14+EI15-ER14,IF(A15&lt;'Données projet'!$A$192,$EG$205^A15,IF(A15='Données projet'!$A$192,'Données projet'!$B$192,EJ14+EI15-ER14)))</f>
        <v>5.799546134795289</v>
      </c>
      <c r="EK15" s="17">
        <f>EJ15*VLOOKUP('Données projet'!$B$15,Paramètres!$A$1:$I$89,3,0)*VLOOKUP('Données projet'!$B$15,Paramètres!$A$1:$I$89,5,0)</f>
        <v>4.9760105836543582</v>
      </c>
      <c r="EL15" s="13">
        <f t="shared" si="45"/>
        <v>1.9024636935551875</v>
      </c>
      <c r="EM15" s="20">
        <f t="shared" si="19"/>
        <v>11.980009366139958</v>
      </c>
      <c r="EN15" s="57">
        <f t="shared" si="20"/>
        <v>234.272995818277</v>
      </c>
      <c r="EO15" s="57">
        <f ca="1">AVERAGE(OFFSET($EN$3,0,0,'Données projet'!$E$15+1,1))-AVERAGE(OFFSET($H$3,0,0,'Données projet'!$E$15+1,1))</f>
        <v>643.04899298561475</v>
      </c>
      <c r="EP15" s="57">
        <f t="shared" si="46"/>
        <v>474.94999304483031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56.625359941491922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10.8</v>
      </c>
      <c r="FE15" s="12">
        <f>IF('Données projet'!$A$218&gt;35,FE14+FD15-FM14,IF(A15&lt;'Données projet'!$A$218,$FB$205^A15,IF(A15='Données projet'!$A$218,'Données projet'!$B$218,FE14+FD15-FM14)))</f>
        <v>32.6</v>
      </c>
      <c r="FF15" s="17">
        <f>FE15*VLOOKUP('Données projet'!$B$16,Paramètres!$A$1:$I$89,3,0)*VLOOKUP('Données projet'!$B$16,Paramètres!$A$1:$I$89,5,0)</f>
        <v>26.445120000000003</v>
      </c>
      <c r="FG15" s="13">
        <f t="shared" si="47"/>
        <v>8.3240865246071554</v>
      </c>
      <c r="FH15" s="20">
        <f t="shared" si="22"/>
        <v>60.556368030357454</v>
      </c>
      <c r="FI15" s="57">
        <f t="shared" si="23"/>
        <v>282.8493544824945</v>
      </c>
      <c r="FJ15" s="57">
        <f ca="1">AVERAGE(OFFSET($FI$3,0,0,'Données projet'!$E$16+1,1))-AVERAGE(OFFSET($H$3,0,0,'Données projet'!$E$16+1,1))</f>
        <v>375.34603719604439</v>
      </c>
      <c r="FK15" s="57">
        <f t="shared" si="48"/>
        <v>363.99476973672211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56.625359941491922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10.163529411764706</v>
      </c>
      <c r="FZ15" s="12">
        <f>IF('Données projet'!$A$244&gt;35,FZ14+FY15-GH14,IF(A15&lt;'Données projet'!$A$244,$FW$205^A15,IF(A15='Données projet'!$A$244,'Données projet'!$B$244,FZ14+FY15-GH14)))</f>
        <v>37.967076299782079</v>
      </c>
      <c r="GA15" s="17">
        <f>FZ15*VLOOKUP('Données projet'!$B$17,Paramètres!$A$1:$I$89,3,0)*VLOOKUP('Données projet'!$B$17,Paramètres!$A$1:$I$89,5,0)</f>
        <v>21.223595651578183</v>
      </c>
      <c r="GB15" s="13">
        <f t="shared" si="49"/>
        <v>6.8537664384614088</v>
      </c>
      <c r="GC15" s="20">
        <f t="shared" si="25"/>
        <v>48.901405640152291</v>
      </c>
      <c r="GD15" s="57">
        <f t="shared" si="26"/>
        <v>271.19439209228932</v>
      </c>
      <c r="GE15" s="57">
        <f ca="1">AVERAGE(OFFSET($GD$3,0,0,'Données projet'!$E$17+1,1))-AVERAGE(OFFSET($H$3,0,0,'Données projet'!$E$17+1,1))</f>
        <v>414.47327143450701</v>
      </c>
      <c r="GF15" s="57">
        <f t="shared" si="50"/>
        <v>546.83385887302961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56.625359941491922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11.8</v>
      </c>
      <c r="GU15" s="12">
        <f>IF('Données projet'!$A$270&gt;35,GU14+GT15-HC14,IF(A15&lt;'Données projet'!$A$270,$GR$205^A15,IF(A15='Données projet'!$A$270,'Données projet'!$B$270,GU14+GT15-HC14)))</f>
        <v>50.599999999999994</v>
      </c>
      <c r="GV15" s="17">
        <f>GU15*VLOOKUP('Données projet'!$B$18,Paramètres!$A$1:$I$89,3,0)*VLOOKUP('Données projet'!$B$18,Paramètres!$A$1:$I$89,5,0)</f>
        <v>27.627599999999994</v>
      </c>
      <c r="GW15" s="13">
        <f t="shared" si="51"/>
        <v>8.652126901386147</v>
      </c>
      <c r="GX15" s="20">
        <f t="shared" si="28"/>
        <v>63.187191019914188</v>
      </c>
      <c r="GY15" s="57">
        <f t="shared" si="29"/>
        <v>285.4801774720512</v>
      </c>
      <c r="GZ15" s="57">
        <f ca="1">AVERAGE(OFFSET($GY$3,0,0,'Données projet'!$E$18+1,1))-AVERAGE(OFFSET($H$3,0,0,'Données projet'!$E$18+1,1))</f>
        <v>381.00532469288714</v>
      </c>
      <c r="HA15" s="57">
        <f t="shared" si="52"/>
        <v>314.875259641757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>
        <f>EXP(-LN(2)/35)*HG14+(1-EXP(-LN(2)/35))/(LN(2)/35)*HC15*HD15*VLOOKUP('Données projet'!$B$18,Paramètres!$A$1:$I$89,3,0)*0.475*44/12</f>
        <v>0</v>
      </c>
      <c r="HH15" s="21">
        <f>EXP(-LN(2)/25)*HH14+(1-EXP(-LN(2)/25))/(LN(2)/25)*Calculateur!HC15*Calculateur!HE15*VLOOKUP('Données projet'!$B$18,Paramètres!$A$1:$I$89,3,0)*0.475*44/12</f>
        <v>0</v>
      </c>
      <c r="HI15" s="21">
        <f>EXP(-LN(2)/2)*HI14+(1-EXP(-LN(2)/2))/(LN(2)/2)*HC15*HF15*VLOOKUP('Données projet'!$B$18,Paramètres!$A$1:$I$89,3,0)*0.475*44/12</f>
        <v>0</v>
      </c>
      <c r="HJ15" s="22">
        <f t="shared" si="30"/>
        <v>0</v>
      </c>
    </row>
    <row r="16" spans="1:218" x14ac:dyDescent="0.2">
      <c r="A16" s="10">
        <f t="shared" si="31"/>
        <v>13</v>
      </c>
      <c r="B16" s="71">
        <f>'Scénario référence'!$B$16*5+'Scénario référence'!$B$17*0+'Scénario référence'!$B$18*5</f>
        <v>3.3000000000000003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12.100000000000001</v>
      </c>
      <c r="H16" s="65">
        <f t="shared" si="1"/>
        <v>208.26666666666665</v>
      </c>
      <c r="I16" s="6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56.857380045291393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1.2</v>
      </c>
      <c r="N16" s="13">
        <f>IF('Données projet'!$A$36&gt;35,N15+M16-V15,IF(A16&lt;'Données projet'!$A$36,$K$205^A16,IF(A16='Données projet'!$A$36,'Données projet'!$B$36,N15+M16-V15)))</f>
        <v>5.8627726400958746</v>
      </c>
      <c r="O16" s="13">
        <f>N16*VLOOKUP('Données projet'!$B$9,Paramètres!$A$1:$I$89,3,0)*VLOOKUP('Données projet'!$B$9,Paramètres!$A$1:$I$89,5,0)</f>
        <v>5.9448514570572168</v>
      </c>
      <c r="P16" s="13">
        <f t="shared" si="33"/>
        <v>2.2262967845401667</v>
      </c>
      <c r="Q16" s="20">
        <f t="shared" si="2"/>
        <v>14.231416520782107</v>
      </c>
      <c r="R16" s="57">
        <f t="shared" si="0"/>
        <v>238.59736557573947</v>
      </c>
      <c r="S16" s="57">
        <f ca="1">AVERAGE(OFFSET($R$3,0,0,'Données projet'!$E$9+1,1))-AVERAGE(OFFSET($H$3,0,0,'Données projet'!$E$9+1,1))</f>
        <v>332.70145542047612</v>
      </c>
      <c r="T16" s="57">
        <f t="shared" si="34"/>
        <v>172.22433737900428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56.857380045291393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4.3352272727272725</v>
      </c>
      <c r="AI16" s="13">
        <f>IF('Données projet'!$A$62&gt;35,AI15+AH16-AQ15,IF(A16&lt;'Données projet'!$A$62,$AF$205^A16,IF(A16='Données projet'!$A$62,'Données projet'!$B$62,AI15+AH16-AQ15)))</f>
        <v>56.357954545454547</v>
      </c>
      <c r="AJ16" s="13">
        <f>AI16*VLOOKUP('Données projet'!$B$10,Paramètres!$A$1:$I$89,3,0)*VLOOKUP('Données projet'!$B$10,Paramètres!$A$1:$I$89,5,0)</f>
        <v>50.992677272727278</v>
      </c>
      <c r="AK16" s="13">
        <f t="shared" si="35"/>
        <v>14.869828842148015</v>
      </c>
      <c r="AL16" s="20">
        <f t="shared" si="4"/>
        <v>114.71053148340779</v>
      </c>
      <c r="AM16" s="57">
        <f t="shared" si="5"/>
        <v>339.07648053836516</v>
      </c>
      <c r="AN16" s="57">
        <f ca="1">AVERAGE(OFFSET($AM$3,0,0,'Données projet'!$E$10+1,1))-AVERAGE(OFFSET($H$3,0,0,'Données projet'!$E$10+1,1))</f>
        <v>469.4210143164521</v>
      </c>
      <c r="AO16" s="57">
        <f t="shared" si="36"/>
        <v>308.4508386530556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56.857380045291393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10.8</v>
      </c>
      <c r="BD16" s="12">
        <f>IF('Données projet'!$A$88&gt;35,BD15+BC16-BL15,IF(A16&lt;'Données projet'!$A$88,$BA$205^A16,IF(A16='Données projet'!$A$88,'Données projet'!$B$88,BD15+BC16-BL15)))</f>
        <v>43.400000000000006</v>
      </c>
      <c r="BE16" s="13">
        <f>BD16*VLOOKUP('Données projet'!$B$11,Paramètres!$A$1:$I$89,3,0)*VLOOKUP('Données projet'!$B$11,Paramètres!$A$1:$I$89,5,0)</f>
        <v>31.820880000000006</v>
      </c>
      <c r="BF16" s="13">
        <f t="shared" si="37"/>
        <v>9.8027641140385384</v>
      </c>
      <c r="BG16" s="20">
        <f t="shared" si="7"/>
        <v>72.494513498617124</v>
      </c>
      <c r="BH16" s="57">
        <f t="shared" si="8"/>
        <v>296.86046255357451</v>
      </c>
      <c r="BI16" s="57">
        <f ca="1">AVERAGE(OFFSET($BH$3,0,0,'Données projet'!$E$11+1,1))-AVERAGE(OFFSET($H$3,0,0,'Données projet'!$E$11+1,1))</f>
        <v>344.32981377462971</v>
      </c>
      <c r="BJ16" s="57">
        <f t="shared" si="38"/>
        <v>334.42512656625763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56.857380045291393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4.04</v>
      </c>
      <c r="BY16" s="12">
        <f>IF('Données projet'!$A$114&gt;35,BY15+BX16-CG15,IF(A16&lt;'Données projet'!$A$114,$BV$205^A16,IF(A16='Données projet'!$A$114,'Données projet'!$B$114,BY15+BX16-CG15)))</f>
        <v>11.021662658075524</v>
      </c>
      <c r="BZ16" s="13">
        <f>BY16*VLOOKUP('Données projet'!$B$12,Paramètres!$A$1:$I$89,3,0)*VLOOKUP('Données projet'!$B$12,Paramètres!$A$1:$I$89,5,0)</f>
        <v>10.488214185424669</v>
      </c>
      <c r="CA16" s="13">
        <f t="shared" si="39"/>
        <v>3.6765794249161683</v>
      </c>
      <c r="CB16" s="20">
        <f t="shared" si="10"/>
        <v>24.670348871343624</v>
      </c>
      <c r="CC16" s="57">
        <f t="shared" si="11"/>
        <v>249.03629792630099</v>
      </c>
      <c r="CD16" s="57">
        <f ca="1">AVERAGE(OFFSET($CC$3,0,0,'Données projet'!$E$12+1,1))-AVERAGE(OFFSET($H$3,0,0,'Données projet'!$E$12+1,1))</f>
        <v>498.77732039282807</v>
      </c>
      <c r="CE16" s="57">
        <f t="shared" si="40"/>
        <v>384.57317421826531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56.857380045291393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4.3352272727272725</v>
      </c>
      <c r="CT16" s="12">
        <f>IF('Données projet'!$A$140&gt;35,CT15+CS16-DB15,IF(A16&lt;'Données projet'!$A$140,$CQ$205^A16,IF(A16='Données projet'!$A$140,'Données projet'!$B$140,CT15+CS16-DB15)))</f>
        <v>56.357954545454547</v>
      </c>
      <c r="CU16" s="17">
        <f>CT16*VLOOKUP('Données projet'!$B$13,Paramètres!$A$1:$I$89,3,0)*VLOOKUP('Données projet'!$B$13,Paramètres!$A$1:$I$89,5,0)</f>
        <v>37.804915909090909</v>
      </c>
      <c r="CV16" s="13">
        <f t="shared" si="41"/>
        <v>11.41494233445203</v>
      </c>
      <c r="CW16" s="20">
        <f t="shared" si="13"/>
        <v>85.724586440837285</v>
      </c>
      <c r="CX16" s="57">
        <f t="shared" si="14"/>
        <v>310.09053549579465</v>
      </c>
      <c r="CY16" s="57">
        <f ca="1">AVERAGE(OFFSET($CX$3,0,0,'Données projet'!$E$13+1,1))-AVERAGE(OFFSET($H$3,0,0,'Données projet'!$E$13+1,1))</f>
        <v>365.99625753737246</v>
      </c>
      <c r="CZ16" s="57">
        <f t="shared" si="42"/>
        <v>242.84814712692287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56.857380045291393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7.8</v>
      </c>
      <c r="DO16" s="12">
        <f>IF('Données projet'!$A$166&gt;35,DO15+DN16-DW15,IF(A16&lt;'Données projet'!$A$166,$DL$205^A16,IF(A16='Données projet'!$A$166,'Données projet'!$B$166,DO15+DN16-DW15)))</f>
        <v>36.4</v>
      </c>
      <c r="DP16" s="17">
        <f>DO16*VLOOKUP('Données projet'!$B$14,Paramètres!$A$1:$I$89,3,0)*VLOOKUP('Données projet'!$B$14,Paramètres!$A$1:$I$89,5,0)</f>
        <v>23.849279999999997</v>
      </c>
      <c r="DQ16" s="13">
        <f t="shared" si="43"/>
        <v>7.5978237630267955</v>
      </c>
      <c r="DR16" s="20">
        <f t="shared" si="16"/>
        <v>54.770372387271664</v>
      </c>
      <c r="DS16" s="57">
        <f t="shared" si="17"/>
        <v>279.13632144222902</v>
      </c>
      <c r="DT16" s="57">
        <f ca="1">AVERAGE(OFFSET($DS$3,0,0,'Données projet'!$E$14+1,1))-AVERAGE(OFFSET($H$3,0,0,'Données projet'!$E$14+1,1))</f>
        <v>313.79279628660527</v>
      </c>
      <c r="DU16" s="57">
        <f t="shared" si="44"/>
        <v>317.45469955216254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56.857380045291393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0.6</v>
      </c>
      <c r="EJ16" s="12">
        <f>IF('Données projet'!$A$192&gt;35,EJ15+EI16-ER15,IF(A16&lt;'Données projet'!$A$192,$EG$205^A16,IF(A16='Données projet'!$A$192,'Données projet'!$B$192,EJ15+EI16-ER15)))</f>
        <v>6.7144458364886441</v>
      </c>
      <c r="EK16" s="17">
        <f>EJ16*VLOOKUP('Données projet'!$B$15,Paramètres!$A$1:$I$89,3,0)*VLOOKUP('Données projet'!$B$15,Paramètres!$A$1:$I$89,5,0)</f>
        <v>5.7609945277072576</v>
      </c>
      <c r="EL16" s="13">
        <f t="shared" si="45"/>
        <v>2.1653475999043215</v>
      </c>
      <c r="EM16" s="20">
        <f t="shared" si="19"/>
        <v>13.805045872256832</v>
      </c>
      <c r="EN16" s="57">
        <f t="shared" si="20"/>
        <v>238.1709949272142</v>
      </c>
      <c r="EO16" s="57">
        <f ca="1">AVERAGE(OFFSET($EN$3,0,0,'Données projet'!$E$15+1,1))-AVERAGE(OFFSET($H$3,0,0,'Données projet'!$E$15+1,1))</f>
        <v>643.04899298561475</v>
      </c>
      <c r="EP16" s="57">
        <f t="shared" si="46"/>
        <v>474.94999304483031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56.857380045291393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10.8</v>
      </c>
      <c r="FE16" s="12">
        <f>IF('Données projet'!$A$218&gt;35,FE15+FD16-FM15,IF(A16&lt;'Données projet'!$A$218,$FB$205^A16,IF(A16='Données projet'!$A$218,'Données projet'!$B$218,FE15+FD16-FM15)))</f>
        <v>43.400000000000006</v>
      </c>
      <c r="FF16" s="17">
        <f>FE16*VLOOKUP('Données projet'!$B$16,Paramètres!$A$1:$I$89,3,0)*VLOOKUP('Données projet'!$B$16,Paramètres!$A$1:$I$89,5,0)</f>
        <v>35.206080000000007</v>
      </c>
      <c r="FG16" s="13">
        <f t="shared" si="47"/>
        <v>10.718732666310196</v>
      </c>
      <c r="FH16" s="20">
        <f t="shared" si="22"/>
        <v>79.985715393823597</v>
      </c>
      <c r="FI16" s="57">
        <f t="shared" si="23"/>
        <v>304.35166444878098</v>
      </c>
      <c r="FJ16" s="57">
        <f ca="1">AVERAGE(OFFSET($FI$3,0,0,'Données projet'!$E$16+1,1))-AVERAGE(OFFSET($H$3,0,0,'Données projet'!$E$16+1,1))</f>
        <v>375.34603719604439</v>
      </c>
      <c r="FK16" s="57">
        <f t="shared" si="48"/>
        <v>363.99476973672211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56.857380045291393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10.163529411764706</v>
      </c>
      <c r="FZ16" s="12">
        <f>IF('Données projet'!$A$244&gt;35,FZ15+FY16-GH15,IF(A16&lt;'Données projet'!$A$244,$FW$205^A16,IF(A16='Données projet'!$A$244,'Données projet'!$B$244,FZ15+FY16-GH15)))</f>
        <v>51.40725542326031</v>
      </c>
      <c r="GA16" s="17">
        <f>FZ16*VLOOKUP('Données projet'!$B$17,Paramètres!$A$1:$I$89,3,0)*VLOOKUP('Données projet'!$B$17,Paramètres!$A$1:$I$89,5,0)</f>
        <v>28.736655781602511</v>
      </c>
      <c r="GB16" s="13">
        <f t="shared" si="49"/>
        <v>8.9583146830098084</v>
      </c>
      <c r="GC16" s="20">
        <f t="shared" si="25"/>
        <v>65.652073559199778</v>
      </c>
      <c r="GD16" s="57">
        <f t="shared" si="26"/>
        <v>290.01802261415713</v>
      </c>
      <c r="GE16" s="57">
        <f ca="1">AVERAGE(OFFSET($GD$3,0,0,'Données projet'!$E$17+1,1))-AVERAGE(OFFSET($H$3,0,0,'Données projet'!$E$17+1,1))</f>
        <v>414.47327143450701</v>
      </c>
      <c r="GF16" s="57">
        <f t="shared" si="50"/>
        <v>546.83385887302961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56.857380045291393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11.8</v>
      </c>
      <c r="GU16" s="12">
        <f>IF('Données projet'!$A$270&gt;35,GU15+GT16-HC15,IF(A16&lt;'Données projet'!$A$270,$GR$205^A16,IF(A16='Données projet'!$A$270,'Données projet'!$B$270,GU15+GT16-HC15)))</f>
        <v>62.399999999999991</v>
      </c>
      <c r="GV16" s="17">
        <f>GU16*VLOOKUP('Données projet'!$B$18,Paramètres!$A$1:$I$89,3,0)*VLOOKUP('Données projet'!$B$18,Paramètres!$A$1:$I$89,5,0)</f>
        <v>34.070399999999992</v>
      </c>
      <c r="GW16" s="13">
        <f t="shared" si="51"/>
        <v>10.412633617059315</v>
      </c>
      <c r="GX16" s="20">
        <f t="shared" si="28"/>
        <v>77.474616883044959</v>
      </c>
      <c r="GY16" s="57">
        <f t="shared" si="29"/>
        <v>301.84056593800233</v>
      </c>
      <c r="GZ16" s="57">
        <f ca="1">AVERAGE(OFFSET($GY$3,0,0,'Données projet'!$E$18+1,1))-AVERAGE(OFFSET($H$3,0,0,'Données projet'!$E$18+1,1))</f>
        <v>381.00532469288714</v>
      </c>
      <c r="HA16" s="57">
        <f t="shared" si="52"/>
        <v>314.875259641757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>
        <f>EXP(-LN(2)/35)*HG15+(1-EXP(-LN(2)/35))/(LN(2)/35)*HC16*HD16*VLOOKUP('Données projet'!$B$18,Paramètres!$A$1:$I$89,3,0)*0.475*44/12</f>
        <v>0</v>
      </c>
      <c r="HH16" s="21">
        <f>EXP(-LN(2)/25)*HH15+(1-EXP(-LN(2)/25))/(LN(2)/25)*Calculateur!HC16*Calculateur!HE16*VLOOKUP('Données projet'!$B$18,Paramètres!$A$1:$I$89,3,0)*0.475*44/12</f>
        <v>0</v>
      </c>
      <c r="HI16" s="21">
        <f>EXP(-LN(2)/2)*HI15+(1-EXP(-LN(2)/2))/(LN(2)/2)*HC16*HF16*VLOOKUP('Données projet'!$B$18,Paramètres!$A$1:$I$89,3,0)*0.475*44/12</f>
        <v>0</v>
      </c>
      <c r="HJ16" s="22">
        <f t="shared" si="30"/>
        <v>0</v>
      </c>
    </row>
    <row r="17" spans="1:218" x14ac:dyDescent="0.2">
      <c r="A17" s="10">
        <f t="shared" si="31"/>
        <v>14</v>
      </c>
      <c r="B17" s="71">
        <f>'Scénario référence'!$B$16*5+'Scénario référence'!$B$17*0+'Scénario référence'!$B$18*5</f>
        <v>3.3000000000000003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12.100000000000001</v>
      </c>
      <c r="H17" s="65">
        <f t="shared" si="1"/>
        <v>208.26666666666665</v>
      </c>
      <c r="I17" s="6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57.085375119009186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1.2</v>
      </c>
      <c r="N17" s="13">
        <f>IF('Données projet'!$A$36&gt;35,N16+M17-V16,IF(A17&lt;'Données projet'!$A$36,$K$205^A17,IF(A17='Données projet'!$A$36,'Données projet'!$B$36,N16+M17-V16)))</f>
        <v>6.7171941741218459</v>
      </c>
      <c r="O17" s="13">
        <f>N17*VLOOKUP('Données projet'!$B$9,Paramètres!$A$1:$I$89,3,0)*VLOOKUP('Données projet'!$B$9,Paramètres!$A$1:$I$89,5,0)</f>
        <v>6.8112348925595523</v>
      </c>
      <c r="P17" s="13">
        <f t="shared" si="33"/>
        <v>2.5106746216891089</v>
      </c>
      <c r="Q17" s="20">
        <f t="shared" si="2"/>
        <v>16.235659070649749</v>
      </c>
      <c r="R17" s="57">
        <f t="shared" si="0"/>
        <v>242.65981228479453</v>
      </c>
      <c r="S17" s="57">
        <f ca="1">AVERAGE(OFFSET($R$3,0,0,'Données projet'!$E$9+1,1))-AVERAGE(OFFSET($H$3,0,0,'Données projet'!$E$9+1,1))</f>
        <v>332.70145542047612</v>
      </c>
      <c r="T17" s="57">
        <f t="shared" si="34"/>
        <v>172.22433737900428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57.085375119009186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4.3352272727272725</v>
      </c>
      <c r="AI17" s="13">
        <f>IF('Données projet'!$A$62&gt;35,AI16+AH17-AQ16,IF(A17&lt;'Données projet'!$A$62,$AF$205^A17,IF(A17='Données projet'!$A$62,'Données projet'!$B$62,AI16+AH17-AQ16)))</f>
        <v>60.69318181818182</v>
      </c>
      <c r="AJ17" s="13">
        <f>AI17*VLOOKUP('Données projet'!$B$10,Paramètres!$A$1:$I$89,3,0)*VLOOKUP('Données projet'!$B$10,Paramètres!$A$1:$I$89,5,0)</f>
        <v>54.91519090909091</v>
      </c>
      <c r="AK17" s="13">
        <f t="shared" si="35"/>
        <v>15.876119378456103</v>
      </c>
      <c r="AL17" s="20">
        <f t="shared" si="4"/>
        <v>123.29486541747771</v>
      </c>
      <c r="AM17" s="57">
        <f t="shared" si="5"/>
        <v>349.71901863162248</v>
      </c>
      <c r="AN17" s="57">
        <f ca="1">AVERAGE(OFFSET($AM$3,0,0,'Données projet'!$E$10+1,1))-AVERAGE(OFFSET($H$3,0,0,'Données projet'!$E$10+1,1))</f>
        <v>469.4210143164521</v>
      </c>
      <c r="AO17" s="57">
        <f t="shared" si="36"/>
        <v>308.4508386530556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57.085375119009186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10.8</v>
      </c>
      <c r="BD17" s="12">
        <f>IF('Données projet'!$A$88&gt;35,BD16+BC17-BL16,IF(A17&lt;'Données projet'!$A$88,$BA$205^A17,IF(A17='Données projet'!$A$88,'Données projet'!$B$88,BD16+BC17-BL16)))</f>
        <v>54.2</v>
      </c>
      <c r="BE17" s="13">
        <f>BD17*VLOOKUP('Données projet'!$B$11,Paramètres!$A$1:$I$89,3,0)*VLOOKUP('Données projet'!$B$11,Paramètres!$A$1:$I$89,5,0)</f>
        <v>39.739440000000002</v>
      </c>
      <c r="BF17" s="13">
        <f t="shared" si="37"/>
        <v>11.929559204083212</v>
      </c>
      <c r="BG17" s="20">
        <f t="shared" si="7"/>
        <v>89.990173613778268</v>
      </c>
      <c r="BH17" s="57">
        <f t="shared" si="8"/>
        <v>316.41432682792305</v>
      </c>
      <c r="BI17" s="57">
        <f ca="1">AVERAGE(OFFSET($BH$3,0,0,'Données projet'!$E$11+1,1))-AVERAGE(OFFSET($H$3,0,0,'Données projet'!$E$11+1,1))</f>
        <v>344.32981377462971</v>
      </c>
      <c r="BJ17" s="57">
        <f t="shared" si="38"/>
        <v>334.42512656625763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57.085375119009186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4.04</v>
      </c>
      <c r="BY17" s="12">
        <f>IF('Données projet'!$A$114&gt;35,BY16+BX17-CG16,IF(A17&lt;'Données projet'!$A$114,$BV$205^A17,IF(A17='Données projet'!$A$114,'Données projet'!$B$114,BY16+BX17-CG16)))</f>
        <v>13.256228128534465</v>
      </c>
      <c r="BZ17" s="13">
        <f>BY17*VLOOKUP('Données projet'!$B$12,Paramètres!$A$1:$I$89,3,0)*VLOOKUP('Données projet'!$B$12,Paramètres!$A$1:$I$89,5,0)</f>
        <v>12.614626687113397</v>
      </c>
      <c r="CA17" s="13">
        <f t="shared" si="39"/>
        <v>4.3279744381640102</v>
      </c>
      <c r="CB17" s="20">
        <f t="shared" si="10"/>
        <v>29.508363626524812</v>
      </c>
      <c r="CC17" s="57">
        <f t="shared" si="11"/>
        <v>255.93251684066959</v>
      </c>
      <c r="CD17" s="57">
        <f ca="1">AVERAGE(OFFSET($CC$3,0,0,'Données projet'!$E$12+1,1))-AVERAGE(OFFSET($H$3,0,0,'Données projet'!$E$12+1,1))</f>
        <v>498.77732039282807</v>
      </c>
      <c r="CE17" s="57">
        <f t="shared" si="40"/>
        <v>384.57317421826531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57.085375119009186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4.3352272727272725</v>
      </c>
      <c r="CT17" s="12">
        <f>IF('Données projet'!$A$140&gt;35,CT16+CS17-DB16,IF(A17&lt;'Données projet'!$A$140,$CQ$205^A17,IF(A17='Données projet'!$A$140,'Données projet'!$B$140,CT16+CS17-DB16)))</f>
        <v>60.69318181818182</v>
      </c>
      <c r="CU17" s="17">
        <f>CT17*VLOOKUP('Données projet'!$B$13,Paramètres!$A$1:$I$89,3,0)*VLOOKUP('Données projet'!$B$13,Paramètres!$A$1:$I$89,5,0)</f>
        <v>40.712986363636361</v>
      </c>
      <c r="CV17" s="13">
        <f t="shared" si="41"/>
        <v>12.187429265243242</v>
      </c>
      <c r="CW17" s="20">
        <f t="shared" si="13"/>
        <v>92.134890553631962</v>
      </c>
      <c r="CX17" s="57">
        <f t="shared" si="14"/>
        <v>318.55904376777676</v>
      </c>
      <c r="CY17" s="57">
        <f ca="1">AVERAGE(OFFSET($CX$3,0,0,'Données projet'!$E$13+1,1))-AVERAGE(OFFSET($H$3,0,0,'Données projet'!$E$13+1,1))</f>
        <v>365.99625753737246</v>
      </c>
      <c r="CZ17" s="57">
        <f t="shared" si="42"/>
        <v>242.84814712692287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57.085375119009186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7.8</v>
      </c>
      <c r="DO17" s="12">
        <f>IF('Données projet'!$A$166&gt;35,DO16+DN17-DW16,IF(A17&lt;'Données projet'!$A$166,$DL$205^A17,IF(A17='Données projet'!$A$166,'Données projet'!$B$166,DO16+DN17-DW16)))</f>
        <v>44.199999999999996</v>
      </c>
      <c r="DP17" s="17">
        <f>DO17*VLOOKUP('Données projet'!$B$14,Paramètres!$A$1:$I$89,3,0)*VLOOKUP('Données projet'!$B$14,Paramètres!$A$1:$I$89,5,0)</f>
        <v>28.959839999999996</v>
      </c>
      <c r="DQ17" s="13">
        <f t="shared" si="43"/>
        <v>9.0197634951152139</v>
      </c>
      <c r="DR17" s="20">
        <f t="shared" si="16"/>
        <v>66.147809420658987</v>
      </c>
      <c r="DS17" s="57">
        <f t="shared" si="17"/>
        <v>292.57196263480375</v>
      </c>
      <c r="DT17" s="57">
        <f ca="1">AVERAGE(OFFSET($DS$3,0,0,'Données projet'!$E$14+1,1))-AVERAGE(OFFSET($H$3,0,0,'Données projet'!$E$14+1,1))</f>
        <v>313.79279628660527</v>
      </c>
      <c r="DU17" s="57">
        <f t="shared" si="44"/>
        <v>317.45469955216254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57.085375119009186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0.6</v>
      </c>
      <c r="EJ17" s="12">
        <f>IF('Données projet'!$A$192&gt;35,EJ16+EI17-ER16,IF(A17&lt;'Données projet'!$A$192,$EG$205^A17,IF(A17='Données projet'!$A$192,'Données projet'!$B$192,EJ16+EI17-ER16)))</f>
        <v>7.7736743261084582</v>
      </c>
      <c r="EK17" s="17">
        <f>EJ17*VLOOKUP('Données projet'!$B$15,Paramètres!$A$1:$I$89,3,0)*VLOOKUP('Données projet'!$B$15,Paramètres!$A$1:$I$89,5,0)</f>
        <v>6.6698125718010575</v>
      </c>
      <c r="EL17" s="13">
        <f t="shared" si="45"/>
        <v>2.4645570079970582</v>
      </c>
      <c r="EM17" s="20">
        <f t="shared" si="19"/>
        <v>15.909027018148384</v>
      </c>
      <c r="EN17" s="57">
        <f t="shared" si="20"/>
        <v>242.33318023229316</v>
      </c>
      <c r="EO17" s="57">
        <f ca="1">AVERAGE(OFFSET($EN$3,0,0,'Données projet'!$E$15+1,1))-AVERAGE(OFFSET($H$3,0,0,'Données projet'!$E$15+1,1))</f>
        <v>643.04899298561475</v>
      </c>
      <c r="EP17" s="57">
        <f t="shared" si="46"/>
        <v>474.94999304483031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57.085375119009186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10.8</v>
      </c>
      <c r="FE17" s="12">
        <f>IF('Données projet'!$A$218&gt;35,FE16+FD17-FM16,IF(A17&lt;'Données projet'!$A$218,$FB$205^A17,IF(A17='Données projet'!$A$218,'Données projet'!$B$218,FE16+FD17-FM16)))</f>
        <v>54.2</v>
      </c>
      <c r="FF17" s="17">
        <f>FE17*VLOOKUP('Données projet'!$B$16,Paramètres!$A$1:$I$89,3,0)*VLOOKUP('Données projet'!$B$16,Paramètres!$A$1:$I$89,5,0)</f>
        <v>43.967040000000004</v>
      </c>
      <c r="FG17" s="13">
        <f t="shared" si="47"/>
        <v>13.04425511497986</v>
      </c>
      <c r="FH17" s="20">
        <f t="shared" si="22"/>
        <v>99.294672325256599</v>
      </c>
      <c r="FI17" s="57">
        <f t="shared" si="23"/>
        <v>325.71882553940139</v>
      </c>
      <c r="FJ17" s="57">
        <f ca="1">AVERAGE(OFFSET($FI$3,0,0,'Données projet'!$E$16+1,1))-AVERAGE(OFFSET($H$3,0,0,'Données projet'!$E$16+1,1))</f>
        <v>375.34603719604439</v>
      </c>
      <c r="FK17" s="57">
        <f t="shared" si="48"/>
        <v>363.99476973672211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57.085375119009186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10.163529411764706</v>
      </c>
      <c r="FZ17" s="12">
        <f>IF('Données projet'!$A$244&gt;35,FZ16+FY17-GH16,IF(A17&lt;'Données projet'!$A$244,$FW$205^A17,IF(A17='Données projet'!$A$244,'Données projet'!$B$244,FZ16+FY17-GH16)))</f>
        <v>69.605199233302443</v>
      </c>
      <c r="GA17" s="17">
        <f>FZ17*VLOOKUP('Données projet'!$B$17,Paramètres!$A$1:$I$89,3,0)*VLOOKUP('Données projet'!$B$17,Paramètres!$A$1:$I$89,5,0)</f>
        <v>38.909306371416065</v>
      </c>
      <c r="GB17" s="13">
        <f t="shared" si="49"/>
        <v>11.709094945150285</v>
      </c>
      <c r="GC17" s="20">
        <f t="shared" si="25"/>
        <v>88.160382293019723</v>
      </c>
      <c r="GD17" s="57">
        <f t="shared" si="26"/>
        <v>314.5845355071645</v>
      </c>
      <c r="GE17" s="57">
        <f ca="1">AVERAGE(OFFSET($GD$3,0,0,'Données projet'!$E$17+1,1))-AVERAGE(OFFSET($H$3,0,0,'Données projet'!$E$17+1,1))</f>
        <v>414.47327143450701</v>
      </c>
      <c r="GF17" s="57">
        <f t="shared" si="50"/>
        <v>546.83385887302961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57.085375119009186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11.8</v>
      </c>
      <c r="GU17" s="12">
        <f>IF('Données projet'!$A$270&gt;35,GU16+GT17-HC16,IF(A17&lt;'Données projet'!$A$270,$GR$205^A17,IF(A17='Données projet'!$A$270,'Données projet'!$B$270,GU16+GT17-HC16)))</f>
        <v>74.199999999999989</v>
      </c>
      <c r="GV17" s="17">
        <f>GU17*VLOOKUP('Données projet'!$B$18,Paramètres!$A$1:$I$89,3,0)*VLOOKUP('Données projet'!$B$18,Paramètres!$A$1:$I$89,5,0)</f>
        <v>40.513199999999991</v>
      </c>
      <c r="GW17" s="13">
        <f t="shared" si="51"/>
        <v>12.134569535185738</v>
      </c>
      <c r="GX17" s="20">
        <f t="shared" si="28"/>
        <v>91.694865273781815</v>
      </c>
      <c r="GY17" s="57">
        <f t="shared" si="29"/>
        <v>318.11901848792661</v>
      </c>
      <c r="GZ17" s="57">
        <f ca="1">AVERAGE(OFFSET($GY$3,0,0,'Données projet'!$E$18+1,1))-AVERAGE(OFFSET($H$3,0,0,'Données projet'!$E$18+1,1))</f>
        <v>381.00532469288714</v>
      </c>
      <c r="HA17" s="57">
        <f t="shared" si="52"/>
        <v>314.875259641757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>
        <f>EXP(-LN(2)/35)*HG16+(1-EXP(-LN(2)/35))/(LN(2)/35)*HC17*HD17*VLOOKUP('Données projet'!$B$18,Paramètres!$A$1:$I$89,3,0)*0.475*44/12</f>
        <v>0</v>
      </c>
      <c r="HH17" s="21">
        <f>EXP(-LN(2)/25)*HH16+(1-EXP(-LN(2)/25))/(LN(2)/25)*Calculateur!HC17*Calculateur!HE17*VLOOKUP('Données projet'!$B$18,Paramètres!$A$1:$I$89,3,0)*0.475*44/12</f>
        <v>0</v>
      </c>
      <c r="HI17" s="21">
        <f>EXP(-LN(2)/2)*HI16+(1-EXP(-LN(2)/2))/(LN(2)/2)*HC17*HF17*VLOOKUP('Données projet'!$B$18,Paramètres!$A$1:$I$89,3,0)*0.475*44/12</f>
        <v>0</v>
      </c>
      <c r="HJ17" s="22">
        <f t="shared" si="30"/>
        <v>0</v>
      </c>
    </row>
    <row r="18" spans="1:218" x14ac:dyDescent="0.2">
      <c r="A18" s="10">
        <f t="shared" si="31"/>
        <v>15</v>
      </c>
      <c r="B18" s="71">
        <f>'Scénario référence'!$B$16*5+'Scénario référence'!$B$17*0+'Scénario référence'!$B$18*5</f>
        <v>3.3000000000000003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12.100000000000001</v>
      </c>
      <c r="H18" s="65">
        <f t="shared" si="1"/>
        <v>208.26666666666665</v>
      </c>
      <c r="I18" s="6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57.309414987918586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1.2</v>
      </c>
      <c r="N18" s="13">
        <f>IF('Données projet'!$A$36&gt;35,N17+M18-V17,IF(A18&lt;'Données projet'!$A$36,$K$205^A18,IF(A18='Données projet'!$A$36,'Données projet'!$B$36,N17+M18-V17)))</f>
        <v>7.6961363407260848</v>
      </c>
      <c r="O18" s="13">
        <f>N18*VLOOKUP('Données projet'!$B$9,Paramètres!$A$1:$I$89,3,0)*VLOOKUP('Données projet'!$B$9,Paramètres!$A$1:$I$89,5,0)</f>
        <v>7.8038822494962501</v>
      </c>
      <c r="P18" s="13">
        <f t="shared" si="33"/>
        <v>2.8313776940102406</v>
      </c>
      <c r="Q18" s="20">
        <f t="shared" si="2"/>
        <v>18.523077734940472</v>
      </c>
      <c r="R18" s="57">
        <f t="shared" si="0"/>
        <v>246.99093269064196</v>
      </c>
      <c r="S18" s="57">
        <f ca="1">AVERAGE(OFFSET($R$3,0,0,'Données projet'!$E$9+1,1))-AVERAGE(OFFSET($H$3,0,0,'Données projet'!$E$9+1,1))</f>
        <v>332.70145542047612</v>
      </c>
      <c r="T18" s="57">
        <f t="shared" si="34"/>
        <v>172.22433737900428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57.309414987918586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4.3352272727272725</v>
      </c>
      <c r="AI18" s="13">
        <f>IF('Données projet'!$A$62&gt;35,AI17+AH18-AQ17,IF(A18&lt;'Données projet'!$A$62,$AF$205^A18,IF(A18='Données projet'!$A$62,'Données projet'!$B$62,AI17+AH18-AQ17)))</f>
        <v>65.028409090909093</v>
      </c>
      <c r="AJ18" s="13">
        <f>AI18*VLOOKUP('Données projet'!$B$10,Paramètres!$A$1:$I$89,3,0)*VLOOKUP('Données projet'!$B$10,Paramètres!$A$1:$I$89,5,0)</f>
        <v>58.83770454545455</v>
      </c>
      <c r="AK18" s="13">
        <f t="shared" si="35"/>
        <v>16.874070530498674</v>
      </c>
      <c r="AL18" s="20">
        <f t="shared" si="4"/>
        <v>131.86467492395187</v>
      </c>
      <c r="AM18" s="57">
        <f t="shared" si="5"/>
        <v>360.33252987965335</v>
      </c>
      <c r="AN18" s="57">
        <f ca="1">AVERAGE(OFFSET($AM$3,0,0,'Données projet'!$E$10+1,1))-AVERAGE(OFFSET($H$3,0,0,'Données projet'!$E$10+1,1))</f>
        <v>469.4210143164521</v>
      </c>
      <c r="AO18" s="57">
        <f t="shared" si="36"/>
        <v>308.4508386530556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57.309414987918586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65</v>
      </c>
      <c r="BB18" s="12">
        <f>VLOOKUP(A18,'Données projet'!$A$87:$I$107,9,0)</f>
        <v>10.8</v>
      </c>
      <c r="BC18" s="12">
        <f t="array" ref="BC18">INDEX(BB:BB,MIN(IF(ISNUMBER(BB18:BB214),ROW(BB18:BB214),"")))</f>
        <v>10.8</v>
      </c>
      <c r="BD18" s="12">
        <f>IF('Données projet'!$A$88&gt;35,BD17+BC18-BL17,IF(A18&lt;'Données projet'!$A$88,$BA$205^A18,IF(A18='Données projet'!$A$88,'Données projet'!$B$88,BD17+BC18-BL17)))</f>
        <v>65</v>
      </c>
      <c r="BE18" s="13">
        <f>BD18*VLOOKUP('Données projet'!$B$11,Paramètres!$A$1:$I$89,3,0)*VLOOKUP('Données projet'!$B$11,Paramètres!$A$1:$I$89,5,0)</f>
        <v>47.657999999999994</v>
      </c>
      <c r="BF18" s="13">
        <f t="shared" si="37"/>
        <v>14.007249652087213</v>
      </c>
      <c r="BG18" s="20">
        <f t="shared" si="7"/>
        <v>107.40030981071855</v>
      </c>
      <c r="BH18" s="57">
        <f t="shared" si="8"/>
        <v>335.86816476642002</v>
      </c>
      <c r="BI18" s="57">
        <f ca="1">AVERAGE(OFFSET($BH$3,0,0,'Données projet'!$E$11+1,1))-AVERAGE(OFFSET($H$3,0,0,'Données projet'!$E$11+1,1))</f>
        <v>344.32981377462971</v>
      </c>
      <c r="BJ18" s="57">
        <f t="shared" si="38"/>
        <v>334.42512656625763</v>
      </c>
      <c r="BK18" s="15">
        <f>IF(ISNA(VLOOKUP(A18,'Données projet'!$A$87:$I$107,3,0)),0,VLOOKUP(A18,'Données projet'!$A$87:$I$107,3,0))</f>
        <v>2</v>
      </c>
      <c r="BL18" s="15">
        <f>IF(ISNA(VLOOKUP(A18,'Données projet'!$A$87:$I$107,4,0)),0,VLOOKUP(A18,'Données projet'!$A$87:$I$107,4,0))</f>
        <v>32</v>
      </c>
      <c r="BM18" s="16">
        <f>IF(ISNA(VLOOKUP(A18,'Données projet'!$A$87:$I$107,5,0)),0%,VLOOKUP(A18,'Données projet'!$A$87:$I$107,5,0)*VLOOKUP('Données projet'!$B$11,Paramètres!$A$1:$I$89,7,0))</f>
        <v>8.6000000000000007E-2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2.2305809880168344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2.2305809880168344</v>
      </c>
      <c r="BT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57.309414987918586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4.04</v>
      </c>
      <c r="BY18" s="12">
        <f>IF('Données projet'!$A$114&gt;35,BY17+BX18-CG17,IF(A18&lt;'Données projet'!$A$114,$BV$205^A18,IF(A18='Données projet'!$A$114,'Données projet'!$B$114,BY17+BX18-CG17)))</f>
        <v>15.943836211226584</v>
      </c>
      <c r="BZ18" s="13">
        <f>BY18*VLOOKUP('Données projet'!$B$12,Paramètres!$A$1:$I$89,3,0)*VLOOKUP('Données projet'!$B$12,Paramètres!$A$1:$I$89,5,0)</f>
        <v>15.172154538603218</v>
      </c>
      <c r="CA18" s="13">
        <f t="shared" si="39"/>
        <v>5.0947798408647689</v>
      </c>
      <c r="CB18" s="20">
        <f t="shared" si="10"/>
        <v>35.298244044240072</v>
      </c>
      <c r="CC18" s="57">
        <f t="shared" si="11"/>
        <v>263.76609899994156</v>
      </c>
      <c r="CD18" s="57">
        <f ca="1">AVERAGE(OFFSET($CC$3,0,0,'Données projet'!$E$12+1,1))-AVERAGE(OFFSET($H$3,0,0,'Données projet'!$E$12+1,1))</f>
        <v>498.77732039282807</v>
      </c>
      <c r="CE18" s="57">
        <f t="shared" si="40"/>
        <v>384.57317421826531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57.309414987918586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4.3352272727272725</v>
      </c>
      <c r="CT18" s="12">
        <f>IF('Données projet'!$A$140&gt;35,CT17+CS18-DB17,IF(A18&lt;'Données projet'!$A$140,$CQ$205^A18,IF(A18='Données projet'!$A$140,'Données projet'!$B$140,CT17+CS18-DB17)))</f>
        <v>65.028409090909093</v>
      </c>
      <c r="CU18" s="17">
        <f>CT18*VLOOKUP('Données projet'!$B$13,Paramètres!$A$1:$I$89,3,0)*VLOOKUP('Données projet'!$B$13,Paramètres!$A$1:$I$89,5,0)</f>
        <v>43.62105681818182</v>
      </c>
      <c r="CV18" s="13">
        <f t="shared" si="41"/>
        <v>12.95351440140009</v>
      </c>
      <c r="CW18" s="20">
        <f t="shared" si="13"/>
        <v>98.534044874105163</v>
      </c>
      <c r="CX18" s="57">
        <f t="shared" si="14"/>
        <v>327.00189982980663</v>
      </c>
      <c r="CY18" s="57">
        <f ca="1">AVERAGE(OFFSET($CX$3,0,0,'Données projet'!$E$13+1,1))-AVERAGE(OFFSET($H$3,0,0,'Données projet'!$E$13+1,1))</f>
        <v>365.99625753737246</v>
      </c>
      <c r="CZ18" s="57">
        <f t="shared" si="42"/>
        <v>242.84814712692287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57.309414987918586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52</v>
      </c>
      <c r="DM18" s="12">
        <f>VLOOKUP(A18,'Données projet'!$A$165:$I$185,9,0)</f>
        <v>7.8</v>
      </c>
      <c r="DN18" s="12">
        <f t="array" ref="DN18">INDEX(DM:DM,MIN(IF(ISNUMBER(DM18:DM214),ROW(DM18:DM214),"")))</f>
        <v>7.8</v>
      </c>
      <c r="DO18" s="12">
        <f>IF('Données projet'!$A$166&gt;35,DO17+DN18-DW17,IF(A18&lt;'Données projet'!$A$166,$DL$205^A18,IF(A18='Données projet'!$A$166,'Données projet'!$B$166,DO17+DN18-DW17)))</f>
        <v>51.999999999999993</v>
      </c>
      <c r="DP18" s="17">
        <f>DO18*VLOOKUP('Données projet'!$B$14,Paramètres!$A$1:$I$89,3,0)*VLOOKUP('Données projet'!$B$14,Paramètres!$A$1:$I$89,5,0)</f>
        <v>34.070399999999992</v>
      </c>
      <c r="DQ18" s="13">
        <f t="shared" si="43"/>
        <v>10.412633617059315</v>
      </c>
      <c r="DR18" s="20">
        <f t="shared" si="16"/>
        <v>77.474616883044959</v>
      </c>
      <c r="DS18" s="57">
        <f t="shared" si="17"/>
        <v>305.94247183874643</v>
      </c>
      <c r="DT18" s="57">
        <f ca="1">AVERAGE(OFFSET($DS$3,0,0,'Données projet'!$E$14+1,1))-AVERAGE(OFFSET($H$3,0,0,'Données projet'!$E$14+1,1))</f>
        <v>313.79279628660527</v>
      </c>
      <c r="DU18" s="57">
        <f t="shared" si="44"/>
        <v>317.45469955216254</v>
      </c>
      <c r="DV18" s="15">
        <f>IF(ISNA(VLOOKUP(A18,'Données projet'!$A$165:$I$185,3,0)),0,VLOOKUP(A18,'Données projet'!$A$165:$I$185,3,0))</f>
        <v>2</v>
      </c>
      <c r="DW18" s="15">
        <f>IF(ISNA(VLOOKUP(A18,'Données projet'!$A$165:$I$185,4,0)),0,VLOOKUP(A18,'Données projet'!$A$165:$I$185,4,0))</f>
        <v>5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57.309414987918586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>
        <f>VLOOKUP(A18,'Données projet'!$A$191:$I$211,2,0)</f>
        <v>9</v>
      </c>
      <c r="EH18" s="12">
        <f>VLOOKUP(A18,'Données projet'!$A$191:$I$211,9,0)</f>
        <v>0.6</v>
      </c>
      <c r="EI18" s="12">
        <f t="array" ref="EI18">INDEX(EH:EH,MIN(IF(ISNUMBER(EH18:EH214),ROW(EH18:EH214),"")))</f>
        <v>0.6</v>
      </c>
      <c r="EJ18" s="12">
        <f>IF('Données projet'!$A$192&gt;35,EJ17+EI18-ER17,IF(A18&lt;'Données projet'!$A$192,$EG$205^A18,IF(A18='Données projet'!$A$192,'Données projet'!$B$192,EJ17+EI18-ER17)))</f>
        <v>9</v>
      </c>
      <c r="EK18" s="17">
        <f>EJ18*VLOOKUP('Données projet'!$B$15,Paramètres!$A$1:$I$89,3,0)*VLOOKUP('Données projet'!$B$15,Paramètres!$A$1:$I$89,5,0)</f>
        <v>7.7220000000000004</v>
      </c>
      <c r="EL18" s="13">
        <f t="shared" si="45"/>
        <v>2.8051114037929983</v>
      </c>
      <c r="EM18" s="20">
        <f t="shared" si="19"/>
        <v>18.334719028272804</v>
      </c>
      <c r="EN18" s="57">
        <f t="shared" si="20"/>
        <v>246.8025739839743</v>
      </c>
      <c r="EO18" s="57">
        <f ca="1">AVERAGE(OFFSET($EN$3,0,0,'Données projet'!$E$15+1,1))-AVERAGE(OFFSET($H$3,0,0,'Données projet'!$E$15+1,1))</f>
        <v>643.04899298561475</v>
      </c>
      <c r="EP18" s="57">
        <f t="shared" si="46"/>
        <v>474.94999304483031</v>
      </c>
      <c r="EQ18" s="15">
        <f>IF(ISNA(VLOOKUP(A18,'Données projet'!$A$191:$I$211,3,0)),0,VLOOKUP(A18,'Données projet'!$A$191:$I$211,3,0))</f>
        <v>1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57.309414987918586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>
        <f>VLOOKUP(A18,'Données projet'!$A$217:$I$237,2,0)</f>
        <v>65</v>
      </c>
      <c r="FC18" s="12">
        <f>VLOOKUP(A18,'Données projet'!$A$217:$I$237,9,0)</f>
        <v>10.8</v>
      </c>
      <c r="FD18" s="12">
        <f t="array" ref="FD18">INDEX(FC:FC,MIN(IF(ISNUMBER(FC18:FC214),ROW(FC18:FC214),"")))</f>
        <v>10.8</v>
      </c>
      <c r="FE18" s="12">
        <f>IF('Données projet'!$A$218&gt;35,FE17+FD18-FM17,IF(A18&lt;'Données projet'!$A$218,$FB$205^A18,IF(A18='Données projet'!$A$218,'Données projet'!$B$218,FE17+FD18-FM17)))</f>
        <v>65</v>
      </c>
      <c r="FF18" s="17">
        <f>FE18*VLOOKUP('Données projet'!$B$16,Paramètres!$A$1:$I$89,3,0)*VLOOKUP('Données projet'!$B$16,Paramètres!$A$1:$I$89,5,0)</f>
        <v>52.728000000000009</v>
      </c>
      <c r="FG18" s="13">
        <f t="shared" si="47"/>
        <v>15.316084592505286</v>
      </c>
      <c r="FH18" s="20">
        <f t="shared" si="22"/>
        <v>118.51011399861339</v>
      </c>
      <c r="FI18" s="57">
        <f t="shared" si="23"/>
        <v>346.97796895431486</v>
      </c>
      <c r="FJ18" s="57">
        <f ca="1">AVERAGE(OFFSET($FI$3,0,0,'Données projet'!$E$16+1,1))-AVERAGE(OFFSET($H$3,0,0,'Données projet'!$E$16+1,1))</f>
        <v>375.34603719604439</v>
      </c>
      <c r="FK18" s="57">
        <f t="shared" si="48"/>
        <v>363.99476973672211</v>
      </c>
      <c r="FL18" s="15">
        <f>IF(ISNA(VLOOKUP(A18,'Données projet'!$A$217:$I$237,3,0)),0,VLOOKUP(A18,'Données projet'!$A$217:$I$237,3,0))</f>
        <v>2</v>
      </c>
      <c r="FM18" s="15">
        <f>IF(ISNA(VLOOKUP(A18,'Données projet'!$A$217:$I$237,4,0)),0,VLOOKUP(A18,'Données projet'!$A$217:$I$237,4,0))</f>
        <v>32</v>
      </c>
      <c r="FN18" s="16">
        <f>IF(ISNA(VLOOKUP(A18,'Données projet'!$A$217:$I$237,5,0)),0%,VLOOKUP(A18,'Données projet'!$A$217:$I$237,5,0)*VLOOKUP('Données projet'!$B$16,Paramètres!$A$1:$I$89,7,0))</f>
        <v>0.10600000000000001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3.0418016838072224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3.0418016838072224</v>
      </c>
      <c r="FU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57.309414987918586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10.163529411764706</v>
      </c>
      <c r="FZ18" s="12">
        <f>IF('Données projet'!$A$244&gt;35,FZ17+FY18-GH17,IF(A18&lt;'Données projet'!$A$244,$FW$205^A18,IF(A18='Données projet'!$A$244,'Données projet'!$B$244,FZ17+FY18-GH17)))</f>
        <v>94.245135641214503</v>
      </c>
      <c r="GA18" s="17">
        <f>FZ18*VLOOKUP('Données projet'!$B$17,Paramètres!$A$1:$I$89,3,0)*VLOOKUP('Données projet'!$B$17,Paramètres!$A$1:$I$89,5,0)</f>
        <v>52.683030823438912</v>
      </c>
      <c r="GB18" s="13">
        <f t="shared" si="49"/>
        <v>15.304542124934633</v>
      </c>
      <c r="GC18" s="20">
        <f t="shared" si="25"/>
        <v>118.41168955175056</v>
      </c>
      <c r="GD18" s="57">
        <f t="shared" si="26"/>
        <v>346.87954450745201</v>
      </c>
      <c r="GE18" s="57">
        <f ca="1">AVERAGE(OFFSET($GD$3,0,0,'Données projet'!$E$17+1,1))-AVERAGE(OFFSET($H$3,0,0,'Données projet'!$E$17+1,1))</f>
        <v>414.47327143450701</v>
      </c>
      <c r="GF18" s="57">
        <f t="shared" si="50"/>
        <v>546.83385887302961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57.309414987918586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>
        <f>VLOOKUP(A18,'Données projet'!$A$269:$I$289,2,0)</f>
        <v>86</v>
      </c>
      <c r="GS18" s="12">
        <f>VLOOKUP(A18,'Données projet'!$A$269:$I$289,9,0)</f>
        <v>11.8</v>
      </c>
      <c r="GT18" s="12">
        <f t="array" ref="GT18">INDEX(GS:GS,MIN(IF(ISNUMBER(GS18:GS214),ROW(GS18:GS214),"")))</f>
        <v>11.8</v>
      </c>
      <c r="GU18" s="12">
        <f>IF('Données projet'!$A$270&gt;35,GU17+GT18-HC17,IF(A18&lt;'Données projet'!$A$270,$GR$205^A18,IF(A18='Données projet'!$A$270,'Données projet'!$B$270,GU17+GT18-HC17)))</f>
        <v>85.999999999999986</v>
      </c>
      <c r="GV18" s="17">
        <f>GU18*VLOOKUP('Données projet'!$B$18,Paramètres!$A$1:$I$89,3,0)*VLOOKUP('Données projet'!$B$18,Paramètres!$A$1:$I$89,5,0)</f>
        <v>46.955999999999989</v>
      </c>
      <c r="GW18" s="13">
        <f t="shared" si="51"/>
        <v>13.824782755944211</v>
      </c>
      <c r="GX18" s="20">
        <f t="shared" si="28"/>
        <v>105.85986329993615</v>
      </c>
      <c r="GY18" s="57">
        <f t="shared" si="29"/>
        <v>334.32771825563765</v>
      </c>
      <c r="GZ18" s="57">
        <f ca="1">AVERAGE(OFFSET($GY$3,0,0,'Données projet'!$E$18+1,1))-AVERAGE(OFFSET($H$3,0,0,'Données projet'!$E$18+1,1))</f>
        <v>381.00532469288714</v>
      </c>
      <c r="HA18" s="57">
        <f t="shared" si="52"/>
        <v>314.875259641757</v>
      </c>
      <c r="HB18" s="15">
        <f>IF(ISNA(VLOOKUP(A18,'Données projet'!$A$269:$I$289,3,0)),0,VLOOKUP(A18,'Données projet'!$A$269:$I$289,3,0))</f>
        <v>2</v>
      </c>
      <c r="HC18" s="15">
        <f>IF(ISNA(VLOOKUP(A18,'Données projet'!$A$269:$I$289,4,0)),0,VLOOKUP(A18,'Données projet'!$A$269:$I$289,4,0))</f>
        <v>18</v>
      </c>
      <c r="HD18" s="16">
        <f>IF(ISNA(VLOOKUP(A18,'Données projet'!$A$269:$I$289,5,0)),0%,VLOOKUP(A18,'Données projet'!$A$269:$I$289,5,0)*VLOOKUP('Données projet'!$B$18,Paramètres!$A$1:$I$89,7,0))</f>
        <v>0.12</v>
      </c>
      <c r="HE18" s="16">
        <f>IF(ISNA(VLOOKUP(A18,'Données projet'!$A$269:$I$289,6,0)),0%,VLOOKUP(A18,'Données projet'!$A$269:$I$289,6,0)*VLOOKUP('Données projet'!$B$18,Paramètres!$A$1:$I$89,7,0))</f>
        <v>0.27</v>
      </c>
      <c r="HF18" s="16">
        <f>IF(ISNA(VLOOKUP(A18,'Données projet'!$A$269:$I$289,7,0)),0%,VLOOKUP(A18,'Données projet'!$A$269:$I$289,7,0))</f>
        <v>0.35</v>
      </c>
      <c r="HG18" s="21">
        <f>EXP(-LN(2)/35)*HG17+(1-EXP(-LN(2)/35))/(LN(2)/35)*HC18*HD18*VLOOKUP('Données projet'!$B$18,Paramètres!$A$1:$I$89,3,0)*0.475*44/12</f>
        <v>1.564497056167176</v>
      </c>
      <c r="HH18" s="21">
        <f>EXP(-LN(2)/25)*HH17+(1-EXP(-LN(2)/25))/(LN(2)/25)*Calculateur!HC18*Calculateur!HE18*VLOOKUP('Données projet'!$B$18,Paramètres!$A$1:$I$89,3,0)*0.475*44/12</f>
        <v>3.5062583290580989</v>
      </c>
      <c r="HI18" s="21">
        <f>EXP(-LN(2)/2)*HI17+(1-EXP(-LN(2)/2))/(LN(2)/2)*HC18*HF18*VLOOKUP('Données projet'!$B$18,Paramètres!$A$1:$I$89,3,0)*0.475*44/12</f>
        <v>3.894652657031537</v>
      </c>
      <c r="HJ18" s="22">
        <f t="shared" si="30"/>
        <v>8.9654080422568114</v>
      </c>
    </row>
    <row r="19" spans="1:218" x14ac:dyDescent="0.2">
      <c r="A19" s="10">
        <f t="shared" si="31"/>
        <v>16</v>
      </c>
      <c r="B19" s="71">
        <f>'Scénario référence'!$B$16*5+'Scénario référence'!$B$17*0+'Scénario référence'!$B$18*5</f>
        <v>3.3000000000000003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12.100000000000001</v>
      </c>
      <c r="H19" s="65">
        <f t="shared" si="1"/>
        <v>208.26666666666665</v>
      </c>
      <c r="I19" s="6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57.529568265980529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1.2</v>
      </c>
      <c r="N19" s="13">
        <f>IF('Données projet'!$A$36&gt;35,N18+M19-V18,IF(A19&lt;'Données projet'!$A$36,$K$205^A19,IF(A19='Données projet'!$A$36,'Données projet'!$B$36,N18+M19-V18)))</f>
        <v>8.8177463744060987</v>
      </c>
      <c r="O19" s="13">
        <f>N19*VLOOKUP('Données projet'!$B$9,Paramètres!$A$1:$I$89,3,0)*VLOOKUP('Données projet'!$B$9,Paramètres!$A$1:$I$89,5,0)</f>
        <v>8.9411948236477841</v>
      </c>
      <c r="P19" s="13">
        <f t="shared" si="33"/>
        <v>3.1930460350713803</v>
      </c>
      <c r="Q19" s="20">
        <f t="shared" si="2"/>
        <v>21.133802828935874</v>
      </c>
      <c r="R19" s="57">
        <f t="shared" si="0"/>
        <v>251.6311086930867</v>
      </c>
      <c r="S19" s="57">
        <f ca="1">AVERAGE(OFFSET($R$3,0,0,'Données projet'!$E$9+1,1))-AVERAGE(OFFSET($H$3,0,0,'Données projet'!$E$9+1,1))</f>
        <v>332.70145542047612</v>
      </c>
      <c r="T19" s="57">
        <f t="shared" si="34"/>
        <v>172.22433737900428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57.529568265980529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4.3352272727272725</v>
      </c>
      <c r="AI19" s="13">
        <f>IF('Données projet'!$A$62&gt;35,AI18+AH19-AQ18,IF(A19&lt;'Données projet'!$A$62,$AF$205^A19,IF(A19='Données projet'!$A$62,'Données projet'!$B$62,AI18+AH19-AQ18)))</f>
        <v>69.36363636363636</v>
      </c>
      <c r="AJ19" s="13">
        <f>AI19*VLOOKUP('Données projet'!$B$10,Paramètres!$A$1:$I$89,3,0)*VLOOKUP('Données projet'!$B$10,Paramètres!$A$1:$I$89,5,0)</f>
        <v>62.760218181818175</v>
      </c>
      <c r="AK19" s="13">
        <f t="shared" si="35"/>
        <v>17.864301516617232</v>
      </c>
      <c r="AL19" s="20">
        <f t="shared" si="4"/>
        <v>140.42103847477497</v>
      </c>
      <c r="AM19" s="57">
        <f t="shared" si="5"/>
        <v>370.91834433892581</v>
      </c>
      <c r="AN19" s="57">
        <f ca="1">AVERAGE(OFFSET($AM$3,0,0,'Données projet'!$E$10+1,1))-AVERAGE(OFFSET($H$3,0,0,'Données projet'!$E$10+1,1))</f>
        <v>469.4210143164521</v>
      </c>
      <c r="AO19" s="57">
        <f t="shared" si="36"/>
        <v>308.4508386530556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57.529568265980529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13.8</v>
      </c>
      <c r="BD19" s="12">
        <f>IF('Données projet'!$A$88&gt;35,BD18+BC19-BL18,IF(A19&lt;'Données projet'!$A$88,$BA$205^A19,IF(A19='Données projet'!$A$88,'Données projet'!$B$88,BD18+BC19-BL18)))</f>
        <v>46.8</v>
      </c>
      <c r="BE19" s="13">
        <f>BD19*VLOOKUP('Données projet'!$B$11,Paramètres!$A$1:$I$89,3,0)*VLOOKUP('Données projet'!$B$11,Paramètres!$A$1:$I$89,5,0)</f>
        <v>34.313760000000002</v>
      </c>
      <c r="BF19" s="13">
        <f t="shared" si="37"/>
        <v>10.478324962562111</v>
      </c>
      <c r="BG19" s="20">
        <f t="shared" si="7"/>
        <v>78.012881309795674</v>
      </c>
      <c r="BH19" s="57">
        <f t="shared" si="8"/>
        <v>308.51018717394652</v>
      </c>
      <c r="BI19" s="57">
        <f ca="1">AVERAGE(OFFSET($BH$3,0,0,'Données projet'!$E$11+1,1))-AVERAGE(OFFSET($H$3,0,0,'Données projet'!$E$11+1,1))</f>
        <v>344.32981377462971</v>
      </c>
      <c r="BJ19" s="57">
        <f t="shared" si="38"/>
        <v>334.42512656625763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2.1868406553618867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2.1868406553618867</v>
      </c>
      <c r="BT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57.529568265980529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4.04</v>
      </c>
      <c r="BY19" s="12">
        <f>IF('Données projet'!$A$114&gt;35,BY18+BX19-CG18,IF(A19&lt;'Données projet'!$A$114,$BV$205^A19,IF(A19='Données projet'!$A$114,'Données projet'!$B$114,BY18+BX19-CG18)))</f>
        <v>19.176338145783223</v>
      </c>
      <c r="BZ19" s="13">
        <f>BY19*VLOOKUP('Données projet'!$B$12,Paramètres!$A$1:$I$89,3,0)*VLOOKUP('Données projet'!$B$12,Paramètres!$A$1:$I$89,5,0)</f>
        <v>18.248203379527315</v>
      </c>
      <c r="CA19" s="13">
        <f t="shared" si="39"/>
        <v>5.9974433762814208</v>
      </c>
      <c r="CB19" s="20">
        <f t="shared" si="10"/>
        <v>42.227834766366875</v>
      </c>
      <c r="CC19" s="57">
        <f t="shared" si="11"/>
        <v>272.72514063051773</v>
      </c>
      <c r="CD19" s="57">
        <f ca="1">AVERAGE(OFFSET($CC$3,0,0,'Données projet'!$E$12+1,1))-AVERAGE(OFFSET($H$3,0,0,'Données projet'!$E$12+1,1))</f>
        <v>498.77732039282807</v>
      </c>
      <c r="CE19" s="57">
        <f t="shared" si="40"/>
        <v>384.57317421826531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57.529568265980529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4.3352272727272725</v>
      </c>
      <c r="CT19" s="12">
        <f>IF('Données projet'!$A$140&gt;35,CT18+CS19-DB18,IF(A19&lt;'Données projet'!$A$140,$CQ$205^A19,IF(A19='Données projet'!$A$140,'Données projet'!$B$140,CT18+CS19-DB18)))</f>
        <v>69.36363636363636</v>
      </c>
      <c r="CU19" s="17">
        <f>CT19*VLOOKUP('Données projet'!$B$13,Paramètres!$A$1:$I$89,3,0)*VLOOKUP('Données projet'!$B$13,Paramètres!$A$1:$I$89,5,0)</f>
        <v>46.529127272727273</v>
      </c>
      <c r="CV19" s="13">
        <f t="shared" si="41"/>
        <v>13.713673090805562</v>
      </c>
      <c r="CW19" s="20">
        <f t="shared" si="13"/>
        <v>104.92287729981969</v>
      </c>
      <c r="CX19" s="57">
        <f t="shared" si="14"/>
        <v>335.42018316397053</v>
      </c>
      <c r="CY19" s="57">
        <f ca="1">AVERAGE(OFFSET($CX$3,0,0,'Données projet'!$E$13+1,1))-AVERAGE(OFFSET($H$3,0,0,'Données projet'!$E$13+1,1))</f>
        <v>365.99625753737246</v>
      </c>
      <c r="CZ19" s="57">
        <f t="shared" si="42"/>
        <v>242.84814712692287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57.529568265980529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14</v>
      </c>
      <c r="DO19" s="12">
        <f>IF('Données projet'!$A$166&gt;35,DO18+DN19-DW18,IF(A19&lt;'Données projet'!$A$166,$DL$205^A19,IF(A19='Données projet'!$A$166,'Données projet'!$B$166,DO18+DN19-DW18)))</f>
        <v>61</v>
      </c>
      <c r="DP19" s="17">
        <f>DO19*VLOOKUP('Données projet'!$B$14,Paramètres!$A$1:$I$89,3,0)*VLOOKUP('Données projet'!$B$14,Paramètres!$A$1:$I$89,5,0)</f>
        <v>39.967199999999998</v>
      </c>
      <c r="DQ19" s="13">
        <f t="shared" si="43"/>
        <v>11.989952848060867</v>
      </c>
      <c r="DR19" s="20">
        <f t="shared" si="16"/>
        <v>90.492041210372676</v>
      </c>
      <c r="DS19" s="57">
        <f t="shared" si="17"/>
        <v>320.98934707452349</v>
      </c>
      <c r="DT19" s="57">
        <f ca="1">AVERAGE(OFFSET($DS$3,0,0,'Données projet'!$E$14+1,1))-AVERAGE(OFFSET($H$3,0,0,'Données projet'!$E$14+1,1))</f>
        <v>313.79279628660527</v>
      </c>
      <c r="DU19" s="57">
        <f t="shared" si="44"/>
        <v>317.45469955216254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57.529568265980529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14.666666666666666</v>
      </c>
      <c r="EJ19" s="12">
        <f>IF('Données projet'!$A$192&gt;35,EJ18+EI19-ER18,IF(A19&lt;'Données projet'!$A$192,$EG$205^A19,IF(A19='Données projet'!$A$192,'Données projet'!$B$192,EJ18+EI19-ER18)))</f>
        <v>23.666666666666664</v>
      </c>
      <c r="EK19" s="17">
        <f>EJ19*VLOOKUP('Données projet'!$B$15,Paramètres!$A$1:$I$89,3,0)*VLOOKUP('Données projet'!$B$15,Paramètres!$A$1:$I$89,5,0)</f>
        <v>20.306000000000001</v>
      </c>
      <c r="EL19" s="13">
        <f t="shared" si="45"/>
        <v>6.5912679745146567</v>
      </c>
      <c r="EM19" s="20">
        <f t="shared" si="19"/>
        <v>46.846075055613028</v>
      </c>
      <c r="EN19" s="57">
        <f t="shared" si="20"/>
        <v>277.34338091976383</v>
      </c>
      <c r="EO19" s="57">
        <f ca="1">AVERAGE(OFFSET($EN$3,0,0,'Données projet'!$E$15+1,1))-AVERAGE(OFFSET($H$3,0,0,'Données projet'!$E$15+1,1))</f>
        <v>643.04899298561475</v>
      </c>
      <c r="EP19" s="57">
        <f t="shared" si="46"/>
        <v>474.94999304483031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57.529568265980529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13.8</v>
      </c>
      <c r="FE19" s="12">
        <f>IF('Données projet'!$A$218&gt;35,FE18+FD19-FM18,IF(A19&lt;'Données projet'!$A$218,$FB$205^A19,IF(A19='Données projet'!$A$218,'Données projet'!$B$218,FE18+FD19-FM18)))</f>
        <v>46.8</v>
      </c>
      <c r="FF19" s="17">
        <f>FE19*VLOOKUP('Données projet'!$B$16,Paramètres!$A$1:$I$89,3,0)*VLOOKUP('Données projet'!$B$16,Paramètres!$A$1:$I$89,5,0)</f>
        <v>37.96416</v>
      </c>
      <c r="FG19" s="13">
        <f t="shared" si="47"/>
        <v>11.457417801534429</v>
      </c>
      <c r="FH19" s="20">
        <f t="shared" si="22"/>
        <v>86.075914671005776</v>
      </c>
      <c r="FI19" s="57">
        <f t="shared" si="23"/>
        <v>316.57322053515662</v>
      </c>
      <c r="FJ19" s="57">
        <f ca="1">AVERAGE(OFFSET($FI$3,0,0,'Données projet'!$E$16+1,1))-AVERAGE(OFFSET($H$3,0,0,'Données projet'!$E$16+1,1))</f>
        <v>375.34603719604439</v>
      </c>
      <c r="FK19" s="57">
        <f t="shared" si="48"/>
        <v>363.99476973672211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2.9821538081035928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2.9821538081035928</v>
      </c>
      <c r="FU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57.529568265980529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10.163529411764706</v>
      </c>
      <c r="FZ19" s="12">
        <f>IF('Données projet'!$A$244&gt;35,FZ18+FY19-GH18,IF(A19&lt;'Données projet'!$A$244,$FW$205^A19,IF(A19='Données projet'!$A$244,'Données projet'!$B$244,FZ18+FY19-GH18)))</f>
        <v>127.60750188013651</v>
      </c>
      <c r="GA19" s="17">
        <f>FZ19*VLOOKUP('Données projet'!$B$17,Paramètres!$A$1:$I$89,3,0)*VLOOKUP('Données projet'!$B$17,Paramètres!$A$1:$I$89,5,0)</f>
        <v>71.332593550996307</v>
      </c>
      <c r="GB19" s="13">
        <f t="shared" si="49"/>
        <v>20.004023432307392</v>
      </c>
      <c r="GC19" s="20">
        <f t="shared" si="25"/>
        <v>159.07794124592061</v>
      </c>
      <c r="GD19" s="57">
        <f t="shared" si="26"/>
        <v>389.57524711007147</v>
      </c>
      <c r="GE19" s="57">
        <f ca="1">AVERAGE(OFFSET($GD$3,0,0,'Données projet'!$E$17+1,1))-AVERAGE(OFFSET($H$3,0,0,'Données projet'!$E$17+1,1))</f>
        <v>414.47327143450701</v>
      </c>
      <c r="GF19" s="57">
        <f t="shared" si="50"/>
        <v>546.83385887302961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57.529568265980529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14.4</v>
      </c>
      <c r="GU19" s="12">
        <f>IF('Données projet'!$A$270&gt;35,GU18+GT19-HC18,IF(A19&lt;'Données projet'!$A$270,$GR$205^A19,IF(A19='Données projet'!$A$270,'Données projet'!$B$270,GU18+GT19-HC18)))</f>
        <v>82.399999999999991</v>
      </c>
      <c r="GV19" s="17">
        <f>GU19*VLOOKUP('Données projet'!$B$18,Paramètres!$A$1:$I$89,3,0)*VLOOKUP('Données projet'!$B$18,Paramètres!$A$1:$I$89,5,0)</f>
        <v>44.990400000000001</v>
      </c>
      <c r="GW19" s="13">
        <f t="shared" si="51"/>
        <v>13.312167338738384</v>
      </c>
      <c r="GX19" s="20">
        <f t="shared" si="28"/>
        <v>101.54363811496934</v>
      </c>
      <c r="GY19" s="57">
        <f t="shared" si="29"/>
        <v>332.04094397912019</v>
      </c>
      <c r="GZ19" s="57">
        <f ca="1">AVERAGE(OFFSET($GY$3,0,0,'Données projet'!$E$18+1,1))-AVERAGE(OFFSET($H$3,0,0,'Données projet'!$E$18+1,1))</f>
        <v>381.00532469288714</v>
      </c>
      <c r="HA19" s="57">
        <f t="shared" si="52"/>
        <v>314.875259641757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>
        <f>EXP(-LN(2)/35)*HG18+(1-EXP(-LN(2)/35))/(LN(2)/35)*HC19*HD19*VLOOKUP('Données projet'!$B$18,Paramètres!$A$1:$I$89,3,0)*0.475*44/12</f>
        <v>1.5338182231447177</v>
      </c>
      <c r="HH19" s="21">
        <f>EXP(-LN(2)/25)*HH18+(1-EXP(-LN(2)/25))/(LN(2)/25)*Calculateur!HC19*Calculateur!HE19*VLOOKUP('Données projet'!$B$18,Paramètres!$A$1:$I$89,3,0)*0.475*44/12</f>
        <v>3.4103795106638932</v>
      </c>
      <c r="HI19" s="21">
        <f>EXP(-LN(2)/2)*HI18+(1-EXP(-LN(2)/2))/(LN(2)/2)*HC19*HF19*VLOOKUP('Données projet'!$B$18,Paramètres!$A$1:$I$89,3,0)*0.475*44/12</f>
        <v>2.7539353041532051</v>
      </c>
      <c r="HJ19" s="22">
        <f t="shared" si="30"/>
        <v>7.6981330379618162</v>
      </c>
    </row>
    <row r="20" spans="1:218" x14ac:dyDescent="0.2">
      <c r="A20" s="10">
        <f t="shared" si="31"/>
        <v>17</v>
      </c>
      <c r="B20" s="71">
        <f>'Scénario référence'!$B$16*5+'Scénario référence'!$B$17*0+'Scénario référence'!$B$18*5</f>
        <v>3.3000000000000003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12.100000000000001</v>
      </c>
      <c r="H20" s="65">
        <f t="shared" si="1"/>
        <v>208.26666666666665</v>
      </c>
      <c r="I20" s="6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57.745902376857103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1.2</v>
      </c>
      <c r="N20" s="13">
        <f>IF('Données projet'!$A$36&gt;35,N19+M20-V19,IF(A20&lt;'Données projet'!$A$36,$K$205^A20,IF(A20='Données projet'!$A$36,'Données projet'!$B$36,N19+M20-V19)))</f>
        <v>10.102816228956828</v>
      </c>
      <c r="O20" s="13">
        <f>N20*VLOOKUP('Données projet'!$B$9,Paramètres!$A$1:$I$89,3,0)*VLOOKUP('Données projet'!$B$9,Paramètres!$A$1:$I$89,5,0)</f>
        <v>10.244255656162224</v>
      </c>
      <c r="P20" s="13">
        <f t="shared" si="33"/>
        <v>3.6009123769158946</v>
      </c>
      <c r="Q20" s="20">
        <f t="shared" si="2"/>
        <v>24.113667657611057</v>
      </c>
      <c r="R20" s="57">
        <f t="shared" si="0"/>
        <v>256.62642081719821</v>
      </c>
      <c r="S20" s="57">
        <f ca="1">AVERAGE(OFFSET($R$3,0,0,'Données projet'!$E$9+1,1))-AVERAGE(OFFSET($H$3,0,0,'Données projet'!$E$9+1,1))</f>
        <v>332.70145542047612</v>
      </c>
      <c r="T20" s="57">
        <f t="shared" si="34"/>
        <v>172.22433737900428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57.745902376857103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4.3352272727272725</v>
      </c>
      <c r="AI20" s="13">
        <f>IF('Données projet'!$A$62&gt;35,AI19+AH20-AQ19,IF(A20&lt;'Données projet'!$A$62,$AF$205^A20,IF(A20='Données projet'!$A$62,'Données projet'!$B$62,AI19+AH20-AQ19)))</f>
        <v>73.698863636363626</v>
      </c>
      <c r="AJ20" s="13">
        <f>AI20*VLOOKUP('Données projet'!$B$10,Paramètres!$A$1:$I$89,3,0)*VLOOKUP('Données projet'!$B$10,Paramètres!$A$1:$I$89,5,0)</f>
        <v>66.682731818181807</v>
      </c>
      <c r="AK20" s="13">
        <f t="shared" si="35"/>
        <v>18.847349778068896</v>
      </c>
      <c r="AL20" s="20">
        <f t="shared" si="4"/>
        <v>148.96489211346997</v>
      </c>
      <c r="AM20" s="57">
        <f t="shared" si="5"/>
        <v>381.47764527305714</v>
      </c>
      <c r="AN20" s="57">
        <f ca="1">AVERAGE(OFFSET($AM$3,0,0,'Données projet'!$E$10+1,1))-AVERAGE(OFFSET($H$3,0,0,'Données projet'!$E$10+1,1))</f>
        <v>469.4210143164521</v>
      </c>
      <c r="AO20" s="57">
        <f t="shared" si="36"/>
        <v>308.4508386530556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57.745902376857103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13.8</v>
      </c>
      <c r="BD20" s="12">
        <f>IF('Données projet'!$A$88&gt;35,BD19+BC20-BL19,IF(A20&lt;'Données projet'!$A$88,$BA$205^A20,IF(A20='Données projet'!$A$88,'Données projet'!$B$88,BD19+BC20-BL19)))</f>
        <v>60.599999999999994</v>
      </c>
      <c r="BE20" s="13">
        <f>BD20*VLOOKUP('Données projet'!$B$11,Paramètres!$A$1:$I$89,3,0)*VLOOKUP('Données projet'!$B$11,Paramètres!$A$1:$I$89,5,0)</f>
        <v>44.431919999999998</v>
      </c>
      <c r="BF20" s="13">
        <f t="shared" si="37"/>
        <v>13.166048117528</v>
      </c>
      <c r="BG20" s="20">
        <f t="shared" si="7"/>
        <v>100.31646113802792</v>
      </c>
      <c r="BH20" s="57">
        <f t="shared" si="8"/>
        <v>332.82921429761507</v>
      </c>
      <c r="BI20" s="57">
        <f ca="1">AVERAGE(OFFSET($BH$3,0,0,'Données projet'!$E$11+1,1))-AVERAGE(OFFSET($H$3,0,0,'Données projet'!$E$11+1,1))</f>
        <v>344.32981377462971</v>
      </c>
      <c r="BJ20" s="57">
        <f t="shared" si="38"/>
        <v>334.42512656625763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2.1439580439513342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2.1439580439513342</v>
      </c>
      <c r="BT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57.745902376857103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4.04</v>
      </c>
      <c r="BY20" s="12">
        <f>IF('Données projet'!$A$114&gt;35,BY19+BX20-CG19,IF(A20&lt;'Données projet'!$A$114,$BV$205^A20,IF(A20='Données projet'!$A$114,'Données projet'!$B$114,BY19+BX20-CG19)))</f>
        <v>23.064207372030612</v>
      </c>
      <c r="BZ20" s="13">
        <f>BY20*VLOOKUP('Données projet'!$B$12,Paramètres!$A$1:$I$89,3,0)*VLOOKUP('Données projet'!$B$12,Paramètres!$A$1:$I$89,5,0)</f>
        <v>21.947899735224329</v>
      </c>
      <c r="CA20" s="13">
        <f t="shared" si="39"/>
        <v>7.0600356002030074</v>
      </c>
      <c r="CB20" s="20">
        <f t="shared" si="10"/>
        <v>50.522154042535938</v>
      </c>
      <c r="CC20" s="57">
        <f t="shared" si="11"/>
        <v>283.03490720212312</v>
      </c>
      <c r="CD20" s="57">
        <f ca="1">AVERAGE(OFFSET($CC$3,0,0,'Données projet'!$E$12+1,1))-AVERAGE(OFFSET($H$3,0,0,'Données projet'!$E$12+1,1))</f>
        <v>498.77732039282807</v>
      </c>
      <c r="CE20" s="57">
        <f t="shared" si="40"/>
        <v>384.57317421826531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57.745902376857103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4.3352272727272725</v>
      </c>
      <c r="CT20" s="12">
        <f>IF('Données projet'!$A$140&gt;35,CT19+CS20-DB19,IF(A20&lt;'Données projet'!$A$140,$CQ$205^A20,IF(A20='Données projet'!$A$140,'Données projet'!$B$140,CT19+CS20-DB19)))</f>
        <v>73.698863636363626</v>
      </c>
      <c r="CU20" s="17">
        <f>CT20*VLOOKUP('Données projet'!$B$13,Paramètres!$A$1:$I$89,3,0)*VLOOKUP('Données projet'!$B$13,Paramètres!$A$1:$I$89,5,0)</f>
        <v>49.437197727272718</v>
      </c>
      <c r="CV20" s="13">
        <f t="shared" si="41"/>
        <v>14.468317904513652</v>
      </c>
      <c r="CW20" s="20">
        <f t="shared" si="13"/>
        <v>111.30210639202791</v>
      </c>
      <c r="CX20" s="57">
        <f t="shared" si="14"/>
        <v>343.81485955161509</v>
      </c>
      <c r="CY20" s="57">
        <f ca="1">AVERAGE(OFFSET($CX$3,0,0,'Données projet'!$E$13+1,1))-AVERAGE(OFFSET($H$3,0,0,'Données projet'!$E$13+1,1))</f>
        <v>365.99625753737246</v>
      </c>
      <c r="CZ20" s="57">
        <f t="shared" si="42"/>
        <v>242.84814712692287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57.745902376857103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14</v>
      </c>
      <c r="DO20" s="12">
        <f>IF('Données projet'!$A$166&gt;35,DO19+DN20-DW19,IF(A20&lt;'Données projet'!$A$166,$DL$205^A20,IF(A20='Données projet'!$A$166,'Données projet'!$B$166,DO19+DN20-DW19)))</f>
        <v>75</v>
      </c>
      <c r="DP20" s="17">
        <f>DO20*VLOOKUP('Données projet'!$B$14,Paramètres!$A$1:$I$89,3,0)*VLOOKUP('Données projet'!$B$14,Paramètres!$A$1:$I$89,5,0)</f>
        <v>49.14</v>
      </c>
      <c r="DQ20" s="13">
        <f t="shared" si="43"/>
        <v>14.391437147300868</v>
      </c>
      <c r="DR20" s="20">
        <f t="shared" si="16"/>
        <v>110.65058636488233</v>
      </c>
      <c r="DS20" s="57">
        <f t="shared" si="17"/>
        <v>343.16333952446951</v>
      </c>
      <c r="DT20" s="57">
        <f ca="1">AVERAGE(OFFSET($DS$3,0,0,'Données projet'!$E$14+1,1))-AVERAGE(OFFSET($H$3,0,0,'Données projet'!$E$14+1,1))</f>
        <v>313.79279628660527</v>
      </c>
      <c r="DU20" s="57">
        <f t="shared" si="44"/>
        <v>317.45469955216254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57.745902376857103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14.666666666666666</v>
      </c>
      <c r="EJ20" s="12">
        <f>IF('Données projet'!$A$192&gt;35,EJ19+EI20-ER19,IF(A20&lt;'Données projet'!$A$192,$EG$205^A20,IF(A20='Données projet'!$A$192,'Données projet'!$B$192,EJ19+EI20-ER19)))</f>
        <v>38.333333333333329</v>
      </c>
      <c r="EK20" s="17">
        <f>EJ20*VLOOKUP('Données projet'!$B$15,Paramètres!$A$1:$I$89,3,0)*VLOOKUP('Données projet'!$B$15,Paramètres!$A$1:$I$89,5,0)</f>
        <v>32.89</v>
      </c>
      <c r="EL20" s="13">
        <f t="shared" si="45"/>
        <v>10.093219160740325</v>
      </c>
      <c r="EM20" s="20">
        <f t="shared" si="19"/>
        <v>74.862440038289407</v>
      </c>
      <c r="EN20" s="57">
        <f t="shared" si="20"/>
        <v>307.37519319787657</v>
      </c>
      <c r="EO20" s="57">
        <f ca="1">AVERAGE(OFFSET($EN$3,0,0,'Données projet'!$E$15+1,1))-AVERAGE(OFFSET($H$3,0,0,'Données projet'!$E$15+1,1))</f>
        <v>643.04899298561475</v>
      </c>
      <c r="EP20" s="57">
        <f t="shared" si="46"/>
        <v>474.94999304483031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57.745902376857103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13.8</v>
      </c>
      <c r="FE20" s="12">
        <f>IF('Données projet'!$A$218&gt;35,FE19+FD20-FM19,IF(A20&lt;'Données projet'!$A$218,$FB$205^A20,IF(A20='Données projet'!$A$218,'Données projet'!$B$218,FE19+FD20-FM19)))</f>
        <v>60.599999999999994</v>
      </c>
      <c r="FF20" s="17">
        <f>FE20*VLOOKUP('Données projet'!$B$16,Paramètres!$A$1:$I$89,3,0)*VLOOKUP('Données projet'!$B$16,Paramètres!$A$1:$I$89,5,0)</f>
        <v>49.158719999999995</v>
      </c>
      <c r="FG20" s="13">
        <f t="shared" si="47"/>
        <v>14.396281334716242</v>
      </c>
      <c r="FH20" s="20">
        <f t="shared" si="22"/>
        <v>110.69162732463077</v>
      </c>
      <c r="FI20" s="57">
        <f t="shared" si="23"/>
        <v>343.20438048421795</v>
      </c>
      <c r="FJ20" s="57">
        <f ca="1">AVERAGE(OFFSET($FI$3,0,0,'Données projet'!$E$16+1,1))-AVERAGE(OFFSET($H$3,0,0,'Données projet'!$E$16+1,1))</f>
        <v>375.34603719604439</v>
      </c>
      <c r="FK20" s="57">
        <f t="shared" si="48"/>
        <v>363.99476973672211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2.9236755908608996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2.9236755908608996</v>
      </c>
      <c r="FU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57.745902376857103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>
        <f>VLOOKUP(A20,'Données projet'!$A$243:$I$263,2,0)</f>
        <v>172.78</v>
      </c>
      <c r="FX20" s="12">
        <f>VLOOKUP(A20,'Données projet'!$A$243:$I$263,9,0)</f>
        <v>10.163529411764706</v>
      </c>
      <c r="FY20" s="12">
        <f t="array" ref="FY20">INDEX(FX:FX,MIN(IF(ISNUMBER(FX20:FX216),ROW(FX20:FX216),"")))</f>
        <v>10.163529411764706</v>
      </c>
      <c r="FZ20" s="12">
        <f>IF('Données projet'!$A$244&gt;35,FZ19+FY20-GH19,IF(A20&lt;'Données projet'!$A$244,$FW$205^A20,IF(A20='Données projet'!$A$244,'Données projet'!$B$244,FZ19+FY20-GH19)))</f>
        <v>172.78</v>
      </c>
      <c r="GA20" s="17">
        <f>FZ20*VLOOKUP('Données projet'!$B$17,Paramètres!$A$1:$I$89,3,0)*VLOOKUP('Données projet'!$B$17,Paramètres!$A$1:$I$89,5,0)</f>
        <v>96.58402000000001</v>
      </c>
      <c r="GB20" s="13">
        <f t="shared" si="49"/>
        <v>26.146548535310259</v>
      </c>
      <c r="GC20" s="20">
        <f t="shared" si="25"/>
        <v>213.75574019899872</v>
      </c>
      <c r="GD20" s="57">
        <f t="shared" si="26"/>
        <v>446.26849335858589</v>
      </c>
      <c r="GE20" s="57">
        <f ca="1">AVERAGE(OFFSET($GD$3,0,0,'Données projet'!$E$17+1,1))-AVERAGE(OFFSET($H$3,0,0,'Données projet'!$E$17+1,1))</f>
        <v>414.47327143450701</v>
      </c>
      <c r="GF20" s="57">
        <f t="shared" si="50"/>
        <v>546.83385887302961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57.745902376857103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14.4</v>
      </c>
      <c r="GU20" s="12">
        <f>IF('Données projet'!$A$270&gt;35,GU19+GT20-HC19,IF(A20&lt;'Données projet'!$A$270,$GR$205^A20,IF(A20='Données projet'!$A$270,'Données projet'!$B$270,GU19+GT20-HC19)))</f>
        <v>96.8</v>
      </c>
      <c r="GV20" s="17">
        <f>GU20*VLOOKUP('Données projet'!$B$18,Paramètres!$A$1:$I$89,3,0)*VLOOKUP('Données projet'!$B$18,Paramètres!$A$1:$I$89,5,0)</f>
        <v>52.852800000000002</v>
      </c>
      <c r="GW20" s="13">
        <f t="shared" si="51"/>
        <v>15.348111645179451</v>
      </c>
      <c r="GX20" s="20">
        <f t="shared" si="28"/>
        <v>118.78325444868754</v>
      </c>
      <c r="GY20" s="57">
        <f t="shared" si="29"/>
        <v>351.29600760827469</v>
      </c>
      <c r="GZ20" s="57">
        <f ca="1">AVERAGE(OFFSET($GY$3,0,0,'Données projet'!$E$18+1,1))-AVERAGE(OFFSET($H$3,0,0,'Données projet'!$E$18+1,1))</f>
        <v>381.00532469288714</v>
      </c>
      <c r="HA20" s="57">
        <f t="shared" si="52"/>
        <v>314.875259641757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>
        <f>EXP(-LN(2)/35)*HG19+(1-EXP(-LN(2)/35))/(LN(2)/35)*HC20*HD20*VLOOKUP('Données projet'!$B$18,Paramètres!$A$1:$I$89,3,0)*0.475*44/12</f>
        <v>1.5037409833255893</v>
      </c>
      <c r="HH20" s="21">
        <f>EXP(-LN(2)/25)*HH19+(1-EXP(-LN(2)/25))/(LN(2)/25)*Calculateur!HC20*Calculateur!HE20*VLOOKUP('Données projet'!$B$18,Paramètres!$A$1:$I$89,3,0)*0.475*44/12</f>
        <v>3.317122503600725</v>
      </c>
      <c r="HI20" s="21">
        <f>EXP(-LN(2)/2)*HI19+(1-EXP(-LN(2)/2))/(LN(2)/2)*HC20*HF20*VLOOKUP('Données projet'!$B$18,Paramètres!$A$1:$I$89,3,0)*0.475*44/12</f>
        <v>1.9473263285157687</v>
      </c>
      <c r="HJ20" s="22">
        <f t="shared" si="30"/>
        <v>6.7681898154420832</v>
      </c>
    </row>
    <row r="21" spans="1:218" x14ac:dyDescent="0.2">
      <c r="A21" s="10">
        <f t="shared" si="31"/>
        <v>18</v>
      </c>
      <c r="B21" s="71">
        <f>'Scénario référence'!$B$16*5+'Scénario référence'!$B$17*0+'Scénario référence'!$B$18*5</f>
        <v>3.3000000000000003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12.100000000000001</v>
      </c>
      <c r="H21" s="65">
        <f t="shared" si="1"/>
        <v>208.26666666666665</v>
      </c>
      <c r="I21" s="6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57.95848357456056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1.2</v>
      </c>
      <c r="N21" s="13">
        <f>IF('Données projet'!$A$36&gt;35,N20+M21-V20,IF(A21&lt;'Données projet'!$A$36,$K$205^A21,IF(A21='Données projet'!$A$36,'Données projet'!$B$36,N20+M21-V20)))</f>
        <v>11.575168010312384</v>
      </c>
      <c r="O21" s="13">
        <f>N21*VLOOKUP('Données projet'!$B$9,Paramètres!$A$1:$I$89,3,0)*VLOOKUP('Données projet'!$B$9,Paramètres!$A$1:$I$89,5,0)</f>
        <v>11.737220362456757</v>
      </c>
      <c r="P21" s="13">
        <f t="shared" si="33"/>
        <v>4.0608778588863084</v>
      </c>
      <c r="Q21" s="20">
        <f t="shared" si="2"/>
        <v>27.515021068839172</v>
      </c>
      <c r="R21" s="57">
        <f t="shared" si="0"/>
        <v>262.02946084222788</v>
      </c>
      <c r="S21" s="57">
        <f ca="1">AVERAGE(OFFSET($R$3,0,0,'Données projet'!$E$9+1,1))-AVERAGE(OFFSET($H$3,0,0,'Données projet'!$E$9+1,1))</f>
        <v>332.70145542047612</v>
      </c>
      <c r="T21" s="57">
        <f t="shared" si="34"/>
        <v>172.22433737900428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57.95848357456056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4.3352272727272725</v>
      </c>
      <c r="AI21" s="13">
        <f>IF('Données projet'!$A$62&gt;35,AI20+AH21-AQ20,IF(A21&lt;'Données projet'!$A$62,$AF$205^A21,IF(A21='Données projet'!$A$62,'Données projet'!$B$62,AI20+AH21-AQ20)))</f>
        <v>78.034090909090892</v>
      </c>
      <c r="AJ21" s="13">
        <f>AI21*VLOOKUP('Données projet'!$B$10,Paramètres!$A$1:$I$89,3,0)*VLOOKUP('Données projet'!$B$10,Paramètres!$A$1:$I$89,5,0)</f>
        <v>70.605245454545425</v>
      </c>
      <c r="AK21" s="13">
        <f t="shared" si="35"/>
        <v>19.823685955910104</v>
      </c>
      <c r="AL21" s="20">
        <f t="shared" si="4"/>
        <v>157.4970555398767</v>
      </c>
      <c r="AM21" s="57">
        <f t="shared" si="5"/>
        <v>392.01149531326541</v>
      </c>
      <c r="AN21" s="57">
        <f ca="1">AVERAGE(OFFSET($AM$3,0,0,'Données projet'!$E$10+1,1))-AVERAGE(OFFSET($H$3,0,0,'Données projet'!$E$10+1,1))</f>
        <v>469.4210143164521</v>
      </c>
      <c r="AO21" s="57">
        <f t="shared" si="36"/>
        <v>308.4508386530556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57.95848357456056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13.8</v>
      </c>
      <c r="BD21" s="12">
        <f>IF('Données projet'!$A$88&gt;35,BD20+BC21-BL20,IF(A21&lt;'Données projet'!$A$88,$BA$205^A21,IF(A21='Données projet'!$A$88,'Données projet'!$B$88,BD20+BC21-BL20)))</f>
        <v>74.399999999999991</v>
      </c>
      <c r="BE21" s="13">
        <f>BD21*VLOOKUP('Données projet'!$B$11,Paramètres!$A$1:$I$89,3,0)*VLOOKUP('Données projet'!$B$11,Paramètres!$A$1:$I$89,5,0)</f>
        <v>54.550079999999994</v>
      </c>
      <c r="BF21" s="13">
        <f t="shared" si="37"/>
        <v>15.782815260920117</v>
      </c>
      <c r="BG21" s="20">
        <f t="shared" si="7"/>
        <v>122.49645924610253</v>
      </c>
      <c r="BH21" s="57">
        <f t="shared" si="8"/>
        <v>357.01089901949126</v>
      </c>
      <c r="BI21" s="57">
        <f ca="1">AVERAGE(OFFSET($BH$3,0,0,'Données projet'!$E$11+1,1))-AVERAGE(OFFSET($H$3,0,0,'Données projet'!$E$11+1,1))</f>
        <v>344.32981377462971</v>
      </c>
      <c r="BJ21" s="57">
        <f t="shared" si="38"/>
        <v>334.42512656625763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2.101916334394732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2.101916334394732</v>
      </c>
      <c r="BT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57.95848357456056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4.04</v>
      </c>
      <c r="BY21" s="12">
        <f>IF('Données projet'!$A$114&gt;35,BY20+BX21-CG20,IF(A21&lt;'Données projet'!$A$114,$BV$205^A21,IF(A21='Données projet'!$A$114,'Données projet'!$B$114,BY20+BX21-CG20)))</f>
        <v>27.740315051599463</v>
      </c>
      <c r="BZ21" s="13">
        <f>BY21*VLOOKUP('Données projet'!$B$12,Paramètres!$A$1:$I$89,3,0)*VLOOKUP('Données projet'!$B$12,Paramètres!$A$1:$I$89,5,0)</f>
        <v>26.397683803102048</v>
      </c>
      <c r="CA21" s="13">
        <f t="shared" si="39"/>
        <v>8.3108917498506756</v>
      </c>
      <c r="CB21" s="20">
        <f t="shared" si="10"/>
        <v>60.450769088059324</v>
      </c>
      <c r="CC21" s="57">
        <f t="shared" si="11"/>
        <v>294.96520886144805</v>
      </c>
      <c r="CD21" s="57">
        <f ca="1">AVERAGE(OFFSET($CC$3,0,0,'Données projet'!$E$12+1,1))-AVERAGE(OFFSET($H$3,0,0,'Données projet'!$E$12+1,1))</f>
        <v>498.77732039282807</v>
      </c>
      <c r="CE21" s="57">
        <f t="shared" si="40"/>
        <v>384.57317421826531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57.95848357456056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4.3352272727272725</v>
      </c>
      <c r="CT21" s="12">
        <f>IF('Données projet'!$A$140&gt;35,CT20+CS21-DB20,IF(A21&lt;'Données projet'!$A$140,$CQ$205^A21,IF(A21='Données projet'!$A$140,'Données projet'!$B$140,CT20+CS21-DB20)))</f>
        <v>78.034090909090892</v>
      </c>
      <c r="CU21" s="17">
        <f>CT21*VLOOKUP('Données projet'!$B$13,Paramètres!$A$1:$I$89,3,0)*VLOOKUP('Données projet'!$B$13,Paramètres!$A$1:$I$89,5,0)</f>
        <v>52.34526818181817</v>
      </c>
      <c r="CV21" s="13">
        <f t="shared" si="41"/>
        <v>15.217810133873218</v>
      </c>
      <c r="CW21" s="20">
        <f t="shared" si="13"/>
        <v>117.67236139982917</v>
      </c>
      <c r="CX21" s="57">
        <f t="shared" si="14"/>
        <v>352.18680117321787</v>
      </c>
      <c r="CY21" s="57">
        <f ca="1">AVERAGE(OFFSET($CX$3,0,0,'Données projet'!$E$13+1,1))-AVERAGE(OFFSET($H$3,0,0,'Données projet'!$E$13+1,1))</f>
        <v>365.99625753737246</v>
      </c>
      <c r="CZ21" s="57">
        <f t="shared" si="42"/>
        <v>242.84814712692287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57.95848357456056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14</v>
      </c>
      <c r="DO21" s="12">
        <f>IF('Données projet'!$A$166&gt;35,DO20+DN21-DW20,IF(A21&lt;'Données projet'!$A$166,$DL$205^A21,IF(A21='Données projet'!$A$166,'Données projet'!$B$166,DO20+DN21-DW20)))</f>
        <v>89</v>
      </c>
      <c r="DP21" s="17">
        <f>DO21*VLOOKUP('Données projet'!$B$14,Paramètres!$A$1:$I$89,3,0)*VLOOKUP('Données projet'!$B$14,Paramètres!$A$1:$I$89,5,0)</f>
        <v>58.312799999999996</v>
      </c>
      <c r="DQ21" s="13">
        <f t="shared" si="43"/>
        <v>16.740986371230957</v>
      </c>
      <c r="DR21" s="20">
        <f t="shared" si="16"/>
        <v>130.71867792989391</v>
      </c>
      <c r="DS21" s="57">
        <f t="shared" si="17"/>
        <v>365.23311770328263</v>
      </c>
      <c r="DT21" s="57">
        <f ca="1">AVERAGE(OFFSET($DS$3,0,0,'Données projet'!$E$14+1,1))-AVERAGE(OFFSET($H$3,0,0,'Données projet'!$E$14+1,1))</f>
        <v>313.79279628660527</v>
      </c>
      <c r="DU21" s="57">
        <f t="shared" si="44"/>
        <v>317.45469955216254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57.95848357456056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>
        <f>VLOOKUP(A21,'Données projet'!$A$191:$I$211,2,0)</f>
        <v>53</v>
      </c>
      <c r="EH21" s="12">
        <f>VLOOKUP(A21,'Données projet'!$A$191:$I$211,9,0)</f>
        <v>14.666666666666666</v>
      </c>
      <c r="EI21" s="12">
        <f t="array" ref="EI21">INDEX(EH:EH,MIN(IF(ISNUMBER(EH21:EH217),ROW(EH21:EH217),"")))</f>
        <v>14.666666666666666</v>
      </c>
      <c r="EJ21" s="12">
        <f>IF('Données projet'!$A$192&gt;35,EJ20+EI21-ER20,IF(A21&lt;'Données projet'!$A$192,$EG$205^A21,IF(A21='Données projet'!$A$192,'Données projet'!$B$192,EJ20+EI21-ER20)))</f>
        <v>52.999999999999993</v>
      </c>
      <c r="EK21" s="17">
        <f>EJ21*VLOOKUP('Données projet'!$B$15,Paramètres!$A$1:$I$89,3,0)*VLOOKUP('Données projet'!$B$15,Paramètres!$A$1:$I$89,5,0)</f>
        <v>45.473999999999997</v>
      </c>
      <c r="EL21" s="13">
        <f t="shared" si="45"/>
        <v>13.438524604437738</v>
      </c>
      <c r="EM21" s="20">
        <f t="shared" si="19"/>
        <v>102.60598035272905</v>
      </c>
      <c r="EN21" s="57">
        <f t="shared" si="20"/>
        <v>337.12042012611778</v>
      </c>
      <c r="EO21" s="57">
        <f ca="1">AVERAGE(OFFSET($EN$3,0,0,'Données projet'!$E$15+1,1))-AVERAGE(OFFSET($H$3,0,0,'Données projet'!$E$15+1,1))</f>
        <v>643.04899298561475</v>
      </c>
      <c r="EP21" s="57">
        <f t="shared" si="46"/>
        <v>474.94999304483031</v>
      </c>
      <c r="EQ21" s="15">
        <f>IF(ISNA(VLOOKUP(A21,'Données projet'!$A$191:$I$211,3,0)),0,VLOOKUP(A21,'Données projet'!$A$191:$I$211,3,0))</f>
        <v>2</v>
      </c>
      <c r="ER21" s="15">
        <f>IF(ISNA(VLOOKUP(A21,'Données projet'!$A$191:$I$211,4,0)),0,VLOOKUP(A21,'Données projet'!$A$191:$I$211,4,0))</f>
        <v>2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57.95848357456056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13.8</v>
      </c>
      <c r="FE21" s="12">
        <f>IF('Données projet'!$A$218&gt;35,FE20+FD21-FM20,IF(A21&lt;'Données projet'!$A$218,$FB$205^A21,IF(A21='Données projet'!$A$218,'Données projet'!$B$218,FE20+FD21-FM20)))</f>
        <v>74.399999999999991</v>
      </c>
      <c r="FF21" s="17">
        <f>FE21*VLOOKUP('Données projet'!$B$16,Paramètres!$A$1:$I$89,3,0)*VLOOKUP('Données projet'!$B$16,Paramètres!$A$1:$I$89,5,0)</f>
        <v>60.353279999999998</v>
      </c>
      <c r="FG21" s="13">
        <f t="shared" si="47"/>
        <v>17.257558739100197</v>
      </c>
      <c r="FH21" s="20">
        <f t="shared" si="22"/>
        <v>135.17221080393281</v>
      </c>
      <c r="FI21" s="57">
        <f t="shared" si="23"/>
        <v>369.68665057732153</v>
      </c>
      <c r="FJ21" s="57">
        <f ca="1">AVERAGE(OFFSET($FI$3,0,0,'Données projet'!$E$16+1,1))-AVERAGE(OFFSET($H$3,0,0,'Données projet'!$E$16+1,1))</f>
        <v>375.34603719604439</v>
      </c>
      <c r="FK21" s="57">
        <f t="shared" si="48"/>
        <v>363.99476973672211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2.8663440957901449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2.8663440957901449</v>
      </c>
      <c r="FU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57.95848357456056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>
        <f>VLOOKUP(A21,'Données projet'!$A$243:$I$263,2,0)</f>
        <v>202.31</v>
      </c>
      <c r="FX21" s="12">
        <f>VLOOKUP(A21,'Données projet'!$A$243:$I$263,9,0)</f>
        <v>29.53</v>
      </c>
      <c r="FY21" s="12">
        <f t="array" ref="FY21">INDEX(FX:FX,MIN(IF(ISNUMBER(FX21:FX217),ROW(FX21:FX217),"")))</f>
        <v>29.53</v>
      </c>
      <c r="FZ21" s="12">
        <f>IF('Données projet'!$A$244&gt;35,FZ20+FY21-GH20,IF(A21&lt;'Données projet'!$A$244,$FW$205^A21,IF(A21='Données projet'!$A$244,'Données projet'!$B$244,FZ20+FY21-GH20)))</f>
        <v>202.31</v>
      </c>
      <c r="GA21" s="17">
        <f>FZ21*VLOOKUP('Données projet'!$B$17,Paramètres!$A$1:$I$89,3,0)*VLOOKUP('Données projet'!$B$17,Paramètres!$A$1:$I$89,5,0)</f>
        <v>113.09129000000001</v>
      </c>
      <c r="GB21" s="13">
        <f t="shared" si="49"/>
        <v>30.05813764305373</v>
      </c>
      <c r="GC21" s="20">
        <f t="shared" si="25"/>
        <v>249.31858647831859</v>
      </c>
      <c r="GD21" s="57">
        <f t="shared" si="26"/>
        <v>483.83302625170734</v>
      </c>
      <c r="GE21" s="57">
        <f ca="1">AVERAGE(OFFSET($GD$3,0,0,'Données projet'!$E$17+1,1))-AVERAGE(OFFSET($H$3,0,0,'Données projet'!$E$17+1,1))</f>
        <v>414.47327143450701</v>
      </c>
      <c r="GF21" s="57">
        <f t="shared" si="50"/>
        <v>546.83385887302961</v>
      </c>
      <c r="GG21" s="15">
        <f>IF(ISNA(VLOOKUP(A21,'Données projet'!$A$243:$I$263,3,0)),0,VLOOKUP(A21,'Données projet'!$A$243:$I$263,3,0))</f>
        <v>1</v>
      </c>
      <c r="GH21" s="15">
        <f>IF(ISNA(VLOOKUP(A21,'Données projet'!$A$243:$I$263,4,0)),0,VLOOKUP(A21,'Données projet'!$A$243:$I$263,4,0))</f>
        <v>74.819999999999993</v>
      </c>
      <c r="GI21" s="16">
        <f>IF(ISNA(VLOOKUP(A21,'Données projet'!$A$243:$I$263,5,0)),0%,VLOOKUP(A21,'Données projet'!$A$243:$I$263,5,0)*VLOOKUP('Données projet'!$B$17,Paramètres!$A$1:$I$89,7,0))</f>
        <v>0.11000000000000001</v>
      </c>
      <c r="GJ21" s="16">
        <f>IF(ISNA(VLOOKUP(A21,'Données projet'!$A$243:$I$263,6,0)),0%,VLOOKUP(A21,'Données projet'!$A$243:$I$263,6,0)*VLOOKUP('Données projet'!$B$17,Paramètres!$A$1:$I$89,7,0))</f>
        <v>0.24750000000000003</v>
      </c>
      <c r="GK21" s="16">
        <f>IF(ISNA(VLOOKUP(A21,'Données projet'!$A$243:$I$263,7,0)),0%,VLOOKUP(A21,'Données projet'!$A$243:$I$263,7,0))</f>
        <v>0.35</v>
      </c>
      <c r="GL21" s="21">
        <f>EXP(-LN(2)/35)*GL20+(1-EXP(-LN(2)/35))/(LN(2)/35)*GH21*GI21*VLOOKUP('Données projet'!$B$17,Paramètres!$A$1:$I$89,3,0)*0.475*44/12</f>
        <v>6.1031009466676034</v>
      </c>
      <c r="GM21" s="21">
        <f>EXP(-LN(2)/25)*GM20+(1-EXP(-LN(2)/25))/(LN(2)/25)*Calculateur!GH21*Calculateur!GJ21*VLOOKUP('Données projet'!$B$17,Paramètres!$A$1:$I$89,3,0)*0.475*44/12</f>
        <v>13.677909103747799</v>
      </c>
      <c r="GN21" s="21">
        <f>EXP(-LN(2)/2)*GN20+(1-EXP(-LN(2)/2))/(LN(2)/2)*GH21*GK21*VLOOKUP('Données projet'!$B$17,Paramètres!$A$1:$I$89,3,0)*0.475*44/12</f>
        <v>16.574219851006983</v>
      </c>
      <c r="GO21" s="21">
        <f t="shared" si="27"/>
        <v>36.355229901422391</v>
      </c>
      <c r="GP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57.95848357456056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14.4</v>
      </c>
      <c r="GU21" s="12">
        <f>IF('Données projet'!$A$270&gt;35,GU20+GT21-HC20,IF(A21&lt;'Données projet'!$A$270,$GR$205^A21,IF(A21='Données projet'!$A$270,'Données projet'!$B$270,GU20+GT21-HC20)))</f>
        <v>111.2</v>
      </c>
      <c r="GV21" s="17">
        <f>GU21*VLOOKUP('Données projet'!$B$18,Paramètres!$A$1:$I$89,3,0)*VLOOKUP('Données projet'!$B$18,Paramètres!$A$1:$I$89,5,0)</f>
        <v>60.715200000000003</v>
      </c>
      <c r="GW21" s="13">
        <f t="shared" si="51"/>
        <v>17.348969118606831</v>
      </c>
      <c r="GX21" s="20">
        <f t="shared" si="28"/>
        <v>135.96176121490689</v>
      </c>
      <c r="GY21" s="57">
        <f t="shared" si="29"/>
        <v>370.4762009882956</v>
      </c>
      <c r="GZ21" s="57">
        <f ca="1">AVERAGE(OFFSET($GY$3,0,0,'Données projet'!$E$18+1,1))-AVERAGE(OFFSET($H$3,0,0,'Données projet'!$E$18+1,1))</f>
        <v>381.00532469288714</v>
      </c>
      <c r="HA21" s="57">
        <f t="shared" si="52"/>
        <v>314.875259641757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>
        <f>EXP(-LN(2)/35)*HG20+(1-EXP(-LN(2)/35))/(LN(2)/35)*HC21*HD21*VLOOKUP('Données projet'!$B$18,Paramètres!$A$1:$I$89,3,0)*0.475*44/12</f>
        <v>1.4742535398340091</v>
      </c>
      <c r="HH21" s="21">
        <f>EXP(-LN(2)/25)*HH20+(1-EXP(-LN(2)/25))/(LN(2)/25)*Calculateur!HC21*Calculateur!HE21*VLOOKUP('Données projet'!$B$18,Paramètres!$A$1:$I$89,3,0)*0.475*44/12</f>
        <v>3.2264156142998721</v>
      </c>
      <c r="HI21" s="21">
        <f>EXP(-LN(2)/2)*HI20+(1-EXP(-LN(2)/2))/(LN(2)/2)*HC21*HF21*VLOOKUP('Données projet'!$B$18,Paramètres!$A$1:$I$89,3,0)*0.475*44/12</f>
        <v>1.3769676520766028</v>
      </c>
      <c r="HJ21" s="22">
        <f t="shared" si="30"/>
        <v>6.0776368062104842</v>
      </c>
    </row>
    <row r="22" spans="1:218" x14ac:dyDescent="0.2">
      <c r="A22" s="10">
        <f t="shared" si="31"/>
        <v>19</v>
      </c>
      <c r="B22" s="71">
        <f>'Scénario référence'!$B$16*5+'Scénario référence'!$B$17*0+'Scénario référence'!$B$18*5</f>
        <v>3.3000000000000003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12.100000000000001</v>
      </c>
      <c r="H22" s="65">
        <f t="shared" si="1"/>
        <v>208.26666666666665</v>
      </c>
      <c r="I22" s="6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58.167376963744246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1.2</v>
      </c>
      <c r="N22" s="13">
        <f>IF('Données projet'!$A$36&gt;35,N21+M22-V21,IF(A22&lt;'Données projet'!$A$36,$K$205^A22,IF(A22='Données projet'!$A$36,'Données projet'!$B$36,N21+M22-V21)))</f>
        <v>13.262095581124292</v>
      </c>
      <c r="O22" s="13">
        <f>N22*VLOOKUP('Données projet'!$B$9,Paramètres!$A$1:$I$89,3,0)*VLOOKUP('Données projet'!$B$9,Paramètres!$A$1:$I$89,5,0)</f>
        <v>13.447764919260033</v>
      </c>
      <c r="P22" s="13">
        <f t="shared" si="33"/>
        <v>4.5795974071762906</v>
      </c>
      <c r="Q22" s="20">
        <f t="shared" si="2"/>
        <v>31.397656051876599</v>
      </c>
      <c r="R22" s="57">
        <f t="shared" si="0"/>
        <v>267.90026047449436</v>
      </c>
      <c r="S22" s="57">
        <f ca="1">AVERAGE(OFFSET($R$3,0,0,'Données projet'!$E$9+1,1))-AVERAGE(OFFSET($H$3,0,0,'Données projet'!$E$9+1,1))</f>
        <v>332.70145542047612</v>
      </c>
      <c r="T22" s="57">
        <f t="shared" si="34"/>
        <v>172.22433737900428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58.167376963744246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4.3352272727272725</v>
      </c>
      <c r="AI22" s="13">
        <f>IF('Données projet'!$A$62&gt;35,AI21+AH22-AQ21,IF(A22&lt;'Données projet'!$A$62,$AF$205^A22,IF(A22='Données projet'!$A$62,'Données projet'!$B$62,AI21+AH22-AQ21)))</f>
        <v>82.369318181818159</v>
      </c>
      <c r="AJ22" s="13">
        <f>AI22*VLOOKUP('Données projet'!$B$10,Paramètres!$A$1:$I$89,3,0)*VLOOKUP('Données projet'!$B$10,Paramètres!$A$1:$I$89,5,0)</f>
        <v>74.527759090909072</v>
      </c>
      <c r="AK22" s="13">
        <f t="shared" si="35"/>
        <v>20.793725444267654</v>
      </c>
      <c r="AL22" s="20">
        <f t="shared" si="4"/>
        <v>166.01825223209946</v>
      </c>
      <c r="AM22" s="57">
        <f t="shared" si="5"/>
        <v>402.52085665471725</v>
      </c>
      <c r="AN22" s="57">
        <f ca="1">AVERAGE(OFFSET($AM$3,0,0,'Données projet'!$E$10+1,1))-AVERAGE(OFFSET($H$3,0,0,'Données projet'!$E$10+1,1))</f>
        <v>469.4210143164521</v>
      </c>
      <c r="AO22" s="57">
        <f t="shared" si="36"/>
        <v>308.4508386530556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58.167376963744246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13.8</v>
      </c>
      <c r="BD22" s="12">
        <f>IF('Données projet'!$A$88&gt;35,BD21+BC22-BL21,IF(A22&lt;'Données projet'!$A$88,$BA$205^A22,IF(A22='Données projet'!$A$88,'Données projet'!$B$88,BD21+BC22-BL21)))</f>
        <v>88.199999999999989</v>
      </c>
      <c r="BE22" s="13">
        <f>BD22*VLOOKUP('Données projet'!$B$11,Paramètres!$A$1:$I$89,3,0)*VLOOKUP('Données projet'!$B$11,Paramètres!$A$1:$I$89,5,0)</f>
        <v>64.668239999999997</v>
      </c>
      <c r="BF22" s="13">
        <f t="shared" si="37"/>
        <v>18.34335069187722</v>
      </c>
      <c r="BG22" s="20">
        <f t="shared" si="7"/>
        <v>144.57852045501949</v>
      </c>
      <c r="BH22" s="57">
        <f t="shared" si="8"/>
        <v>381.08112487763725</v>
      </c>
      <c r="BI22" s="57">
        <f ca="1">AVERAGE(OFFSET($BH$3,0,0,'Données projet'!$E$11+1,1))-AVERAGE(OFFSET($H$3,0,0,'Données projet'!$E$11+1,1))</f>
        <v>344.32981377462971</v>
      </c>
      <c r="BJ22" s="57">
        <f t="shared" si="38"/>
        <v>334.42512656625763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2.0606990371196243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2.0606990371196243</v>
      </c>
      <c r="BT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58.167376963744246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4.04</v>
      </c>
      <c r="BY22" s="12">
        <f>IF('Données projet'!$A$114&gt;35,BY21+BX22-CG21,IF(A22&lt;'Données projet'!$A$114,$BV$205^A22,IF(A22='Données projet'!$A$114,'Données projet'!$B$114,BY21+BX22-CG21)))</f>
        <v>33.364471050289794</v>
      </c>
      <c r="BZ22" s="13">
        <f>BY22*VLOOKUP('Données projet'!$B$12,Paramètres!$A$1:$I$89,3,0)*VLOOKUP('Données projet'!$B$12,Paramètres!$A$1:$I$89,5,0)</f>
        <v>31.749630651455767</v>
      </c>
      <c r="CA22" s="13">
        <f t="shared" si="39"/>
        <v>9.7833673353927484</v>
      </c>
      <c r="CB22" s="20">
        <f t="shared" si="10"/>
        <v>72.336638160427825</v>
      </c>
      <c r="CC22" s="57">
        <f t="shared" si="11"/>
        <v>308.83924258304557</v>
      </c>
      <c r="CD22" s="57">
        <f ca="1">AVERAGE(OFFSET($CC$3,0,0,'Données projet'!$E$12+1,1))-AVERAGE(OFFSET($H$3,0,0,'Données projet'!$E$12+1,1))</f>
        <v>498.77732039282807</v>
      </c>
      <c r="CE22" s="57">
        <f t="shared" si="40"/>
        <v>384.57317421826531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58.167376963744246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4.3352272727272725</v>
      </c>
      <c r="CT22" s="12">
        <f>IF('Données projet'!$A$140&gt;35,CT21+CS22-DB21,IF(A22&lt;'Données projet'!$A$140,$CQ$205^A22,IF(A22='Données projet'!$A$140,'Données projet'!$B$140,CT21+CS22-DB21)))</f>
        <v>82.369318181818159</v>
      </c>
      <c r="CU22" s="17">
        <f>CT22*VLOOKUP('Données projet'!$B$13,Paramètres!$A$1:$I$89,3,0)*VLOOKUP('Données projet'!$B$13,Paramètres!$A$1:$I$89,5,0)</f>
        <v>55.253338636363623</v>
      </c>
      <c r="CV22" s="13">
        <f t="shared" si="41"/>
        <v>15.962468659488314</v>
      </c>
      <c r="CW22" s="20">
        <f t="shared" si="13"/>
        <v>124.03419770694211</v>
      </c>
      <c r="CX22" s="57">
        <f t="shared" si="14"/>
        <v>360.53680212955987</v>
      </c>
      <c r="CY22" s="57">
        <f ca="1">AVERAGE(OFFSET($CX$3,0,0,'Données projet'!$E$13+1,1))-AVERAGE(OFFSET($H$3,0,0,'Données projet'!$E$13+1,1))</f>
        <v>365.99625753737246</v>
      </c>
      <c r="CZ22" s="57">
        <f t="shared" si="42"/>
        <v>242.84814712692287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58.167376963744246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14</v>
      </c>
      <c r="DO22" s="12">
        <f>IF('Données projet'!$A$166&gt;35,DO21+DN22-DW21,IF(A22&lt;'Données projet'!$A$166,$DL$205^A22,IF(A22='Données projet'!$A$166,'Données projet'!$B$166,DO21+DN22-DW21)))</f>
        <v>103</v>
      </c>
      <c r="DP22" s="17">
        <f>DO22*VLOOKUP('Données projet'!$B$14,Paramètres!$A$1:$I$89,3,0)*VLOOKUP('Données projet'!$B$14,Paramètres!$A$1:$I$89,5,0)</f>
        <v>67.485600000000005</v>
      </c>
      <c r="DQ22" s="13">
        <f t="shared" si="43"/>
        <v>19.047720279466478</v>
      </c>
      <c r="DR22" s="20">
        <f t="shared" si="16"/>
        <v>150.71219948673746</v>
      </c>
      <c r="DS22" s="57">
        <f t="shared" si="17"/>
        <v>387.21480390935523</v>
      </c>
      <c r="DT22" s="57">
        <f ca="1">AVERAGE(OFFSET($DS$3,0,0,'Données projet'!$E$14+1,1))-AVERAGE(OFFSET($H$3,0,0,'Données projet'!$E$14+1,1))</f>
        <v>313.79279628660527</v>
      </c>
      <c r="DU22" s="57">
        <f t="shared" si="44"/>
        <v>317.45469955216254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58.167376963744246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20</v>
      </c>
      <c r="EJ22" s="12">
        <f>IF('Données projet'!$A$192&gt;35,EJ21+EI22-ER21,IF(A22&lt;'Données projet'!$A$192,$EG$205^A22,IF(A22='Données projet'!$A$192,'Données projet'!$B$192,EJ21+EI22-ER21)))</f>
        <v>71</v>
      </c>
      <c r="EK22" s="17">
        <f>EJ22*VLOOKUP('Données projet'!$B$15,Paramètres!$A$1:$I$89,3,0)*VLOOKUP('Données projet'!$B$15,Paramètres!$A$1:$I$89,5,0)</f>
        <v>60.918000000000006</v>
      </c>
      <c r="EL22" s="13">
        <f t="shared" si="45"/>
        <v>17.400162706980499</v>
      </c>
      <c r="EM22" s="20">
        <f t="shared" si="19"/>
        <v>136.40413338132439</v>
      </c>
      <c r="EN22" s="57">
        <f t="shared" si="20"/>
        <v>372.90673780394218</v>
      </c>
      <c r="EO22" s="57">
        <f ca="1">AVERAGE(OFFSET($EN$3,0,0,'Données projet'!$E$15+1,1))-AVERAGE(OFFSET($H$3,0,0,'Données projet'!$E$15+1,1))</f>
        <v>643.04899298561475</v>
      </c>
      <c r="EP22" s="57">
        <f t="shared" si="46"/>
        <v>474.94999304483031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58.167376963744246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13.8</v>
      </c>
      <c r="FE22" s="12">
        <f>IF('Données projet'!$A$218&gt;35,FE21+FD22-FM21,IF(A22&lt;'Données projet'!$A$218,$FB$205^A22,IF(A22='Données projet'!$A$218,'Données projet'!$B$218,FE21+FD22-FM21)))</f>
        <v>88.199999999999989</v>
      </c>
      <c r="FF22" s="17">
        <f>FE22*VLOOKUP('Données projet'!$B$16,Paramètres!$A$1:$I$89,3,0)*VLOOKUP('Données projet'!$B$16,Paramètres!$A$1:$I$89,5,0)</f>
        <v>71.547839999999994</v>
      </c>
      <c r="FG22" s="13">
        <f t="shared" si="47"/>
        <v>20.05735014974319</v>
      </c>
      <c r="FH22" s="20">
        <f t="shared" si="22"/>
        <v>159.54570617746938</v>
      </c>
      <c r="FI22" s="57">
        <f t="shared" si="23"/>
        <v>396.04831060008712</v>
      </c>
      <c r="FJ22" s="57">
        <f ca="1">AVERAGE(OFFSET($FI$3,0,0,'Données projet'!$E$16+1,1))-AVERAGE(OFFSET($H$3,0,0,'Données projet'!$E$16+1,1))</f>
        <v>375.34603719604439</v>
      </c>
      <c r="FK22" s="57">
        <f t="shared" si="48"/>
        <v>363.99476973672211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2.8101368363689687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2.8101368363689687</v>
      </c>
      <c r="FU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58.167376963744246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>
        <f>VLOOKUP(A22,'Données projet'!$A$243:$I$263,2,0)</f>
        <v>150.35</v>
      </c>
      <c r="FX22" s="12">
        <f>VLOOKUP(A22,'Données projet'!$A$243:$I$263,9,0)</f>
        <v>22.859999999999985</v>
      </c>
      <c r="FY22" s="12">
        <f t="array" ref="FY22">INDEX(FX:FX,MIN(IF(ISNUMBER(FX22:FX218),ROW(FX22:FX218),"")))</f>
        <v>22.859999999999985</v>
      </c>
      <c r="FZ22" s="12">
        <f>IF('Données projet'!$A$244&gt;35,FZ21+FY22-GH21,IF(A22&lt;'Données projet'!$A$244,$FW$205^A22,IF(A22='Données projet'!$A$244,'Données projet'!$B$244,FZ21+FY22-GH21)))</f>
        <v>150.35</v>
      </c>
      <c r="GA22" s="17">
        <f>FZ22*VLOOKUP('Données projet'!$B$17,Paramètres!$A$1:$I$89,3,0)*VLOOKUP('Données projet'!$B$17,Paramètres!$A$1:$I$89,5,0)</f>
        <v>84.045649999999995</v>
      </c>
      <c r="GB22" s="13">
        <f t="shared" si="49"/>
        <v>23.123508581543572</v>
      </c>
      <c r="GC22" s="20">
        <f t="shared" si="25"/>
        <v>186.65295119618835</v>
      </c>
      <c r="GD22" s="57">
        <f t="shared" si="26"/>
        <v>423.15555561880615</v>
      </c>
      <c r="GE22" s="57">
        <f ca="1">AVERAGE(OFFSET($GD$3,0,0,'Données projet'!$E$17+1,1))-AVERAGE(OFFSET($H$3,0,0,'Données projet'!$E$17+1,1))</f>
        <v>414.47327143450701</v>
      </c>
      <c r="GF22" s="57">
        <f t="shared" si="50"/>
        <v>546.83385887302961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5.9834228596274608</v>
      </c>
      <c r="GM22" s="21">
        <f>EXP(-LN(2)/25)*GM21+(1-EXP(-LN(2)/25))/(LN(2)/25)*Calculateur!GH22*Calculateur!GJ22*VLOOKUP('Données projet'!$B$17,Paramètres!$A$1:$I$89,3,0)*0.475*44/12</f>
        <v>13.303885960015837</v>
      </c>
      <c r="GN22" s="21">
        <f>EXP(-LN(2)/2)*GN21+(1-EXP(-LN(2)/2))/(LN(2)/2)*GH22*GK22*VLOOKUP('Données projet'!$B$17,Paramètres!$A$1:$I$89,3,0)*0.475*44/12</f>
        <v>11.719743249523727</v>
      </c>
      <c r="GO22" s="21">
        <f t="shared" si="27"/>
        <v>31.007052069167024</v>
      </c>
      <c r="GP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58.167376963744246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14.4</v>
      </c>
      <c r="GU22" s="12">
        <f>IF('Données projet'!$A$270&gt;35,GU21+GT22-HC21,IF(A22&lt;'Données projet'!$A$270,$GR$205^A22,IF(A22='Données projet'!$A$270,'Données projet'!$B$270,GU21+GT22-HC21)))</f>
        <v>125.60000000000001</v>
      </c>
      <c r="GV22" s="17">
        <f>GU22*VLOOKUP('Données projet'!$B$18,Paramètres!$A$1:$I$89,3,0)*VLOOKUP('Données projet'!$B$18,Paramètres!$A$1:$I$89,5,0)</f>
        <v>68.577600000000004</v>
      </c>
      <c r="GW22" s="13">
        <f t="shared" si="51"/>
        <v>19.319804585752038</v>
      </c>
      <c r="GX22" s="20">
        <f t="shared" si="28"/>
        <v>153.08797965351815</v>
      </c>
      <c r="GY22" s="57">
        <f t="shared" si="29"/>
        <v>389.59058407613588</v>
      </c>
      <c r="GZ22" s="57">
        <f ca="1">AVERAGE(OFFSET($GY$3,0,0,'Données projet'!$E$18+1,1))-AVERAGE(OFFSET($H$3,0,0,'Données projet'!$E$18+1,1))</f>
        <v>381.00532469288714</v>
      </c>
      <c r="HA22" s="57">
        <f t="shared" si="52"/>
        <v>314.875259641757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>
        <f>EXP(-LN(2)/35)*HG21+(1-EXP(-LN(2)/35))/(LN(2)/35)*HC22*HD22*VLOOKUP('Données projet'!$B$18,Paramètres!$A$1:$I$89,3,0)*0.475*44/12</f>
        <v>1.4453443271237343</v>
      </c>
      <c r="HH22" s="21">
        <f>EXP(-LN(2)/25)*HH21+(1-EXP(-LN(2)/25))/(LN(2)/25)*Calculateur!HC22*Calculateur!HE22*VLOOKUP('Données projet'!$B$18,Paramètres!$A$1:$I$89,3,0)*0.475*44/12</f>
        <v>3.1381891096570191</v>
      </c>
      <c r="HI22" s="21">
        <f>EXP(-LN(2)/2)*HI21+(1-EXP(-LN(2)/2))/(LN(2)/2)*HC22*HF22*VLOOKUP('Données projet'!$B$18,Paramètres!$A$1:$I$89,3,0)*0.475*44/12</f>
        <v>0.97366316425788457</v>
      </c>
      <c r="HJ22" s="22">
        <f t="shared" si="30"/>
        <v>5.5571966010386378</v>
      </c>
    </row>
    <row r="23" spans="1:218" x14ac:dyDescent="0.2">
      <c r="A23" s="10">
        <f t="shared" si="31"/>
        <v>20</v>
      </c>
      <c r="B23" s="71">
        <f>'Scénario référence'!$B$16*5+'Scénario référence'!$B$17*0+'Scénario référence'!$B$18*5</f>
        <v>3.3000000000000003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12.100000000000001</v>
      </c>
      <c r="H23" s="65">
        <f t="shared" si="1"/>
        <v>208.26666666666665</v>
      </c>
      <c r="I23" s="6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58.372646519641236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1.2</v>
      </c>
      <c r="N23" s="13">
        <f>IF('Données projet'!$A$36&gt;35,N22+M23-V22,IF(A23&lt;'Données projet'!$A$36,$K$205^A23,IF(A23='Données projet'!$A$36,'Données projet'!$B$36,N22+M23-V22)))</f>
        <v>15.194870523363559</v>
      </c>
      <c r="O23" s="13">
        <f>N23*VLOOKUP('Données projet'!$B$9,Paramètres!$A$1:$I$89,3,0)*VLOOKUP('Données projet'!$B$9,Paramètres!$A$1:$I$89,5,0)</f>
        <v>15.407598710690648</v>
      </c>
      <c r="P23" s="13">
        <f t="shared" si="33"/>
        <v>5.1645760204094255</v>
      </c>
      <c r="Q23" s="20">
        <f t="shared" si="2"/>
        <v>35.829870989999293</v>
      </c>
      <c r="R23" s="57">
        <f t="shared" si="0"/>
        <v>274.30735267312826</v>
      </c>
      <c r="S23" s="57">
        <f ca="1">AVERAGE(OFFSET($R$3,0,0,'Données projet'!$E$9+1,1))-AVERAGE(OFFSET($H$3,0,0,'Données projet'!$E$9+1,1))</f>
        <v>332.70145542047612</v>
      </c>
      <c r="T23" s="57">
        <f t="shared" si="34"/>
        <v>172.22433737900428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58.372646519641236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4.3352272727272725</v>
      </c>
      <c r="AI23" s="13">
        <f>IF('Données projet'!$A$62&gt;35,AI22+AH23-AQ22,IF(A23&lt;'Données projet'!$A$62,$AF$205^A23,IF(A23='Données projet'!$A$62,'Données projet'!$B$62,AI22+AH23-AQ22)))</f>
        <v>86.704545454545425</v>
      </c>
      <c r="AJ23" s="13">
        <f>AI23*VLOOKUP('Données projet'!$B$10,Paramètres!$A$1:$I$89,3,0)*VLOOKUP('Données projet'!$B$10,Paramètres!$A$1:$I$89,5,0)</f>
        <v>78.450272727272704</v>
      </c>
      <c r="AK23" s="13">
        <f t="shared" si="35"/>
        <v>21.757837441954852</v>
      </c>
      <c r="AL23" s="20">
        <f t="shared" si="4"/>
        <v>174.52912521140465</v>
      </c>
      <c r="AM23" s="57">
        <f t="shared" si="5"/>
        <v>413.00660689453366</v>
      </c>
      <c r="AN23" s="57">
        <f ca="1">AVERAGE(OFFSET($AM$3,0,0,'Données projet'!$E$10+1,1))-AVERAGE(OFFSET($H$3,0,0,'Données projet'!$E$10+1,1))</f>
        <v>469.4210143164521</v>
      </c>
      <c r="AO23" s="57">
        <f t="shared" si="36"/>
        <v>308.4508386530556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58.372646519641236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102</v>
      </c>
      <c r="BB23" s="12">
        <f>VLOOKUP(A23,'Données projet'!$A$87:$I$107,9,0)</f>
        <v>13.8</v>
      </c>
      <c r="BC23" s="12">
        <f t="array" ref="BC23">INDEX(BB:BB,MIN(IF(ISNUMBER(BB23:BB219),ROW(BB23:BB219),"")))</f>
        <v>13.8</v>
      </c>
      <c r="BD23" s="12">
        <f>IF('Données projet'!$A$88&gt;35,BD22+BC23-BL22,IF(A23&lt;'Données projet'!$A$88,$BA$205^A23,IF(A23='Données projet'!$A$88,'Données projet'!$B$88,BD22+BC23-BL22)))</f>
        <v>101.99999999999999</v>
      </c>
      <c r="BE23" s="13">
        <f>BD23*VLOOKUP('Données projet'!$B$11,Paramètres!$A$1:$I$89,3,0)*VLOOKUP('Données projet'!$B$11,Paramètres!$A$1:$I$89,5,0)</f>
        <v>74.786399999999986</v>
      </c>
      <c r="BF23" s="13">
        <f t="shared" si="37"/>
        <v>20.857475351088951</v>
      </c>
      <c r="BG23" s="20">
        <f t="shared" si="7"/>
        <v>166.57974956981323</v>
      </c>
      <c r="BH23" s="57">
        <f t="shared" si="8"/>
        <v>405.05723125294219</v>
      </c>
      <c r="BI23" s="57">
        <f ca="1">AVERAGE(OFFSET($BH$3,0,0,'Données projet'!$E$11+1,1))-AVERAGE(OFFSET($H$3,0,0,'Données projet'!$E$11+1,1))</f>
        <v>344.32981377462971</v>
      </c>
      <c r="BJ23" s="57">
        <f t="shared" si="38"/>
        <v>334.42512656625763</v>
      </c>
      <c r="BK23" s="15">
        <f>IF(ISNA(VLOOKUP(A23,'Données projet'!$A$87:$I$107,3,0)),0,VLOOKUP(A23,'Données projet'!$A$87:$I$107,3,0))</f>
        <v>3</v>
      </c>
      <c r="BL23" s="15">
        <f>IF(ISNA(VLOOKUP(A23,'Données projet'!$A$87:$I$107,4,0)),0,VLOOKUP(A23,'Données projet'!$A$87:$I$107,4,0))</f>
        <v>35</v>
      </c>
      <c r="BM23" s="16">
        <f>IF(ISNA(VLOOKUP(A23,'Données projet'!$A$87:$I$107,5,0)),0%,VLOOKUP(A23,'Données projet'!$A$87:$I$107,5,0)*VLOOKUP('Données projet'!$B$11,Paramètres!$A$1:$I$89,7,0))</f>
        <v>8.6000000000000007E-2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4.4599879415474248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4.4599879415474248</v>
      </c>
      <c r="BT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58.372646519641236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4.04</v>
      </c>
      <c r="BY23" s="12">
        <f>IF('Données projet'!$A$114&gt;35,BY22+BX23-CG22,IF(A23&lt;'Données projet'!$A$114,$BV$205^A23,IF(A23='Données projet'!$A$114,'Données projet'!$B$114,BY22+BX23-CG22)))</f>
        <v>40.128885573036804</v>
      </c>
      <c r="BZ23" s="13">
        <f>BY23*VLOOKUP('Données projet'!$B$12,Paramètres!$A$1:$I$89,3,0)*VLOOKUP('Données projet'!$B$12,Paramètres!$A$1:$I$89,5,0)</f>
        <v>38.186647511301821</v>
      </c>
      <c r="CA23" s="13">
        <f t="shared" si="39"/>
        <v>11.516727602780954</v>
      </c>
      <c r="CB23" s="20">
        <f t="shared" si="10"/>
        <v>86.566711657027497</v>
      </c>
      <c r="CC23" s="57">
        <f t="shared" si="11"/>
        <v>325.04419334015648</v>
      </c>
      <c r="CD23" s="57">
        <f ca="1">AVERAGE(OFFSET($CC$3,0,0,'Données projet'!$E$12+1,1))-AVERAGE(OFFSET($H$3,0,0,'Données projet'!$E$12+1,1))</f>
        <v>498.77732039282807</v>
      </c>
      <c r="CE23" s="57">
        <f t="shared" si="40"/>
        <v>384.57317421826531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58.372646519641236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4.3352272727272725</v>
      </c>
      <c r="CT23" s="12">
        <f>IF('Données projet'!$A$140&gt;35,CT22+CS23-DB22,IF(A23&lt;'Données projet'!$A$140,$CQ$205^A23,IF(A23='Données projet'!$A$140,'Données projet'!$B$140,CT22+CS23-DB22)))</f>
        <v>86.704545454545425</v>
      </c>
      <c r="CU23" s="17">
        <f>CT23*VLOOKUP('Données projet'!$B$13,Paramètres!$A$1:$I$89,3,0)*VLOOKUP('Données projet'!$B$13,Paramètres!$A$1:$I$89,5,0)</f>
        <v>58.161409090909068</v>
      </c>
      <c r="CV23" s="13">
        <f t="shared" si="41"/>
        <v>16.702576899763319</v>
      </c>
      <c r="CW23" s="20">
        <f t="shared" si="13"/>
        <v>130.38810893375441</v>
      </c>
      <c r="CX23" s="57">
        <f t="shared" si="14"/>
        <v>368.86559061688342</v>
      </c>
      <c r="CY23" s="57">
        <f ca="1">AVERAGE(OFFSET($CX$3,0,0,'Données projet'!$E$13+1,1))-AVERAGE(OFFSET($H$3,0,0,'Données projet'!$E$13+1,1))</f>
        <v>365.99625753737246</v>
      </c>
      <c r="CZ23" s="57">
        <f t="shared" si="42"/>
        <v>242.84814712692287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58.372646519641236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117</v>
      </c>
      <c r="DM23" s="12">
        <f>VLOOKUP(A23,'Données projet'!$A$165:$I$185,9,0)</f>
        <v>14</v>
      </c>
      <c r="DN23" s="12">
        <f t="array" ref="DN23">INDEX(DM:DM,MIN(IF(ISNUMBER(DM23:DM219),ROW(DM23:DM219),"")))</f>
        <v>14</v>
      </c>
      <c r="DO23" s="12">
        <f>IF('Données projet'!$A$166&gt;35,DO22+DN23-DW22,IF(A23&lt;'Données projet'!$A$166,$DL$205^A23,IF(A23='Données projet'!$A$166,'Données projet'!$B$166,DO22+DN23-DW22)))</f>
        <v>117</v>
      </c>
      <c r="DP23" s="17">
        <f>DO23*VLOOKUP('Données projet'!$B$14,Paramètres!$A$1:$I$89,3,0)*VLOOKUP('Données projet'!$B$14,Paramètres!$A$1:$I$89,5,0)</f>
        <v>76.6584</v>
      </c>
      <c r="DQ23" s="13">
        <f t="shared" si="43"/>
        <v>21.318127749842347</v>
      </c>
      <c r="DR23" s="20">
        <f t="shared" si="16"/>
        <v>170.6424524976421</v>
      </c>
      <c r="DS23" s="57">
        <f t="shared" si="17"/>
        <v>409.11993418077111</v>
      </c>
      <c r="DT23" s="57">
        <f ca="1">AVERAGE(OFFSET($DS$3,0,0,'Données projet'!$E$14+1,1))-AVERAGE(OFFSET($H$3,0,0,'Données projet'!$E$14+1,1))</f>
        <v>313.79279628660527</v>
      </c>
      <c r="DU23" s="57">
        <f t="shared" si="44"/>
        <v>317.45469955216254</v>
      </c>
      <c r="DV23" s="15">
        <f>IF(ISNA(VLOOKUP(A23,'Données projet'!$A$165:$I$185,3,0)),0,VLOOKUP(A23,'Données projet'!$A$165:$I$185,3,0))</f>
        <v>3</v>
      </c>
      <c r="DW23" s="15">
        <f>IF(ISNA(VLOOKUP(A23,'Données projet'!$A$165:$I$185,4,0)),0,VLOOKUP(A23,'Données projet'!$A$165:$I$185,4,0))</f>
        <v>12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58.372646519641236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20</v>
      </c>
      <c r="EJ23" s="12">
        <f>IF('Données projet'!$A$192&gt;35,EJ22+EI23-ER22,IF(A23&lt;'Données projet'!$A$192,$EG$205^A23,IF(A23='Données projet'!$A$192,'Données projet'!$B$192,EJ22+EI23-ER22)))</f>
        <v>91</v>
      </c>
      <c r="EK23" s="17">
        <f>EJ23*VLOOKUP('Données projet'!$B$15,Paramètres!$A$1:$I$89,3,0)*VLOOKUP('Données projet'!$B$15,Paramètres!$A$1:$I$89,5,0)</f>
        <v>78.078000000000003</v>
      </c>
      <c r="EL23" s="13">
        <f t="shared" si="45"/>
        <v>21.666582091642084</v>
      </c>
      <c r="EM23" s="20">
        <f t="shared" si="19"/>
        <v>173.72181380960993</v>
      </c>
      <c r="EN23" s="57">
        <f t="shared" si="20"/>
        <v>412.19929549273888</v>
      </c>
      <c r="EO23" s="57">
        <f ca="1">AVERAGE(OFFSET($EN$3,0,0,'Données projet'!$E$15+1,1))-AVERAGE(OFFSET($H$3,0,0,'Données projet'!$E$15+1,1))</f>
        <v>643.04899298561475</v>
      </c>
      <c r="EP23" s="57">
        <f t="shared" si="46"/>
        <v>474.94999304483031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58.372646519641236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>
        <f>VLOOKUP(A23,'Données projet'!$A$217:$I$237,2,0)</f>
        <v>102</v>
      </c>
      <c r="FC23" s="12">
        <f>VLOOKUP(A23,'Données projet'!$A$217:$I$237,9,0)</f>
        <v>13.8</v>
      </c>
      <c r="FD23" s="12">
        <f t="array" ref="FD23">INDEX(FC:FC,MIN(IF(ISNUMBER(FC23:FC219),ROW(FC23:FC219),"")))</f>
        <v>13.8</v>
      </c>
      <c r="FE23" s="12">
        <f>IF('Données projet'!$A$218&gt;35,FE22+FD23-FM22,IF(A23&lt;'Données projet'!$A$218,$FB$205^A23,IF(A23='Données projet'!$A$218,'Données projet'!$B$218,FE22+FD23-FM22)))</f>
        <v>101.99999999999999</v>
      </c>
      <c r="FF23" s="17">
        <f>FE23*VLOOKUP('Données projet'!$B$16,Paramètres!$A$1:$I$89,3,0)*VLOOKUP('Données projet'!$B$16,Paramètres!$A$1:$I$89,5,0)</f>
        <v>82.742399999999989</v>
      </c>
      <c r="FG23" s="13">
        <f t="shared" si="47"/>
        <v>22.806394174303204</v>
      </c>
      <c r="FH23" s="20">
        <f t="shared" si="22"/>
        <v>183.83081652024472</v>
      </c>
      <c r="FI23" s="57">
        <f t="shared" si="23"/>
        <v>422.30829820337374</v>
      </c>
      <c r="FJ23" s="57">
        <f ca="1">AVERAGE(OFFSET($FI$3,0,0,'Données projet'!$E$16+1,1))-AVERAGE(OFFSET($H$3,0,0,'Données projet'!$E$16+1,1))</f>
        <v>375.34603719604439</v>
      </c>
      <c r="FK23" s="57">
        <f t="shared" si="48"/>
        <v>363.99476973672211</v>
      </c>
      <c r="FL23" s="15">
        <f>IF(ISNA(VLOOKUP(A23,'Données projet'!$A$217:$I$237,3,0)),0,VLOOKUP(A23,'Données projet'!$A$217:$I$237,3,0))</f>
        <v>3</v>
      </c>
      <c r="FM23" s="15">
        <f>IF(ISNA(VLOOKUP(A23,'Données projet'!$A$217:$I$237,4,0)),0,VLOOKUP(A23,'Données projet'!$A$217:$I$237,4,0))</f>
        <v>35</v>
      </c>
      <c r="FN23" s="16">
        <f>IF(ISNA(VLOOKUP(A23,'Données projet'!$A$217:$I$237,5,0)),0%,VLOOKUP(A23,'Données projet'!$A$217:$I$237,5,0)*VLOOKUP('Données projet'!$B$16,Paramètres!$A$1:$I$89,7,0))</f>
        <v>0.10600000000000001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6.0820023586861485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6.0820023586861485</v>
      </c>
      <c r="FU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58.372646519641236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>
        <f>VLOOKUP(A23,'Données projet'!$A$243:$I$263,2,0)</f>
        <v>175.01</v>
      </c>
      <c r="FX23" s="12">
        <f>VLOOKUP(A23,'Données projet'!$A$243:$I$263,9,0)</f>
        <v>24.659999999999997</v>
      </c>
      <c r="FY23" s="12">
        <f t="array" ref="FY23">INDEX(FX:FX,MIN(IF(ISNUMBER(FX23:FX219),ROW(FX23:FX219),"")))</f>
        <v>24.659999999999997</v>
      </c>
      <c r="FZ23" s="12">
        <f>IF('Données projet'!$A$244&gt;35,FZ22+FY23-GH22,IF(A23&lt;'Données projet'!$A$244,$FW$205^A23,IF(A23='Données projet'!$A$244,'Données projet'!$B$244,FZ22+FY23-GH22)))</f>
        <v>175.01</v>
      </c>
      <c r="GA23" s="17">
        <f>FZ23*VLOOKUP('Données projet'!$B$17,Paramètres!$A$1:$I$89,3,0)*VLOOKUP('Données projet'!$B$17,Paramètres!$A$1:$I$89,5,0)</f>
        <v>97.830590000000001</v>
      </c>
      <c r="GB23" s="13">
        <f t="shared" si="49"/>
        <v>26.444507651523491</v>
      </c>
      <c r="GC23" s="20">
        <f t="shared" si="25"/>
        <v>216.44579507640341</v>
      </c>
      <c r="GD23" s="57">
        <f t="shared" si="26"/>
        <v>454.92327675953243</v>
      </c>
      <c r="GE23" s="57">
        <f ca="1">AVERAGE(OFFSET($GD$3,0,0,'Données projet'!$E$17+1,1))-AVERAGE(OFFSET($H$3,0,0,'Données projet'!$E$17+1,1))</f>
        <v>414.47327143450701</v>
      </c>
      <c r="GF23" s="57">
        <f t="shared" si="50"/>
        <v>546.83385887302961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projet'!$B$17,Paramètres!$A$1:$I$89,3,0)*0.475*44/12</f>
        <v>5.8660915868777499</v>
      </c>
      <c r="GM23" s="21">
        <f>EXP(-LN(2)/25)*GM22+(1-EXP(-LN(2)/25))/(LN(2)/25)*Calculateur!GH23*Calculateur!GJ23*VLOOKUP('Données projet'!$B$17,Paramètres!$A$1:$I$89,3,0)*0.475*44/12</f>
        <v>12.940090498818247</v>
      </c>
      <c r="GN23" s="21">
        <f>EXP(-LN(2)/2)*GN22+(1-EXP(-LN(2)/2))/(LN(2)/2)*GH23*GK23*VLOOKUP('Données projet'!$B$17,Paramètres!$A$1:$I$89,3,0)*0.475*44/12</f>
        <v>8.2871099255034917</v>
      </c>
      <c r="GO23" s="21">
        <f t="shared" si="27"/>
        <v>27.093292011199487</v>
      </c>
      <c r="GP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58.372646519641236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>
        <f>VLOOKUP(A23,'Données projet'!$A$269:$I$289,2,0)</f>
        <v>140</v>
      </c>
      <c r="GS23" s="12">
        <f>VLOOKUP(A23,'Données projet'!$A$269:$I$289,9,0)</f>
        <v>14.4</v>
      </c>
      <c r="GT23" s="12">
        <f t="array" ref="GT23">INDEX(GS:GS,MIN(IF(ISNUMBER(GS23:GS219),ROW(GS23:GS219),"")))</f>
        <v>14.4</v>
      </c>
      <c r="GU23" s="12">
        <f>IF('Données projet'!$A$270&gt;35,GU22+GT23-HC22,IF(A23&lt;'Données projet'!$A$270,$GR$205^A23,IF(A23='Données projet'!$A$270,'Données projet'!$B$270,GU22+GT23-HC22)))</f>
        <v>140</v>
      </c>
      <c r="GV23" s="17">
        <f>GU23*VLOOKUP('Données projet'!$B$18,Paramètres!$A$1:$I$89,3,0)*VLOOKUP('Données projet'!$B$18,Paramètres!$A$1:$I$89,5,0)</f>
        <v>76.44</v>
      </c>
      <c r="GW23" s="13">
        <f t="shared" si="51"/>
        <v>21.264453036605779</v>
      </c>
      <c r="GX23" s="20">
        <f t="shared" si="28"/>
        <v>170.16858903875504</v>
      </c>
      <c r="GY23" s="57">
        <f t="shared" si="29"/>
        <v>408.64607072188403</v>
      </c>
      <c r="GZ23" s="57">
        <f ca="1">AVERAGE(OFFSET($GY$3,0,0,'Données projet'!$E$18+1,1))-AVERAGE(OFFSET($H$3,0,0,'Données projet'!$E$18+1,1))</f>
        <v>381.00532469288714</v>
      </c>
      <c r="HA23" s="57">
        <f t="shared" si="52"/>
        <v>314.875259641757</v>
      </c>
      <c r="HB23" s="15">
        <f>IF(ISNA(VLOOKUP(A23,'Données projet'!$A$269:$I$289,3,0)),0,VLOOKUP(A23,'Données projet'!$A$269:$I$289,3,0))</f>
        <v>3</v>
      </c>
      <c r="HC23" s="15">
        <f>IF(ISNA(VLOOKUP(A23,'Données projet'!$A$269:$I$289,4,0)),0,VLOOKUP(A23,'Données projet'!$A$269:$I$289,4,0))</f>
        <v>42</v>
      </c>
      <c r="HD23" s="16">
        <f>IF(ISNA(VLOOKUP(A23,'Données projet'!$A$269:$I$289,5,0)),0%,VLOOKUP(A23,'Données projet'!$A$269:$I$289,5,0)*VLOOKUP('Données projet'!$B$18,Paramètres!$A$1:$I$89,7,0))</f>
        <v>0.18</v>
      </c>
      <c r="HE23" s="16">
        <f>IF(ISNA(VLOOKUP(A23,'Données projet'!$A$269:$I$289,6,0)),0%,VLOOKUP(A23,'Données projet'!$A$269:$I$289,6,0)*VLOOKUP('Données projet'!$B$18,Paramètres!$A$1:$I$89,7,0))</f>
        <v>0.23399999999999999</v>
      </c>
      <c r="HF23" s="16">
        <f>IF(ISNA(VLOOKUP(A23,'Données projet'!$A$269:$I$289,7,0)),0%,VLOOKUP(A23,'Données projet'!$A$269:$I$289,7,0))</f>
        <v>0.31</v>
      </c>
      <c r="HG23" s="21">
        <f>EXP(-LN(2)/35)*HG22+(1-EXP(-LN(2)/35))/(LN(2)/35)*HC23*HD23*VLOOKUP('Données projet'!$B$18,Paramètres!$A$1:$I$89,3,0)*0.475*44/12</f>
        <v>6.892741703026946</v>
      </c>
      <c r="HH23" s="21">
        <f>EXP(-LN(2)/25)*HH22+(1-EXP(-LN(2)/25))/(LN(2)/25)*Calculateur!HC23*Calculateur!HE23*VLOOKUP('Données projet'!$B$18,Paramètres!$A$1:$I$89,3,0)*0.475*44/12</f>
        <v>10.142808673296297</v>
      </c>
      <c r="HI23" s="21">
        <f>EXP(-LN(2)/2)*HI22+(1-EXP(-LN(2)/2))/(LN(2)/2)*HC23*HF23*VLOOKUP('Données projet'!$B$18,Paramètres!$A$1:$I$89,3,0)*0.475*44/12</f>
        <v>8.7374326505701418</v>
      </c>
      <c r="HJ23" s="22">
        <f t="shared" si="30"/>
        <v>25.772983026893385</v>
      </c>
    </row>
    <row r="24" spans="1:218" x14ac:dyDescent="0.2">
      <c r="A24" s="10">
        <f t="shared" si="31"/>
        <v>21</v>
      </c>
      <c r="B24" s="71">
        <f>'Scénario référence'!$B$16*5+'Scénario référence'!$B$17*0+'Scénario référence'!$B$18*5</f>
        <v>3.3000000000000003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12.100000000000001</v>
      </c>
      <c r="H24" s="65">
        <f t="shared" si="1"/>
        <v>208.26666666666665</v>
      </c>
      <c r="I24" s="6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58.574355107657382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1.2</v>
      </c>
      <c r="N24" s="13">
        <f>IF('Données projet'!$A$36&gt;35,N23+M24-V23,IF(A24&lt;'Données projet'!$A$36,$K$205^A24,IF(A24='Données projet'!$A$36,'Données projet'!$B$36,N23+M24-V23)))</f>
        <v>17.409321838276906</v>
      </c>
      <c r="O24" s="13">
        <f>N24*VLOOKUP('Données projet'!$B$9,Paramètres!$A$1:$I$89,3,0)*VLOOKUP('Données projet'!$B$9,Paramètres!$A$1:$I$89,5,0)</f>
        <v>17.653052344012782</v>
      </c>
      <c r="P24" s="13">
        <f t="shared" si="33"/>
        <v>5.8242773543349813</v>
      </c>
      <c r="Q24" s="20">
        <f t="shared" si="2"/>
        <v>40.889682557955688</v>
      </c>
      <c r="R24" s="57">
        <f t="shared" si="0"/>
        <v>281.32898461936611</v>
      </c>
      <c r="S24" s="57">
        <f ca="1">AVERAGE(OFFSET($R$3,0,0,'Données projet'!$E$9+1,1))-AVERAGE(OFFSET($H$3,0,0,'Données projet'!$E$9+1,1))</f>
        <v>332.70145542047612</v>
      </c>
      <c r="T24" s="57">
        <f t="shared" si="34"/>
        <v>172.22433737900428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58.574355107657382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4.3352272727272725</v>
      </c>
      <c r="AI24" s="13">
        <f>IF('Données projet'!$A$62&gt;35,AI23+AH24-AQ23,IF(A24&lt;'Données projet'!$A$62,$AF$205^A24,IF(A24='Données projet'!$A$62,'Données projet'!$B$62,AI23+AH24-AQ23)))</f>
        <v>91.039772727272691</v>
      </c>
      <c r="AJ24" s="13">
        <f>AI24*VLOOKUP('Données projet'!$B$10,Paramètres!$A$1:$I$89,3,0)*VLOOKUP('Données projet'!$B$10,Paramètres!$A$1:$I$89,5,0)</f>
        <v>82.372786363636322</v>
      </c>
      <c r="AK24" s="13">
        <f t="shared" si="35"/>
        <v>22.716352142318268</v>
      </c>
      <c r="AL24" s="20">
        <f t="shared" si="4"/>
        <v>183.0302495645376</v>
      </c>
      <c r="AM24" s="57">
        <f t="shared" si="5"/>
        <v>423.46955162594804</v>
      </c>
      <c r="AN24" s="57">
        <f ca="1">AVERAGE(OFFSET($AM$3,0,0,'Données projet'!$E$10+1,1))-AVERAGE(OFFSET($H$3,0,0,'Données projet'!$E$10+1,1))</f>
        <v>469.4210143164521</v>
      </c>
      <c r="AO24" s="57">
        <f t="shared" si="36"/>
        <v>308.4508386530556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58.574355107657382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14.8</v>
      </c>
      <c r="BD24" s="12">
        <f>IF('Données projet'!$A$88&gt;35,BD23+BC24-BL23,IF(A24&lt;'Données projet'!$A$88,$BA$205^A24,IF(A24='Données projet'!$A$88,'Données projet'!$B$88,BD23+BC24-BL23)))</f>
        <v>81.799999999999983</v>
      </c>
      <c r="BE24" s="13">
        <f>BD24*VLOOKUP('Données projet'!$B$11,Paramètres!$A$1:$I$89,3,0)*VLOOKUP('Données projet'!$B$11,Paramètres!$A$1:$I$89,5,0)</f>
        <v>59.975759999999987</v>
      </c>
      <c r="BF24" s="13">
        <f t="shared" si="37"/>
        <v>17.162140235844557</v>
      </c>
      <c r="BG24" s="20">
        <f t="shared" si="7"/>
        <v>134.34850957742924</v>
      </c>
      <c r="BH24" s="57">
        <f t="shared" si="8"/>
        <v>374.78781163883968</v>
      </c>
      <c r="BI24" s="57">
        <f ca="1">AVERAGE(OFFSET($BH$3,0,0,'Données projet'!$E$11+1,1))-AVERAGE(OFFSET($H$3,0,0,'Données projet'!$E$11+1,1))</f>
        <v>344.32981377462971</v>
      </c>
      <c r="BJ24" s="57">
        <f t="shared" si="38"/>
        <v>334.42512656625763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4.3725302983377148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4.3725302983377148</v>
      </c>
      <c r="BT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58.574355107657382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4.04</v>
      </c>
      <c r="BY24" s="12">
        <f>IF('Données projet'!$A$114&gt;35,BY23+BX24-CG23,IF(A24&lt;'Données projet'!$A$114,$BV$205^A24,IF(A24='Données projet'!$A$114,'Données projet'!$B$114,BY23+BX24-CG23)))</f>
        <v>48.26473810739148</v>
      </c>
      <c r="BZ24" s="13">
        <f>BY24*VLOOKUP('Données projet'!$B$12,Paramètres!$A$1:$I$89,3,0)*VLOOKUP('Données projet'!$B$12,Paramètres!$A$1:$I$89,5,0)</f>
        <v>45.928724782993733</v>
      </c>
      <c r="CA24" s="13">
        <f t="shared" si="39"/>
        <v>13.55719458645188</v>
      </c>
      <c r="CB24" s="20">
        <f t="shared" si="10"/>
        <v>103.60464290178443</v>
      </c>
      <c r="CC24" s="57">
        <f t="shared" si="11"/>
        <v>344.04394496319486</v>
      </c>
      <c r="CD24" s="57">
        <f ca="1">AVERAGE(OFFSET($CC$3,0,0,'Données projet'!$E$12+1,1))-AVERAGE(OFFSET($H$3,0,0,'Données projet'!$E$12+1,1))</f>
        <v>498.77732039282807</v>
      </c>
      <c r="CE24" s="57">
        <f t="shared" si="40"/>
        <v>384.57317421826531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58.574355107657382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4.3352272727272725</v>
      </c>
      <c r="CT24" s="12">
        <f>IF('Données projet'!$A$140&gt;35,CT23+CS24-DB23,IF(A24&lt;'Données projet'!$A$140,$CQ$205^A24,IF(A24='Données projet'!$A$140,'Données projet'!$B$140,CT23+CS24-DB23)))</f>
        <v>91.039772727272691</v>
      </c>
      <c r="CU24" s="17">
        <f>CT24*VLOOKUP('Données projet'!$B$13,Paramètres!$A$1:$I$89,3,0)*VLOOKUP('Données projet'!$B$13,Paramètres!$A$1:$I$89,5,0)</f>
        <v>61.069479545454527</v>
      </c>
      <c r="CV24" s="13">
        <f t="shared" si="41"/>
        <v>17.43838833024596</v>
      </c>
      <c r="CW24" s="20">
        <f t="shared" si="13"/>
        <v>136.73453655017832</v>
      </c>
      <c r="CX24" s="57">
        <f t="shared" si="14"/>
        <v>377.17383861158874</v>
      </c>
      <c r="CY24" s="57">
        <f ca="1">AVERAGE(OFFSET($CX$3,0,0,'Données projet'!$E$13+1,1))-AVERAGE(OFFSET($H$3,0,0,'Données projet'!$E$13+1,1))</f>
        <v>365.99625753737246</v>
      </c>
      <c r="CZ24" s="57">
        <f t="shared" si="42"/>
        <v>242.84814712692287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58.574355107657382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11</v>
      </c>
      <c r="DO24" s="12">
        <f>IF('Données projet'!$A$166&gt;35,DO23+DN24-DW23,IF(A24&lt;'Données projet'!$A$166,$DL$205^A24,IF(A24='Données projet'!$A$166,'Données projet'!$B$166,DO23+DN24-DW23)))</f>
        <v>116</v>
      </c>
      <c r="DP24" s="17">
        <f>DO24*VLOOKUP('Données projet'!$B$14,Paramètres!$A$1:$I$89,3,0)*VLOOKUP('Données projet'!$B$14,Paramètres!$A$1:$I$89,5,0)</f>
        <v>76.003200000000007</v>
      </c>
      <c r="DQ24" s="13">
        <f t="shared" si="43"/>
        <v>21.157049992000456</v>
      </c>
      <c r="DR24" s="20">
        <f t="shared" si="16"/>
        <v>169.22076873606747</v>
      </c>
      <c r="DS24" s="57">
        <f t="shared" si="17"/>
        <v>409.66007079747789</v>
      </c>
      <c r="DT24" s="57">
        <f ca="1">AVERAGE(OFFSET($DS$3,0,0,'Données projet'!$E$14+1,1))-AVERAGE(OFFSET($H$3,0,0,'Données projet'!$E$14+1,1))</f>
        <v>313.79279628660527</v>
      </c>
      <c r="DU24" s="57">
        <f t="shared" si="44"/>
        <v>317.45469955216254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58.574355107657382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>
        <f>VLOOKUP(A24,'Données projet'!$A$191:$I$211,2,0)</f>
        <v>111</v>
      </c>
      <c r="EH24" s="12">
        <f>VLOOKUP(A24,'Données projet'!$A$191:$I$211,9,0)</f>
        <v>20</v>
      </c>
      <c r="EI24" s="12">
        <f t="array" ref="EI24">INDEX(EH:EH,MIN(IF(ISNUMBER(EH24:EH220),ROW(EH24:EH220),"")))</f>
        <v>20</v>
      </c>
      <c r="EJ24" s="12">
        <f>IF('Données projet'!$A$192&gt;35,EJ23+EI24-ER23,IF(A24&lt;'Données projet'!$A$192,$EG$205^A24,IF(A24='Données projet'!$A$192,'Données projet'!$B$192,EJ23+EI24-ER23)))</f>
        <v>111</v>
      </c>
      <c r="EK24" s="17">
        <f>EJ24*VLOOKUP('Données projet'!$B$15,Paramètres!$A$1:$I$89,3,0)*VLOOKUP('Données projet'!$B$15,Paramètres!$A$1:$I$89,5,0)</f>
        <v>95.238000000000014</v>
      </c>
      <c r="EL24" s="13">
        <f t="shared" si="45"/>
        <v>25.824315354051141</v>
      </c>
      <c r="EM24" s="20">
        <f t="shared" si="19"/>
        <v>210.85019924163907</v>
      </c>
      <c r="EN24" s="57">
        <f t="shared" si="20"/>
        <v>451.28950130304952</v>
      </c>
      <c r="EO24" s="57">
        <f ca="1">AVERAGE(OFFSET($EN$3,0,0,'Données projet'!$E$15+1,1))-AVERAGE(OFFSET($H$3,0,0,'Données projet'!$E$15+1,1))</f>
        <v>643.04899298561475</v>
      </c>
      <c r="EP24" s="57">
        <f t="shared" si="46"/>
        <v>474.94999304483031</v>
      </c>
      <c r="EQ24" s="15">
        <f>IF(ISNA(VLOOKUP(A24,'Données projet'!$A$191:$I$211,3,0)),0,VLOOKUP(A24,'Données projet'!$A$191:$I$211,3,0))</f>
        <v>3</v>
      </c>
      <c r="ER24" s="15">
        <f>IF(ISNA(VLOOKUP(A24,'Données projet'!$A$191:$I$211,4,0)),0,VLOOKUP(A24,'Données projet'!$A$191:$I$211,4,0))</f>
        <v>8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58.574355107657382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14.8</v>
      </c>
      <c r="FE24" s="12">
        <f>IF('Données projet'!$A$218&gt;35,FE23+FD24-FM23,IF(A24&lt;'Données projet'!$A$218,$FB$205^A24,IF(A24='Données projet'!$A$218,'Données projet'!$B$218,FE23+FD24-FM23)))</f>
        <v>81.799999999999983</v>
      </c>
      <c r="FF24" s="17">
        <f>FE24*VLOOKUP('Données projet'!$B$16,Paramètres!$A$1:$I$89,3,0)*VLOOKUP('Données projet'!$B$16,Paramètres!$A$1:$I$89,5,0)</f>
        <v>66.356159999999988</v>
      </c>
      <c r="FG24" s="13">
        <f t="shared" si="47"/>
        <v>18.765767596743419</v>
      </c>
      <c r="FH24" s="20">
        <f t="shared" si="22"/>
        <v>148.25402389766143</v>
      </c>
      <c r="FI24" s="57">
        <f t="shared" si="23"/>
        <v>388.69332595907184</v>
      </c>
      <c r="FJ24" s="57">
        <f ca="1">AVERAGE(OFFSET($FI$3,0,0,'Données projet'!$E$16+1,1))-AVERAGE(OFFSET($H$3,0,0,'Données projet'!$E$16+1,1))</f>
        <v>375.34603719604439</v>
      </c>
      <c r="FK24" s="57">
        <f t="shared" si="48"/>
        <v>363.99476973672211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5.9627380020874536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5.9627380020874536</v>
      </c>
      <c r="FU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58.574355107657382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>
        <f>VLOOKUP(A24,'Données projet'!$A$243:$I$263,2,0)</f>
        <v>201.39</v>
      </c>
      <c r="FX24" s="12">
        <f>VLOOKUP(A24,'Données projet'!$A$243:$I$263,9,0)</f>
        <v>26.379999999999995</v>
      </c>
      <c r="FY24" s="12">
        <f t="array" ref="FY24">INDEX(FX:FX,MIN(IF(ISNUMBER(FX24:FX220),ROW(FX24:FX220),"")))</f>
        <v>26.379999999999995</v>
      </c>
      <c r="FZ24" s="12">
        <f>IF('Données projet'!$A$244&gt;35,FZ23+FY24-GH23,IF(A24&lt;'Données projet'!$A$244,$FW$205^A24,IF(A24='Données projet'!$A$244,'Données projet'!$B$244,FZ23+FY24-GH23)))</f>
        <v>201.39</v>
      </c>
      <c r="GA24" s="17">
        <f>FZ24*VLOOKUP('Données projet'!$B$17,Paramètres!$A$1:$I$89,3,0)*VLOOKUP('Données projet'!$B$17,Paramètres!$A$1:$I$89,5,0)</f>
        <v>112.57700999999999</v>
      </c>
      <c r="GB24" s="13">
        <f t="shared" si="49"/>
        <v>29.937327506622612</v>
      </c>
      <c r="GC24" s="20">
        <f t="shared" si="25"/>
        <v>248.21247115736773</v>
      </c>
      <c r="GD24" s="57">
        <f t="shared" si="26"/>
        <v>488.65177321877815</v>
      </c>
      <c r="GE24" s="57">
        <f ca="1">AVERAGE(OFFSET($GD$3,0,0,'Données projet'!$E$17+1,1))-AVERAGE(OFFSET($H$3,0,0,'Données projet'!$E$17+1,1))</f>
        <v>414.47327143450701</v>
      </c>
      <c r="GF24" s="57">
        <f t="shared" si="50"/>
        <v>546.83385887302961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5.7510611088216503</v>
      </c>
      <c r="GM24" s="21">
        <f>EXP(-LN(2)/25)*GM23+(1-EXP(-LN(2)/25))/(LN(2)/25)*Calculateur!GH24*Calculateur!GJ24*VLOOKUP('Données projet'!$B$17,Paramètres!$A$1:$I$89,3,0)*0.475*44/12</f>
        <v>12.586243043638277</v>
      </c>
      <c r="GN24" s="21">
        <f>EXP(-LN(2)/2)*GN23+(1-EXP(-LN(2)/2))/(LN(2)/2)*GH24*GK24*VLOOKUP('Données projet'!$B$17,Paramètres!$A$1:$I$89,3,0)*0.475*44/12</f>
        <v>5.8598716247618636</v>
      </c>
      <c r="GO24" s="21">
        <f t="shared" si="27"/>
        <v>24.197175777221794</v>
      </c>
      <c r="GP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58.574355107657382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16.399999999999999</v>
      </c>
      <c r="GU24" s="12">
        <f>IF('Données projet'!$A$270&gt;35,GU23+GT24-HC23,IF(A24&lt;'Données projet'!$A$270,$GR$205^A24,IF(A24='Données projet'!$A$270,'Données projet'!$B$270,GU23+GT24-HC23)))</f>
        <v>114.4</v>
      </c>
      <c r="GV24" s="17">
        <f>GU24*VLOOKUP('Données projet'!$B$18,Paramètres!$A$1:$I$89,3,0)*VLOOKUP('Données projet'!$B$18,Paramètres!$A$1:$I$89,5,0)</f>
        <v>62.462400000000002</v>
      </c>
      <c r="GW24" s="13">
        <f t="shared" si="51"/>
        <v>17.789376189256878</v>
      </c>
      <c r="GX24" s="20">
        <f t="shared" si="28"/>
        <v>139.7718435296224</v>
      </c>
      <c r="GY24" s="57">
        <f t="shared" si="29"/>
        <v>380.21114559103285</v>
      </c>
      <c r="GZ24" s="57">
        <f ca="1">AVERAGE(OFFSET($GY$3,0,0,'Données projet'!$E$18+1,1))-AVERAGE(OFFSET($H$3,0,0,'Données projet'!$E$18+1,1))</f>
        <v>381.00532469288714</v>
      </c>
      <c r="HA24" s="57">
        <f t="shared" si="52"/>
        <v>314.875259641757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>
        <f>EXP(-LN(2)/35)*HG23+(1-EXP(-LN(2)/35))/(LN(2)/35)*HC24*HD24*VLOOKUP('Données projet'!$B$18,Paramètres!$A$1:$I$89,3,0)*0.475*44/12</f>
        <v>6.7575792423879006</v>
      </c>
      <c r="HH24" s="21">
        <f>EXP(-LN(2)/25)*HH23+(1-EXP(-LN(2)/25))/(LN(2)/25)*Calculateur!HC24*Calculateur!HE24*VLOOKUP('Données projet'!$B$18,Paramètres!$A$1:$I$89,3,0)*0.475*44/12</f>
        <v>9.8654530367378843</v>
      </c>
      <c r="HI24" s="21">
        <f>EXP(-LN(2)/2)*HI23+(1-EXP(-LN(2)/2))/(LN(2)/2)*HC24*HF24*VLOOKUP('Données projet'!$B$18,Paramètres!$A$1:$I$89,3,0)*0.475*44/12</f>
        <v>6.1782978773788972</v>
      </c>
      <c r="HJ24" s="22">
        <f t="shared" si="30"/>
        <v>22.801330156504683</v>
      </c>
    </row>
    <row r="25" spans="1:218" x14ac:dyDescent="0.2">
      <c r="A25" s="10">
        <f t="shared" si="31"/>
        <v>22</v>
      </c>
      <c r="B25" s="71">
        <f>'Scénario référence'!$B$16*5+'Scénario référence'!$B$17*0+'Scénario référence'!$B$18*5</f>
        <v>3.3000000000000003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12.100000000000001</v>
      </c>
      <c r="H25" s="65">
        <f t="shared" si="1"/>
        <v>208.26666666666665</v>
      </c>
      <c r="I25" s="6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58.772564502624306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1.2</v>
      </c>
      <c r="N25" s="13">
        <f>IF('Données projet'!$A$36&gt;35,N24+M25-V24,IF(A25&lt;'Données projet'!$A$36,$K$205^A25,IF(A25='Données projet'!$A$36,'Données projet'!$B$36,N24+M25-V24)))</f>
        <v>19.946500129940819</v>
      </c>
      <c r="O25" s="13">
        <f>N25*VLOOKUP('Données projet'!$B$9,Paramètres!$A$1:$I$89,3,0)*VLOOKUP('Données projet'!$B$9,Paramètres!$A$1:$I$89,5,0)</f>
        <v>20.225751131759992</v>
      </c>
      <c r="P25" s="13">
        <f t="shared" si="33"/>
        <v>6.5682461766784241</v>
      </c>
      <c r="Q25" s="20">
        <f t="shared" si="2"/>
        <v>46.666211978863579</v>
      </c>
      <c r="R25" s="57">
        <f t="shared" si="0"/>
        <v>289.05450404404161</v>
      </c>
      <c r="S25" s="57">
        <f ca="1">AVERAGE(OFFSET($R$3,0,0,'Données projet'!$E$9+1,1))-AVERAGE(OFFSET($H$3,0,0,'Données projet'!$E$9+1,1))</f>
        <v>332.70145542047612</v>
      </c>
      <c r="T25" s="57">
        <f t="shared" si="34"/>
        <v>172.22433737900428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58.772564502624306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4.3352272727272725</v>
      </c>
      <c r="AI25" s="13">
        <f>IF('Données projet'!$A$62&gt;35,AI24+AH25-AQ24,IF(A25&lt;'Données projet'!$A$62,$AF$205^A25,IF(A25='Données projet'!$A$62,'Données projet'!$B$62,AI24+AH25-AQ24)))</f>
        <v>95.374999999999957</v>
      </c>
      <c r="AJ25" s="13">
        <f>AI25*VLOOKUP('Données projet'!$B$10,Paramètres!$A$1:$I$89,3,0)*VLOOKUP('Données projet'!$B$10,Paramètres!$A$1:$I$89,5,0)</f>
        <v>86.295299999999969</v>
      </c>
      <c r="AK25" s="13">
        <f t="shared" si="35"/>
        <v>23.66956651478727</v>
      </c>
      <c r="AL25" s="20">
        <f t="shared" si="4"/>
        <v>191.52214251325447</v>
      </c>
      <c r="AM25" s="57">
        <f t="shared" si="5"/>
        <v>433.9104345784325</v>
      </c>
      <c r="AN25" s="57">
        <f ca="1">AVERAGE(OFFSET($AM$3,0,0,'Données projet'!$E$10+1,1))-AVERAGE(OFFSET($H$3,0,0,'Données projet'!$E$10+1,1))</f>
        <v>469.4210143164521</v>
      </c>
      <c r="AO25" s="57">
        <f t="shared" si="36"/>
        <v>308.4508386530556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58.772564502624306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14.8</v>
      </c>
      <c r="BD25" s="12">
        <f>IF('Données projet'!$A$88&gt;35,BD24+BC25-BL24,IF(A25&lt;'Données projet'!$A$88,$BA$205^A25,IF(A25='Données projet'!$A$88,'Données projet'!$B$88,BD24+BC25-BL24)))</f>
        <v>96.59999999999998</v>
      </c>
      <c r="BE25" s="13">
        <f>BD25*VLOOKUP('Données projet'!$B$11,Paramètres!$A$1:$I$89,3,0)*VLOOKUP('Données projet'!$B$11,Paramètres!$A$1:$I$89,5,0)</f>
        <v>70.827119999999979</v>
      </c>
      <c r="BF25" s="13">
        <f t="shared" si="37"/>
        <v>19.878719982140016</v>
      </c>
      <c r="BG25" s="20">
        <f t="shared" si="7"/>
        <v>157.97933796889382</v>
      </c>
      <c r="BH25" s="57">
        <f t="shared" si="8"/>
        <v>400.36763003407179</v>
      </c>
      <c r="BI25" s="57">
        <f ca="1">AVERAGE(OFFSET($BH$3,0,0,'Données projet'!$E$11+1,1))-AVERAGE(OFFSET($H$3,0,0,'Données projet'!$E$11+1,1))</f>
        <v>344.32981377462971</v>
      </c>
      <c r="BJ25" s="57">
        <f t="shared" si="38"/>
        <v>334.42512656625763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4.2867876461674514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4.2867876461674514</v>
      </c>
      <c r="BT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58.772564502624306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4.04</v>
      </c>
      <c r="BY25" s="12">
        <f>IF('Données projet'!$A$114&gt;35,BY24+BX25-CG24,IF(A25&lt;'Données projet'!$A$114,$BV$205^A25,IF(A25='Données projet'!$A$114,'Données projet'!$B$114,BY24+BX25-CG24)))</f>
        <v>58.050078174618008</v>
      </c>
      <c r="BZ25" s="13">
        <f>BY25*VLOOKUP('Données projet'!$B$12,Paramètres!$A$1:$I$89,3,0)*VLOOKUP('Données projet'!$B$12,Paramètres!$A$1:$I$89,5,0)</f>
        <v>55.240454390966498</v>
      </c>
      <c r="CA25" s="13">
        <f t="shared" si="39"/>
        <v>15.959179672751704</v>
      </c>
      <c r="CB25" s="20">
        <f t="shared" si="10"/>
        <v>124.00602932764254</v>
      </c>
      <c r="CC25" s="57">
        <f t="shared" si="11"/>
        <v>366.39432139282053</v>
      </c>
      <c r="CD25" s="57">
        <f ca="1">AVERAGE(OFFSET($CC$3,0,0,'Données projet'!$E$12+1,1))-AVERAGE(OFFSET($H$3,0,0,'Données projet'!$E$12+1,1))</f>
        <v>498.77732039282807</v>
      </c>
      <c r="CE25" s="57">
        <f t="shared" si="40"/>
        <v>384.57317421826531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58.772564502624306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4.3352272727272725</v>
      </c>
      <c r="CT25" s="12">
        <f>IF('Données projet'!$A$140&gt;35,CT24+CS25-DB24,IF(A25&lt;'Données projet'!$A$140,$CQ$205^A25,IF(A25='Données projet'!$A$140,'Données projet'!$B$140,CT24+CS25-DB24)))</f>
        <v>95.374999999999957</v>
      </c>
      <c r="CU25" s="17">
        <f>CT25*VLOOKUP('Données projet'!$B$13,Paramètres!$A$1:$I$89,3,0)*VLOOKUP('Données projet'!$B$13,Paramètres!$A$1:$I$89,5,0)</f>
        <v>63.977549999999972</v>
      </c>
      <c r="CV25" s="13">
        <f t="shared" si="41"/>
        <v>18.170130921879778</v>
      </c>
      <c r="CW25" s="20">
        <f t="shared" si="13"/>
        <v>143.07387760560724</v>
      </c>
      <c r="CX25" s="57">
        <f t="shared" si="14"/>
        <v>385.46216967078522</v>
      </c>
      <c r="CY25" s="57">
        <f ca="1">AVERAGE(OFFSET($CX$3,0,0,'Données projet'!$E$13+1,1))-AVERAGE(OFFSET($H$3,0,0,'Données projet'!$E$13+1,1))</f>
        <v>365.99625753737246</v>
      </c>
      <c r="CZ25" s="57">
        <f t="shared" si="42"/>
        <v>242.84814712692287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58.772564502624306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11</v>
      </c>
      <c r="DO25" s="12">
        <f>IF('Données projet'!$A$166&gt;35,DO24+DN25-DW24,IF(A25&lt;'Données projet'!$A$166,$DL$205^A25,IF(A25='Données projet'!$A$166,'Données projet'!$B$166,DO24+DN25-DW24)))</f>
        <v>127</v>
      </c>
      <c r="DP25" s="17">
        <f>DO25*VLOOKUP('Données projet'!$B$14,Paramètres!$A$1:$I$89,3,0)*VLOOKUP('Données projet'!$B$14,Paramètres!$A$1:$I$89,5,0)</f>
        <v>83.210399999999993</v>
      </c>
      <c r="DQ25" s="13">
        <f t="shared" si="43"/>
        <v>22.920337105048574</v>
      </c>
      <c r="DR25" s="20">
        <f t="shared" si="16"/>
        <v>184.84436712462625</v>
      </c>
      <c r="DS25" s="57">
        <f t="shared" si="17"/>
        <v>427.23265918980428</v>
      </c>
      <c r="DT25" s="57">
        <f ca="1">AVERAGE(OFFSET($DS$3,0,0,'Données projet'!$E$14+1,1))-AVERAGE(OFFSET($H$3,0,0,'Données projet'!$E$14+1,1))</f>
        <v>313.79279628660527</v>
      </c>
      <c r="DU25" s="57">
        <f t="shared" si="44"/>
        <v>317.45469955216254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58.772564502624306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23.333333333333332</v>
      </c>
      <c r="EJ25" s="12">
        <f>IF('Données projet'!$A$192&gt;35,EJ24+EI25-ER24,IF(A25&lt;'Données projet'!$A$192,$EG$205^A25,IF(A25='Données projet'!$A$192,'Données projet'!$B$192,EJ24+EI25-ER24)))</f>
        <v>126.33333333333334</v>
      </c>
      <c r="EK25" s="17">
        <f>EJ25*VLOOKUP('Données projet'!$B$15,Paramètres!$A$1:$I$89,3,0)*VLOOKUP('Données projet'!$B$15,Paramètres!$A$1:$I$89,5,0)</f>
        <v>108.39400000000003</v>
      </c>
      <c r="EL25" s="13">
        <f t="shared" si="45"/>
        <v>28.952275163466386</v>
      </c>
      <c r="EM25" s="20">
        <f t="shared" si="19"/>
        <v>239.21142924303732</v>
      </c>
      <c r="EN25" s="57">
        <f t="shared" si="20"/>
        <v>481.59972130821529</v>
      </c>
      <c r="EO25" s="57">
        <f ca="1">AVERAGE(OFFSET($EN$3,0,0,'Données projet'!$E$15+1,1))-AVERAGE(OFFSET($H$3,0,0,'Données projet'!$E$15+1,1))</f>
        <v>643.04899298561475</v>
      </c>
      <c r="EP25" s="57">
        <f t="shared" si="46"/>
        <v>474.94999304483031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58.772564502624306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14.8</v>
      </c>
      <c r="FE25" s="12">
        <f>IF('Données projet'!$A$218&gt;35,FE24+FD25-FM24,IF(A25&lt;'Données projet'!$A$218,$FB$205^A25,IF(A25='Données projet'!$A$218,'Données projet'!$B$218,FE24+FD25-FM24)))</f>
        <v>96.59999999999998</v>
      </c>
      <c r="FF25" s="17">
        <f>FE25*VLOOKUP('Données projet'!$B$16,Paramètres!$A$1:$I$89,3,0)*VLOOKUP('Données projet'!$B$16,Paramètres!$A$1:$I$89,5,0)</f>
        <v>78.361919999999984</v>
      </c>
      <c r="FG25" s="13">
        <f t="shared" si="47"/>
        <v>21.736184076066191</v>
      </c>
      <c r="FH25" s="20">
        <f t="shared" si="22"/>
        <v>174.33753126581527</v>
      </c>
      <c r="FI25" s="57">
        <f t="shared" si="23"/>
        <v>416.72582333099331</v>
      </c>
      <c r="FJ25" s="57">
        <f ca="1">AVERAGE(OFFSET($FI$3,0,0,'Données projet'!$E$16+1,1))-AVERAGE(OFFSET($H$3,0,0,'Données projet'!$E$16+1,1))</f>
        <v>375.34603719604439</v>
      </c>
      <c r="FK25" s="57">
        <f t="shared" si="48"/>
        <v>363.99476973672211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5.8458123467775849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5.8458123467775849</v>
      </c>
      <c r="FU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58.772564502624306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>
        <f>VLOOKUP(A25,'Données projet'!$A$243:$I$263,2,0)</f>
        <v>229.29</v>
      </c>
      <c r="FX25" s="12">
        <f>VLOOKUP(A25,'Données projet'!$A$243:$I$263,9,0)</f>
        <v>27.900000000000006</v>
      </c>
      <c r="FY25" s="12">
        <f t="array" ref="FY25">INDEX(FX:FX,MIN(IF(ISNUMBER(FX25:FX221),ROW(FX25:FX221),"")))</f>
        <v>27.900000000000006</v>
      </c>
      <c r="FZ25" s="12">
        <f>IF('Données projet'!$A$244&gt;35,FZ24+FY25-GH24,IF(A25&lt;'Données projet'!$A$244,$FW$205^A25,IF(A25='Données projet'!$A$244,'Données projet'!$B$244,FZ24+FY25-GH24)))</f>
        <v>229.29</v>
      </c>
      <c r="GA25" s="17">
        <f>FZ25*VLOOKUP('Données projet'!$B$17,Paramètres!$A$1:$I$89,3,0)*VLOOKUP('Données projet'!$B$17,Paramètres!$A$1:$I$89,5,0)</f>
        <v>128.17310999999998</v>
      </c>
      <c r="GB25" s="13">
        <f t="shared" si="49"/>
        <v>33.573871610707222</v>
      </c>
      <c r="GC25" s="20">
        <f t="shared" si="25"/>
        <v>281.70932630531502</v>
      </c>
      <c r="GD25" s="57">
        <f t="shared" si="26"/>
        <v>524.09761837049302</v>
      </c>
      <c r="GE25" s="57">
        <f ca="1">AVERAGE(OFFSET($GD$3,0,0,'Données projet'!$E$17+1,1))-AVERAGE(OFFSET($H$3,0,0,'Données projet'!$E$17+1,1))</f>
        <v>414.47327143450701</v>
      </c>
      <c r="GF25" s="57">
        <f t="shared" si="50"/>
        <v>546.83385887302961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5.6382863082785679</v>
      </c>
      <c r="GM25" s="21">
        <f>EXP(-LN(2)/25)*GM24+(1-EXP(-LN(2)/25))/(LN(2)/25)*Calculateur!GH25*Calculateur!GJ25*VLOOKUP('Données projet'!$B$17,Paramètres!$A$1:$I$89,3,0)*0.475*44/12</f>
        <v>12.242071565728233</v>
      </c>
      <c r="GN25" s="21">
        <f>EXP(-LN(2)/2)*GN24+(1-EXP(-LN(2)/2))/(LN(2)/2)*GH25*GK25*VLOOKUP('Données projet'!$B$17,Paramètres!$A$1:$I$89,3,0)*0.475*44/12</f>
        <v>4.1435549627517458</v>
      </c>
      <c r="GO25" s="21">
        <f t="shared" si="27"/>
        <v>22.023912836758548</v>
      </c>
      <c r="GP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58.772564502624306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16.399999999999999</v>
      </c>
      <c r="GU25" s="12">
        <f>IF('Données projet'!$A$270&gt;35,GU24+GT25-HC24,IF(A25&lt;'Données projet'!$A$270,$GR$205^A25,IF(A25='Données projet'!$A$270,'Données projet'!$B$270,GU24+GT25-HC24)))</f>
        <v>130.80000000000001</v>
      </c>
      <c r="GV25" s="17">
        <f>GU25*VLOOKUP('Données projet'!$B$18,Paramètres!$A$1:$I$89,3,0)*VLOOKUP('Données projet'!$B$18,Paramètres!$A$1:$I$89,5,0)</f>
        <v>71.416800000000009</v>
      </c>
      <c r="GW25" s="13">
        <f t="shared" si="51"/>
        <v>20.024887576480612</v>
      </c>
      <c r="GX25" s="20">
        <f t="shared" si="28"/>
        <v>159.26093919570374</v>
      </c>
      <c r="GY25" s="57">
        <f t="shared" si="29"/>
        <v>401.64923126088172</v>
      </c>
      <c r="GZ25" s="57">
        <f ca="1">AVERAGE(OFFSET($GY$3,0,0,'Données projet'!$E$18+1,1))-AVERAGE(OFFSET($H$3,0,0,'Données projet'!$E$18+1,1))</f>
        <v>381.00532469288714</v>
      </c>
      <c r="HA25" s="57">
        <f t="shared" si="52"/>
        <v>314.875259641757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>
        <f>EXP(-LN(2)/35)*HG24+(1-EXP(-LN(2)/35))/(LN(2)/35)*HC25*HD25*VLOOKUP('Données projet'!$B$18,Paramètres!$A$1:$I$89,3,0)*0.475*44/12</f>
        <v>6.6250672351610262</v>
      </c>
      <c r="HH25" s="21">
        <f>EXP(-LN(2)/25)*HH24+(1-EXP(-LN(2)/25))/(LN(2)/25)*Calculateur!HC25*Calculateur!HE25*VLOOKUP('Données projet'!$B$18,Paramètres!$A$1:$I$89,3,0)*0.475*44/12</f>
        <v>9.59568170464666</v>
      </c>
      <c r="HI25" s="21">
        <f>EXP(-LN(2)/2)*HI24+(1-EXP(-LN(2)/2))/(LN(2)/2)*HC25*HF25*VLOOKUP('Données projet'!$B$18,Paramètres!$A$1:$I$89,3,0)*0.475*44/12</f>
        <v>4.3687163252850709</v>
      </c>
      <c r="HJ25" s="22">
        <f t="shared" si="30"/>
        <v>20.589465265092755</v>
      </c>
    </row>
    <row r="26" spans="1:218" x14ac:dyDescent="0.2">
      <c r="A26" s="10">
        <f t="shared" si="31"/>
        <v>23</v>
      </c>
      <c r="B26" s="71">
        <f>'Scénario référence'!$B$16*5+'Scénario référence'!$B$17*0+'Scénario référence'!$B$18*5</f>
        <v>3.3000000000000003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12.100000000000001</v>
      </c>
      <c r="H26" s="65">
        <f t="shared" si="1"/>
        <v>208.26666666666665</v>
      </c>
      <c r="I26" s="6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58.96733540771838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1.2</v>
      </c>
      <c r="N26" s="13">
        <f>IF('Données projet'!$A$36&gt;35,N25+M26-V25,IF(A26&lt;'Données projet'!$A$36,$K$205^A26,IF(A26='Données projet'!$A$36,'Données projet'!$B$36,N25+M26-V25)))</f>
        <v>22.853438584779923</v>
      </c>
      <c r="O26" s="13">
        <f>N26*VLOOKUP('Données projet'!$B$9,Paramètres!$A$1:$I$89,3,0)*VLOOKUP('Données projet'!$B$9,Paramètres!$A$1:$I$89,5,0)</f>
        <v>23.173386724966843</v>
      </c>
      <c r="P26" s="13">
        <f t="shared" si="33"/>
        <v>7.4072464638622444</v>
      </c>
      <c r="Q26" s="20">
        <f t="shared" si="2"/>
        <v>53.261269470543994</v>
      </c>
      <c r="R26" s="57">
        <f t="shared" si="0"/>
        <v>297.58594374328914</v>
      </c>
      <c r="S26" s="57">
        <f ca="1">AVERAGE(OFFSET($R$3,0,0,'Données projet'!$E$9+1,1))-AVERAGE(OFFSET($H$3,0,0,'Données projet'!$E$9+1,1))</f>
        <v>332.70145542047612</v>
      </c>
      <c r="T26" s="57">
        <f t="shared" si="34"/>
        <v>172.22433737900428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58.96733540771838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4.3352272727272725</v>
      </c>
      <c r="AI26" s="13">
        <f>IF('Données projet'!$A$62&gt;35,AI25+AH26-AQ25,IF(A26&lt;'Données projet'!$A$62,$AF$205^A26,IF(A26='Données projet'!$A$62,'Données projet'!$B$62,AI25+AH26-AQ25)))</f>
        <v>99.710227272727224</v>
      </c>
      <c r="AJ26" s="13">
        <f>AI26*VLOOKUP('Données projet'!$B$10,Paramètres!$A$1:$I$89,3,0)*VLOOKUP('Données projet'!$B$10,Paramètres!$A$1:$I$89,5,0)</f>
        <v>90.217813636363587</v>
      </c>
      <c r="AK26" s="13">
        <f t="shared" si="35"/>
        <v>24.61774900551816</v>
      </c>
      <c r="AL26" s="20">
        <f t="shared" si="4"/>
        <v>200.00527160127737</v>
      </c>
      <c r="AM26" s="57">
        <f t="shared" si="5"/>
        <v>444.32994587402254</v>
      </c>
      <c r="AN26" s="57">
        <f ca="1">AVERAGE(OFFSET($AM$3,0,0,'Données projet'!$E$10+1,1))-AVERAGE(OFFSET($H$3,0,0,'Données projet'!$E$10+1,1))</f>
        <v>469.4210143164521</v>
      </c>
      <c r="AO26" s="57">
        <f t="shared" si="36"/>
        <v>308.4508386530556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58.96733540771838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14.8</v>
      </c>
      <c r="BD26" s="12">
        <f>IF('Données projet'!$A$88&gt;35,BD25+BC26-BL25,IF(A26&lt;'Données projet'!$A$88,$BA$205^A26,IF(A26='Données projet'!$A$88,'Données projet'!$B$88,BD25+BC26-BL25)))</f>
        <v>111.39999999999998</v>
      </c>
      <c r="BE26" s="13">
        <f>BD26*VLOOKUP('Données projet'!$B$11,Paramètres!$A$1:$I$89,3,0)*VLOOKUP('Données projet'!$B$11,Paramètres!$A$1:$I$89,5,0)</f>
        <v>81.678479999999993</v>
      </c>
      <c r="BF26" s="13">
        <f t="shared" si="37"/>
        <v>22.547083950915322</v>
      </c>
      <c r="BG26" s="20">
        <f t="shared" si="7"/>
        <v>181.52619054784418</v>
      </c>
      <c r="BH26" s="57">
        <f t="shared" si="8"/>
        <v>425.85086482058932</v>
      </c>
      <c r="BI26" s="57">
        <f ca="1">AVERAGE(OFFSET($BH$3,0,0,'Données projet'!$E$11+1,1))-AVERAGE(OFFSET($H$3,0,0,'Données projet'!$E$11+1,1))</f>
        <v>344.32981377462971</v>
      </c>
      <c r="BJ26" s="57">
        <f t="shared" si="38"/>
        <v>334.42512656625763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4.2027263551083935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4.2027263551083935</v>
      </c>
      <c r="BT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58.96733540771838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4.04</v>
      </c>
      <c r="BY26" s="12">
        <f>IF('Données projet'!$A$114&gt;35,BY25+BX26-CG25,IF(A26&lt;'Données projet'!$A$114,$BV$205^A26,IF(A26='Données projet'!$A$114,'Données projet'!$B$114,BY25+BX26-CG25)))</f>
        <v>69.819327903142479</v>
      </c>
      <c r="BZ26" s="13">
        <f>BY26*VLOOKUP('Données projet'!$B$12,Paramètres!$A$1:$I$89,3,0)*VLOOKUP('Données projet'!$B$12,Paramètres!$A$1:$I$89,5,0)</f>
        <v>66.440072432630373</v>
      </c>
      <c r="CA26" s="13">
        <f t="shared" si="39"/>
        <v>18.786734541797902</v>
      </c>
      <c r="CB26" s="20">
        <f t="shared" si="10"/>
        <v>148.43668881379588</v>
      </c>
      <c r="CC26" s="57">
        <f t="shared" si="11"/>
        <v>392.76136308654105</v>
      </c>
      <c r="CD26" s="57">
        <f ca="1">AVERAGE(OFFSET($CC$3,0,0,'Données projet'!$E$12+1,1))-AVERAGE(OFFSET($H$3,0,0,'Données projet'!$E$12+1,1))</f>
        <v>498.77732039282807</v>
      </c>
      <c r="CE26" s="57">
        <f t="shared" si="40"/>
        <v>384.57317421826531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58.96733540771838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4.3352272727272725</v>
      </c>
      <c r="CT26" s="12">
        <f>IF('Données projet'!$A$140&gt;35,CT25+CS26-DB25,IF(A26&lt;'Données projet'!$A$140,$CQ$205^A26,IF(A26='Données projet'!$A$140,'Données projet'!$B$140,CT25+CS26-DB25)))</f>
        <v>99.710227272727224</v>
      </c>
      <c r="CU26" s="17">
        <f>CT26*VLOOKUP('Données projet'!$B$13,Paramètres!$A$1:$I$89,3,0)*VLOOKUP('Données projet'!$B$13,Paramètres!$A$1:$I$89,5,0)</f>
        <v>66.885620454545418</v>
      </c>
      <c r="CV26" s="13">
        <f t="shared" si="41"/>
        <v>18.89801074949095</v>
      </c>
      <c r="CW26" s="20">
        <f t="shared" si="13"/>
        <v>149.40649101369667</v>
      </c>
      <c r="CX26" s="57">
        <f t="shared" si="14"/>
        <v>393.73116528644186</v>
      </c>
      <c r="CY26" s="57">
        <f ca="1">AVERAGE(OFFSET($CX$3,0,0,'Données projet'!$E$13+1,1))-AVERAGE(OFFSET($H$3,0,0,'Données projet'!$E$13+1,1))</f>
        <v>365.99625753737246</v>
      </c>
      <c r="CZ26" s="57">
        <f t="shared" si="42"/>
        <v>242.84814712692287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58.96733540771838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11</v>
      </c>
      <c r="DO26" s="12">
        <f>IF('Données projet'!$A$166&gt;35,DO25+DN26-DW25,IF(A26&lt;'Données projet'!$A$166,$DL$205^A26,IF(A26='Données projet'!$A$166,'Données projet'!$B$166,DO25+DN26-DW25)))</f>
        <v>138</v>
      </c>
      <c r="DP26" s="17">
        <f>DO26*VLOOKUP('Données projet'!$B$14,Paramètres!$A$1:$I$89,3,0)*VLOOKUP('Données projet'!$B$14,Paramètres!$A$1:$I$89,5,0)</f>
        <v>90.417600000000007</v>
      </c>
      <c r="DQ26" s="13">
        <f t="shared" si="43"/>
        <v>24.665912907068826</v>
      </c>
      <c r="DR26" s="20">
        <f t="shared" si="16"/>
        <v>200.43711831314488</v>
      </c>
      <c r="DS26" s="57">
        <f t="shared" si="17"/>
        <v>444.76179258589002</v>
      </c>
      <c r="DT26" s="57">
        <f ca="1">AVERAGE(OFFSET($DS$3,0,0,'Données projet'!$E$14+1,1))-AVERAGE(OFFSET($H$3,0,0,'Données projet'!$E$14+1,1))</f>
        <v>313.79279628660527</v>
      </c>
      <c r="DU26" s="57">
        <f t="shared" si="44"/>
        <v>317.45469955216254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58.96733540771838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23.333333333333332</v>
      </c>
      <c r="EJ26" s="12">
        <f>IF('Données projet'!$A$192&gt;35,EJ25+EI26-ER25,IF(A26&lt;'Données projet'!$A$192,$EG$205^A26,IF(A26='Données projet'!$A$192,'Données projet'!$B$192,EJ25+EI26-ER25)))</f>
        <v>149.66666666666669</v>
      </c>
      <c r="EK26" s="17">
        <f>EJ26*VLOOKUP('Données projet'!$B$15,Paramètres!$A$1:$I$89,3,0)*VLOOKUP('Données projet'!$B$15,Paramètres!$A$1:$I$89,5,0)</f>
        <v>128.41400000000002</v>
      </c>
      <c r="EL26" s="13">
        <f t="shared" si="45"/>
        <v>33.629619895329526</v>
      </c>
      <c r="EM26" s="20">
        <f t="shared" si="19"/>
        <v>282.22597131769891</v>
      </c>
      <c r="EN26" s="57">
        <f t="shared" si="20"/>
        <v>526.55064559044411</v>
      </c>
      <c r="EO26" s="57">
        <f ca="1">AVERAGE(OFFSET($EN$3,0,0,'Données projet'!$E$15+1,1))-AVERAGE(OFFSET($H$3,0,0,'Données projet'!$E$15+1,1))</f>
        <v>643.04899298561475</v>
      </c>
      <c r="EP26" s="57">
        <f t="shared" si="46"/>
        <v>474.94999304483031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58.96733540771838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14.8</v>
      </c>
      <c r="FE26" s="12">
        <f>IF('Données projet'!$A$218&gt;35,FE25+FD26-FM25,IF(A26&lt;'Données projet'!$A$218,$FB$205^A26,IF(A26='Données projet'!$A$218,'Données projet'!$B$218,FE25+FD26-FM25)))</f>
        <v>111.39999999999998</v>
      </c>
      <c r="FF26" s="17">
        <f>FE26*VLOOKUP('Données projet'!$B$16,Paramètres!$A$1:$I$89,3,0)*VLOOKUP('Données projet'!$B$16,Paramètres!$A$1:$I$89,5,0)</f>
        <v>90.367679999999993</v>
      </c>
      <c r="FG26" s="13">
        <f t="shared" si="47"/>
        <v>24.653879504109455</v>
      </c>
      <c r="FH26" s="20">
        <f t="shared" si="22"/>
        <v>200.32921613632394</v>
      </c>
      <c r="FI26" s="57">
        <f t="shared" si="23"/>
        <v>444.65389040906911</v>
      </c>
      <c r="FJ26" s="57">
        <f ca="1">AVERAGE(OFFSET($FI$3,0,0,'Données projet'!$E$16+1,1))-AVERAGE(OFFSET($H$3,0,0,'Données projet'!$E$16+1,1))</f>
        <v>375.34603719604439</v>
      </c>
      <c r="FK26" s="57">
        <f t="shared" si="48"/>
        <v>363.99476973672211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5.7311795322507351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5.7311795322507351</v>
      </c>
      <c r="FU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58.96733540771838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>
        <f>VLOOKUP(A26,'Données projet'!$A$243:$I$263,2,0)</f>
        <v>258.74</v>
      </c>
      <c r="FX26" s="12">
        <f>VLOOKUP(A26,'Données projet'!$A$243:$I$263,9,0)</f>
        <v>29.450000000000017</v>
      </c>
      <c r="FY26" s="12">
        <f t="array" ref="FY26">INDEX(FX:FX,MIN(IF(ISNUMBER(FX26:FX222),ROW(FX26:FX222),"")))</f>
        <v>29.450000000000017</v>
      </c>
      <c r="FZ26" s="12">
        <f>IF('Données projet'!$A$244&gt;35,FZ25+FY26-GH25,IF(A26&lt;'Données projet'!$A$244,$FW$205^A26,IF(A26='Données projet'!$A$244,'Données projet'!$B$244,FZ25+FY26-GH25)))</f>
        <v>258.74</v>
      </c>
      <c r="GA26" s="17">
        <f>FZ26*VLOOKUP('Données projet'!$B$17,Paramètres!$A$1:$I$89,3,0)*VLOOKUP('Données projet'!$B$17,Paramètres!$A$1:$I$89,5,0)</f>
        <v>144.63566</v>
      </c>
      <c r="GB26" s="13">
        <f t="shared" si="49"/>
        <v>37.356948366647352</v>
      </c>
      <c r="GC26" s="20">
        <f t="shared" si="25"/>
        <v>316.97045957191079</v>
      </c>
      <c r="GD26" s="57">
        <f t="shared" si="26"/>
        <v>561.29513384465599</v>
      </c>
      <c r="GE26" s="57">
        <f ca="1">AVERAGE(OFFSET($GD$3,0,0,'Données projet'!$E$17+1,1))-AVERAGE(OFFSET($H$3,0,0,'Données projet'!$E$17+1,1))</f>
        <v>414.47327143450701</v>
      </c>
      <c r="GF26" s="57">
        <f t="shared" si="50"/>
        <v>546.83385887302961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5.5277229527882987</v>
      </c>
      <c r="GM26" s="21">
        <f>EXP(-LN(2)/25)*GM25+(1-EXP(-LN(2)/25))/(LN(2)/25)*Calculateur!GH26*Calculateur!GJ26*VLOOKUP('Données projet'!$B$17,Paramètres!$A$1:$I$89,3,0)*0.475*44/12</f>
        <v>11.907311474980832</v>
      </c>
      <c r="GN26" s="21">
        <f>EXP(-LN(2)/2)*GN25+(1-EXP(-LN(2)/2))/(LN(2)/2)*GH26*GK26*VLOOKUP('Données projet'!$B$17,Paramètres!$A$1:$I$89,3,0)*0.475*44/12</f>
        <v>2.9299358123809318</v>
      </c>
      <c r="GO26" s="21">
        <f t="shared" si="27"/>
        <v>20.364970240150065</v>
      </c>
      <c r="GP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58.96733540771838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16.399999999999999</v>
      </c>
      <c r="GU26" s="12">
        <f>IF('Données projet'!$A$270&gt;35,GU25+GT26-HC25,IF(A26&lt;'Données projet'!$A$270,$GR$205^A26,IF(A26='Données projet'!$A$270,'Données projet'!$B$270,GU25+GT26-HC25)))</f>
        <v>147.20000000000002</v>
      </c>
      <c r="GV26" s="17">
        <f>GU26*VLOOKUP('Données projet'!$B$18,Paramètres!$A$1:$I$89,3,0)*VLOOKUP('Données projet'!$B$18,Paramètres!$A$1:$I$89,5,0)</f>
        <v>80.371200000000016</v>
      </c>
      <c r="GW26" s="13">
        <f t="shared" si="51"/>
        <v>22.227919990990831</v>
      </c>
      <c r="GX26" s="20">
        <f t="shared" si="28"/>
        <v>178.69346731764236</v>
      </c>
      <c r="GY26" s="57">
        <f t="shared" si="29"/>
        <v>423.01814159038753</v>
      </c>
      <c r="GZ26" s="57">
        <f ca="1">AVERAGE(OFFSET($GY$3,0,0,'Données projet'!$E$18+1,1))-AVERAGE(OFFSET($H$3,0,0,'Données projet'!$E$18+1,1))</f>
        <v>381.00532469288714</v>
      </c>
      <c r="HA26" s="57">
        <f t="shared" si="52"/>
        <v>314.875259641757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>
        <f>EXP(-LN(2)/35)*HG25+(1-EXP(-LN(2)/35))/(LN(2)/35)*HC26*HD26*VLOOKUP('Données projet'!$B$18,Paramètres!$A$1:$I$89,3,0)*0.475*44/12</f>
        <v>6.4951537075715269</v>
      </c>
      <c r="HH26" s="21">
        <f>EXP(-LN(2)/25)*HH25+(1-EXP(-LN(2)/25))/(LN(2)/25)*Calculateur!HC26*Calculateur!HE26*VLOOKUP('Données projet'!$B$18,Paramètres!$A$1:$I$89,3,0)*0.475*44/12</f>
        <v>9.3332872838181267</v>
      </c>
      <c r="HI26" s="21">
        <f>EXP(-LN(2)/2)*HI25+(1-EXP(-LN(2)/2))/(LN(2)/2)*HC26*HF26*VLOOKUP('Données projet'!$B$18,Paramètres!$A$1:$I$89,3,0)*0.475*44/12</f>
        <v>3.0891489386894486</v>
      </c>
      <c r="HJ26" s="22">
        <f t="shared" si="30"/>
        <v>18.917589930079103</v>
      </c>
    </row>
    <row r="27" spans="1:218" x14ac:dyDescent="0.2">
      <c r="A27" s="10">
        <f t="shared" si="31"/>
        <v>24</v>
      </c>
      <c r="B27" s="71">
        <f>'Scénario référence'!$B$16*5+'Scénario référence'!$B$17*0+'Scénario référence'!$B$18*5</f>
        <v>3.3000000000000003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12.100000000000001</v>
      </c>
      <c r="H27" s="65">
        <f t="shared" si="1"/>
        <v>208.26666666666665</v>
      </c>
      <c r="I27" s="6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59.15872747305157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1.2</v>
      </c>
      <c r="N27" s="13">
        <f>IF('Données projet'!$A$36&gt;35,N26+M27-V26,IF(A27&lt;'Données projet'!$A$36,$K$205^A27,IF(A27='Données projet'!$A$36,'Données projet'!$B$36,N26+M27-V26)))</f>
        <v>26.184024853780567</v>
      </c>
      <c r="O27" s="13">
        <f>N27*VLOOKUP('Données projet'!$B$9,Paramètres!$A$1:$I$89,3,0)*VLOOKUP('Données projet'!$B$9,Paramètres!$A$1:$I$89,5,0)</f>
        <v>26.550601201733496</v>
      </c>
      <c r="P27" s="13">
        <f t="shared" si="33"/>
        <v>8.3534171376241328</v>
      </c>
      <c r="Q27" s="20">
        <f t="shared" si="2"/>
        <v>60.7911652743812</v>
      </c>
      <c r="R27" s="57">
        <f t="shared" si="0"/>
        <v>307.03983267557032</v>
      </c>
      <c r="S27" s="57">
        <f ca="1">AVERAGE(OFFSET($R$3,0,0,'Données projet'!$E$9+1,1))-AVERAGE(OFFSET($H$3,0,0,'Données projet'!$E$9+1,1))</f>
        <v>332.70145542047612</v>
      </c>
      <c r="T27" s="57">
        <f t="shared" si="34"/>
        <v>172.22433737900428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59.15872747305157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4.3352272727272725</v>
      </c>
      <c r="AI27" s="13">
        <f>IF('Données projet'!$A$62&gt;35,AI26+AH27-AQ26,IF(A27&lt;'Données projet'!$A$62,$AF$205^A27,IF(A27='Données projet'!$A$62,'Données projet'!$B$62,AI26+AH27-AQ26)))</f>
        <v>104.04545454545449</v>
      </c>
      <c r="AJ27" s="13">
        <f>AI27*VLOOKUP('Données projet'!$B$10,Paramètres!$A$1:$I$89,3,0)*VLOOKUP('Données projet'!$B$10,Paramètres!$A$1:$I$89,5,0)</f>
        <v>94.14032727272722</v>
      </c>
      <c r="AK27" s="13">
        <f t="shared" si="35"/>
        <v>25.561143397467401</v>
      </c>
      <c r="AL27" s="20">
        <f t="shared" si="4"/>
        <v>208.48006141725565</v>
      </c>
      <c r="AM27" s="57">
        <f t="shared" si="5"/>
        <v>454.72872881844478</v>
      </c>
      <c r="AN27" s="57">
        <f ca="1">AVERAGE(OFFSET($AM$3,0,0,'Données projet'!$E$10+1,1))-AVERAGE(OFFSET($H$3,0,0,'Données projet'!$E$10+1,1))</f>
        <v>469.4210143164521</v>
      </c>
      <c r="AO27" s="57">
        <f t="shared" si="36"/>
        <v>308.4508386530556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59.15872747305157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14.8</v>
      </c>
      <c r="BD27" s="12">
        <f>IF('Données projet'!$A$88&gt;35,BD26+BC27-BL26,IF(A27&lt;'Données projet'!$A$88,$BA$205^A27,IF(A27='Données projet'!$A$88,'Données projet'!$B$88,BD26+BC27-BL26)))</f>
        <v>126.19999999999997</v>
      </c>
      <c r="BE27" s="13">
        <f>BD27*VLOOKUP('Données projet'!$B$11,Paramètres!$A$1:$I$89,3,0)*VLOOKUP('Données projet'!$B$11,Paramètres!$A$1:$I$89,5,0)</f>
        <v>92.529839999999979</v>
      </c>
      <c r="BF27" s="13">
        <f t="shared" si="37"/>
        <v>25.174373611210889</v>
      </c>
      <c r="BG27" s="20">
        <f t="shared" si="7"/>
        <v>205.0015053728589</v>
      </c>
      <c r="BH27" s="57">
        <f t="shared" si="8"/>
        <v>451.250172774048</v>
      </c>
      <c r="BI27" s="57">
        <f ca="1">AVERAGE(OFFSET($BH$3,0,0,'Données projet'!$E$11+1,1))-AVERAGE(OFFSET($H$3,0,0,'Données projet'!$E$11+1,1))</f>
        <v>344.32981377462971</v>
      </c>
      <c r="BJ27" s="57">
        <f t="shared" si="38"/>
        <v>334.42512656625763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4.1203134546946787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4.1203134546946787</v>
      </c>
      <c r="BT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59.15872747305157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4.04</v>
      </c>
      <c r="BY27" s="12">
        <f>IF('Données projet'!$A$114&gt;35,BY26+BX27-CG26,IF(A27&lt;'Données projet'!$A$114,$BV$205^A27,IF(A27='Données projet'!$A$114,'Données projet'!$B$114,BY26+BX27-CG26)))</f>
        <v>83.974711182696993</v>
      </c>
      <c r="BZ27" s="13">
        <f>BY27*VLOOKUP('Données projet'!$B$12,Paramètres!$A$1:$I$89,3,0)*VLOOKUP('Données projet'!$B$12,Paramètres!$A$1:$I$89,5,0)</f>
        <v>79.910335161454455</v>
      </c>
      <c r="CA27" s="13">
        <f t="shared" si="39"/>
        <v>22.115259178802624</v>
      </c>
      <c r="CB27" s="20">
        <f t="shared" si="10"/>
        <v>177.69457680928107</v>
      </c>
      <c r="CC27" s="57">
        <f t="shared" si="11"/>
        <v>423.9432442104702</v>
      </c>
      <c r="CD27" s="57">
        <f ca="1">AVERAGE(OFFSET($CC$3,0,0,'Données projet'!$E$12+1,1))-AVERAGE(OFFSET($H$3,0,0,'Données projet'!$E$12+1,1))</f>
        <v>498.77732039282807</v>
      </c>
      <c r="CE27" s="57">
        <f t="shared" si="40"/>
        <v>384.57317421826531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59.15872747305157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4.3352272727272725</v>
      </c>
      <c r="CT27" s="12">
        <f>IF('Données projet'!$A$140&gt;35,CT26+CS27-DB26,IF(A27&lt;'Données projet'!$A$140,$CQ$205^A27,IF(A27='Données projet'!$A$140,'Données projet'!$B$140,CT26+CS27-DB26)))</f>
        <v>104.04545454545449</v>
      </c>
      <c r="CU27" s="17">
        <f>CT27*VLOOKUP('Données projet'!$B$13,Paramètres!$A$1:$I$89,3,0)*VLOOKUP('Données projet'!$B$13,Paramètres!$A$1:$I$89,5,0)</f>
        <v>69.79369090909087</v>
      </c>
      <c r="CV27" s="13">
        <f t="shared" si="41"/>
        <v>19.622214955004196</v>
      </c>
      <c r="CW27" s="20">
        <f t="shared" si="13"/>
        <v>155.73270271329889</v>
      </c>
      <c r="CX27" s="57">
        <f t="shared" si="14"/>
        <v>401.98137011448796</v>
      </c>
      <c r="CY27" s="57">
        <f ca="1">AVERAGE(OFFSET($CX$3,0,0,'Données projet'!$E$13+1,1))-AVERAGE(OFFSET($H$3,0,0,'Données projet'!$E$13+1,1))</f>
        <v>365.99625753737246</v>
      </c>
      <c r="CZ27" s="57">
        <f t="shared" si="42"/>
        <v>242.84814712692287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59.15872747305157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11</v>
      </c>
      <c r="DO27" s="12">
        <f>IF('Données projet'!$A$166&gt;35,DO26+DN27-DW26,IF(A27&lt;'Données projet'!$A$166,$DL$205^A27,IF(A27='Données projet'!$A$166,'Données projet'!$B$166,DO26+DN27-DW26)))</f>
        <v>149</v>
      </c>
      <c r="DP27" s="17">
        <f>DO27*VLOOKUP('Données projet'!$B$14,Paramètres!$A$1:$I$89,3,0)*VLOOKUP('Données projet'!$B$14,Paramètres!$A$1:$I$89,5,0)</f>
        <v>97.624800000000008</v>
      </c>
      <c r="DQ27" s="13">
        <f t="shared" si="43"/>
        <v>26.395349675372152</v>
      </c>
      <c r="DR27" s="20">
        <f t="shared" si="16"/>
        <v>216.00176068460652</v>
      </c>
      <c r="DS27" s="57">
        <f t="shared" si="17"/>
        <v>462.25042808579565</v>
      </c>
      <c r="DT27" s="57">
        <f ca="1">AVERAGE(OFFSET($DS$3,0,0,'Données projet'!$E$14+1,1))-AVERAGE(OFFSET($H$3,0,0,'Données projet'!$E$14+1,1))</f>
        <v>313.79279628660527</v>
      </c>
      <c r="DU27" s="57">
        <f t="shared" si="44"/>
        <v>317.45469955216254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59.15872747305157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>
        <f>VLOOKUP(A27,'Données projet'!$A$191:$I$211,2,0)</f>
        <v>173</v>
      </c>
      <c r="EH27" s="12">
        <f>VLOOKUP(A27,'Données projet'!$A$191:$I$211,9,0)</f>
        <v>23.333333333333332</v>
      </c>
      <c r="EI27" s="12">
        <f t="array" ref="EI27">INDEX(EH:EH,MIN(IF(ISNUMBER(EH27:EH223),ROW(EH27:EH223),"")))</f>
        <v>23.333333333333332</v>
      </c>
      <c r="EJ27" s="12">
        <f>IF('Données projet'!$A$192&gt;35,EJ26+EI27-ER26,IF(A27&lt;'Données projet'!$A$192,$EG$205^A27,IF(A27='Données projet'!$A$192,'Données projet'!$B$192,EJ26+EI27-ER26)))</f>
        <v>173.00000000000003</v>
      </c>
      <c r="EK27" s="17">
        <f>EJ27*VLOOKUP('Données projet'!$B$15,Paramètres!$A$1:$I$89,3,0)*VLOOKUP('Données projet'!$B$15,Paramètres!$A$1:$I$89,5,0)</f>
        <v>148.43400000000003</v>
      </c>
      <c r="EL27" s="13">
        <f t="shared" si="45"/>
        <v>38.222489421716382</v>
      </c>
      <c r="EM27" s="20">
        <f t="shared" si="19"/>
        <v>325.0933857428227</v>
      </c>
      <c r="EN27" s="57">
        <f t="shared" si="20"/>
        <v>571.34205314401174</v>
      </c>
      <c r="EO27" s="57">
        <f ca="1">AVERAGE(OFFSET($EN$3,0,0,'Données projet'!$E$15+1,1))-AVERAGE(OFFSET($H$3,0,0,'Données projet'!$E$15+1,1))</f>
        <v>643.04899298561475</v>
      </c>
      <c r="EP27" s="57">
        <f t="shared" si="46"/>
        <v>474.94999304483031</v>
      </c>
      <c r="EQ27" s="15">
        <f>IF(ISNA(VLOOKUP(A27,'Données projet'!$A$191:$I$211,3,0)),0,VLOOKUP(A27,'Données projet'!$A$191:$I$211,3,0))</f>
        <v>4</v>
      </c>
      <c r="ER27" s="15">
        <f>IF(ISNA(VLOOKUP(A27,'Données projet'!$A$191:$I$211,4,0)),0,VLOOKUP(A27,'Données projet'!$A$191:$I$211,4,0))</f>
        <v>47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59.15872747305157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14.8</v>
      </c>
      <c r="FE27" s="12">
        <f>IF('Données projet'!$A$218&gt;35,FE26+FD27-FM26,IF(A27&lt;'Données projet'!$A$218,$FB$205^A27,IF(A27='Données projet'!$A$218,'Données projet'!$B$218,FE26+FD27-FM26)))</f>
        <v>126.19999999999997</v>
      </c>
      <c r="FF27" s="17">
        <f>FE27*VLOOKUP('Données projet'!$B$16,Paramètres!$A$1:$I$89,3,0)*VLOOKUP('Données projet'!$B$16,Paramètres!$A$1:$I$89,5,0)</f>
        <v>102.37344</v>
      </c>
      <c r="FG27" s="13">
        <f t="shared" si="47"/>
        <v>27.526662647523008</v>
      </c>
      <c r="FH27" s="20">
        <f t="shared" si="22"/>
        <v>226.24267877776924</v>
      </c>
      <c r="FI27" s="57">
        <f t="shared" si="23"/>
        <v>472.49134617895834</v>
      </c>
      <c r="FJ27" s="57">
        <f ca="1">AVERAGE(OFFSET($FI$3,0,0,'Données projet'!$E$16+1,1))-AVERAGE(OFFSET($H$3,0,0,'Données projet'!$E$16+1,1))</f>
        <v>375.34603719604439</v>
      </c>
      <c r="FK27" s="57">
        <f t="shared" si="48"/>
        <v>363.99476973672211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5.6187945972976436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5.6187945972976436</v>
      </c>
      <c r="FU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59.15872747305157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>
        <f>VLOOKUP(A27,'Données projet'!$A$243:$I$263,2,0)</f>
        <v>289.08999999999997</v>
      </c>
      <c r="FX27" s="12">
        <f>VLOOKUP(A27,'Données projet'!$A$243:$I$263,9,0)</f>
        <v>30.349999999999966</v>
      </c>
      <c r="FY27" s="12">
        <f t="array" ref="FY27">INDEX(FX:FX,MIN(IF(ISNUMBER(FX27:FX223),ROW(FX27:FX223),"")))</f>
        <v>30.349999999999966</v>
      </c>
      <c r="FZ27" s="12">
        <f>IF('Données projet'!$A$244&gt;35,FZ26+FY27-GH26,IF(A27&lt;'Données projet'!$A$244,$FW$205^A27,IF(A27='Données projet'!$A$244,'Données projet'!$B$244,FZ26+FY27-GH26)))</f>
        <v>289.08999999999997</v>
      </c>
      <c r="GA27" s="17">
        <f>FZ27*VLOOKUP('Données projet'!$B$17,Paramètres!$A$1:$I$89,3,0)*VLOOKUP('Données projet'!$B$17,Paramètres!$A$1:$I$89,5,0)</f>
        <v>161.60130999999998</v>
      </c>
      <c r="GB27" s="13">
        <f t="shared" si="49"/>
        <v>41.203485747561459</v>
      </c>
      <c r="GC27" s="20">
        <f t="shared" si="25"/>
        <v>353.21835259366952</v>
      </c>
      <c r="GD27" s="57">
        <f t="shared" si="26"/>
        <v>599.46701999485867</v>
      </c>
      <c r="GE27" s="57">
        <f ca="1">AVERAGE(OFFSET($GD$3,0,0,'Données projet'!$E$17+1,1))-AVERAGE(OFFSET($H$3,0,0,'Données projet'!$E$17+1,1))</f>
        <v>414.47327143450701</v>
      </c>
      <c r="GF27" s="57">
        <f t="shared" si="50"/>
        <v>546.83385887302961</v>
      </c>
      <c r="GG27" s="15">
        <f>IF(ISNA(VLOOKUP(A27,'Données projet'!$A$243:$I$263,3,0)),0,VLOOKUP(A27,'Données projet'!$A$243:$I$263,3,0))</f>
        <v>2</v>
      </c>
      <c r="GH27" s="15">
        <f>IF(ISNA(VLOOKUP(A27,'Données projet'!$A$243:$I$263,4,0)),0,VLOOKUP(A27,'Données projet'!$A$243:$I$263,4,0))</f>
        <v>51.39</v>
      </c>
      <c r="GI27" s="16">
        <f>IF(ISNA(VLOOKUP(A27,'Données projet'!$A$243:$I$263,5,0)),0%,VLOOKUP(A27,'Données projet'!$A$243:$I$263,5,0)*VLOOKUP('Données projet'!$B$17,Paramètres!$A$1:$I$89,7,0))</f>
        <v>0.16500000000000001</v>
      </c>
      <c r="GJ27" s="16">
        <f>IF(ISNA(VLOOKUP(A27,'Données projet'!$A$243:$I$263,6,0)),0%,VLOOKUP(A27,'Données projet'!$A$243:$I$263,6,0)*VLOOKUP('Données projet'!$B$17,Paramètres!$A$1:$I$89,7,0))</f>
        <v>0.21450000000000002</v>
      </c>
      <c r="GK27" s="16">
        <f>IF(ISNA(VLOOKUP(A27,'Données projet'!$A$243:$I$263,7,0)),0%,VLOOKUP(A27,'Données projet'!$A$243:$I$263,7,0))</f>
        <v>0.31</v>
      </c>
      <c r="GL27" s="21">
        <f>EXP(-LN(2)/35)*GL26+(1-EXP(-LN(2)/35))/(LN(2)/35)*GH27*GI27*VLOOKUP('Données projet'!$B$17,Paramètres!$A$1:$I$89,3,0)*0.475*44/12</f>
        <v>11.707185689476482</v>
      </c>
      <c r="GM27" s="21">
        <f>EXP(-LN(2)/25)*GM26+(1-EXP(-LN(2)/25))/(LN(2)/25)*Calculateur!GH27*Calculateur!GJ27*VLOOKUP('Données projet'!$B$17,Paramètres!$A$1:$I$89,3,0)*0.475*44/12</f>
        <v>19.723735831685175</v>
      </c>
      <c r="GN27" s="21">
        <f>EXP(-LN(2)/2)*GN26+(1-EXP(-LN(2)/2))/(LN(2)/2)*GH27*GK27*VLOOKUP('Données projet'!$B$17,Paramètres!$A$1:$I$89,3,0)*0.475*44/12</f>
        <v>12.154728526719261</v>
      </c>
      <c r="GO27" s="21">
        <f t="shared" si="27"/>
        <v>43.585650047880918</v>
      </c>
      <c r="GP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59.15872747305157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16.399999999999999</v>
      </c>
      <c r="GU27" s="12">
        <f>IF('Données projet'!$A$270&gt;35,GU26+GT27-HC26,IF(A27&lt;'Données projet'!$A$270,$GR$205^A27,IF(A27='Données projet'!$A$270,'Données projet'!$B$270,GU26+GT27-HC26)))</f>
        <v>163.60000000000002</v>
      </c>
      <c r="GV27" s="17">
        <f>GU27*VLOOKUP('Données projet'!$B$18,Paramètres!$A$1:$I$89,3,0)*VLOOKUP('Données projet'!$B$18,Paramètres!$A$1:$I$89,5,0)</f>
        <v>89.325600000000009</v>
      </c>
      <c r="GW27" s="13">
        <f t="shared" si="51"/>
        <v>24.402504821642008</v>
      </c>
      <c r="GX27" s="20">
        <f t="shared" si="28"/>
        <v>198.07644923102649</v>
      </c>
      <c r="GY27" s="57">
        <f t="shared" si="29"/>
        <v>444.32511663221555</v>
      </c>
      <c r="GZ27" s="57">
        <f ca="1">AVERAGE(OFFSET($GY$3,0,0,'Données projet'!$E$18+1,1))-AVERAGE(OFFSET($H$3,0,0,'Données projet'!$E$18+1,1))</f>
        <v>381.00532469288714</v>
      </c>
      <c r="HA27" s="57">
        <f t="shared" si="52"/>
        <v>314.875259641757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>
        <f>EXP(-LN(2)/35)*HG26+(1-EXP(-LN(2)/35))/(LN(2)/35)*HC27*HD27*VLOOKUP('Données projet'!$B$18,Paramètres!$A$1:$I$89,3,0)*0.475*44/12</f>
        <v>6.36778770501863</v>
      </c>
      <c r="HH27" s="21">
        <f>EXP(-LN(2)/25)*HH26+(1-EXP(-LN(2)/25))/(LN(2)/25)*Calculateur!HC27*Calculateur!HE27*VLOOKUP('Données projet'!$B$18,Paramètres!$A$1:$I$89,3,0)*0.475*44/12</f>
        <v>9.0780680522258734</v>
      </c>
      <c r="HI27" s="21">
        <f>EXP(-LN(2)/2)*HI26+(1-EXP(-LN(2)/2))/(LN(2)/2)*HC27*HF27*VLOOKUP('Données projet'!$B$18,Paramètres!$A$1:$I$89,3,0)*0.475*44/12</f>
        <v>2.1843581626425355</v>
      </c>
      <c r="HJ27" s="22">
        <f t="shared" si="30"/>
        <v>17.630213919887041</v>
      </c>
    </row>
    <row r="28" spans="1:218" x14ac:dyDescent="0.2">
      <c r="A28" s="10">
        <f t="shared" si="31"/>
        <v>25</v>
      </c>
      <c r="B28" s="71">
        <f>'Scénario référence'!$B$16*5+'Scénario référence'!$B$17*0+'Scénario référence'!$B$18*5</f>
        <v>3.3000000000000003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12.100000000000001</v>
      </c>
      <c r="H28" s="65">
        <f t="shared" si="1"/>
        <v>208.26666666666665</v>
      </c>
      <c r="I28" s="6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59.346799313939783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30</v>
      </c>
      <c r="L28" s="12">
        <f>VLOOKUP(A28,'Données projet'!$A$35:$I$55,9,0)</f>
        <v>1.2</v>
      </c>
      <c r="M28" s="12">
        <f t="array" ref="M28">INDEX(L:L,MIN(IF(ISNUMBER(L28:L224),ROW(L28:L224),"")))</f>
        <v>1.2</v>
      </c>
      <c r="N28" s="13">
        <f>IF('Données projet'!$A$36&gt;35,N27+M28-V27,IF(A28&lt;'Données projet'!$A$36,$K$205^A28,IF(A28='Données projet'!$A$36,'Données projet'!$B$36,N27+M28-V27)))</f>
        <v>30</v>
      </c>
      <c r="O28" s="13">
        <f>N28*VLOOKUP('Données projet'!$B$9,Paramètres!$A$1:$I$89,3,0)*VLOOKUP('Données projet'!$B$9,Paramètres!$A$1:$I$89,5,0)</f>
        <v>30.42</v>
      </c>
      <c r="P28" s="13">
        <f t="shared" si="33"/>
        <v>9.4204476947792024</v>
      </c>
      <c r="Q28" s="20">
        <f t="shared" si="2"/>
        <v>69.388779735073783</v>
      </c>
      <c r="R28" s="57">
        <f t="shared" si="0"/>
        <v>317.54926610840852</v>
      </c>
      <c r="S28" s="57">
        <f ca="1">AVERAGE(OFFSET($R$3,0,0,'Données projet'!$E$9+1,1))-AVERAGE(OFFSET($H$3,0,0,'Données projet'!$E$9+1,1))</f>
        <v>332.70145542047612</v>
      </c>
      <c r="T28" s="57">
        <f t="shared" si="34"/>
        <v>172.22433737900428</v>
      </c>
      <c r="U28" s="15">
        <f>IF(ISNA(VLOOKUP(A28,'Données projet'!$A$35:$I$55,3,0)),0,VLOOKUP(A28,'Données projet'!$A$35:$I$55,3,0))</f>
        <v>1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59.346799313939783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4.3352272727272725</v>
      </c>
      <c r="AI28" s="13">
        <f>IF('Données projet'!$A$62&gt;35,AI27+AH28-AQ27,IF(A28&lt;'Données projet'!$A$62,$AF$205^A28,IF(A28='Données projet'!$A$62,'Données projet'!$B$62,AI27+AH28-AQ27)))</f>
        <v>108.38068181818176</v>
      </c>
      <c r="AJ28" s="13">
        <f>AI28*VLOOKUP('Données projet'!$B$10,Paramètres!$A$1:$I$89,3,0)*VLOOKUP('Données projet'!$B$10,Paramètres!$A$1:$I$89,5,0)</f>
        <v>98.062840909090852</v>
      </c>
      <c r="AK28" s="13">
        <f t="shared" si="35"/>
        <v>26.499972008991026</v>
      </c>
      <c r="AL28" s="20">
        <f t="shared" si="4"/>
        <v>216.94689916565926</v>
      </c>
      <c r="AM28" s="57">
        <f t="shared" si="5"/>
        <v>465.10738553899398</v>
      </c>
      <c r="AN28" s="57">
        <f ca="1">AVERAGE(OFFSET($AM$3,0,0,'Données projet'!$E$10+1,1))-AVERAGE(OFFSET($H$3,0,0,'Données projet'!$E$10+1,1))</f>
        <v>469.4210143164521</v>
      </c>
      <c r="AO28" s="57">
        <f t="shared" si="36"/>
        <v>308.4508386530556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59.346799313939783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141</v>
      </c>
      <c r="BB28" s="12">
        <f>VLOOKUP(A28,'Données projet'!$A$87:$I$107,9,0)</f>
        <v>14.8</v>
      </c>
      <c r="BC28" s="12">
        <f t="array" ref="BC28">INDEX(BB:BB,MIN(IF(ISNUMBER(BB28:BB224),ROW(BB28:BB224),"")))</f>
        <v>14.8</v>
      </c>
      <c r="BD28" s="12">
        <f>IF('Données projet'!$A$88&gt;35,BD27+BC28-BL27,IF(A28&lt;'Données projet'!$A$88,$BA$205^A28,IF(A28='Données projet'!$A$88,'Données projet'!$B$88,BD27+BC28-BL27)))</f>
        <v>140.99999999999997</v>
      </c>
      <c r="BE28" s="13">
        <f>BD28*VLOOKUP('Données projet'!$B$11,Paramètres!$A$1:$I$89,3,0)*VLOOKUP('Données projet'!$B$11,Paramètres!$A$1:$I$89,5,0)</f>
        <v>103.38119999999998</v>
      </c>
      <c r="BF28" s="13">
        <f t="shared" si="37"/>
        <v>27.765956260923325</v>
      </c>
      <c r="BG28" s="20">
        <f t="shared" si="7"/>
        <v>228.41463048777476</v>
      </c>
      <c r="BH28" s="57">
        <f t="shared" si="8"/>
        <v>476.57511686110951</v>
      </c>
      <c r="BI28" s="57">
        <f ca="1">AVERAGE(OFFSET($BH$3,0,0,'Données projet'!$E$11+1,1))-AVERAGE(OFFSET($H$3,0,0,'Données projet'!$E$11+1,1))</f>
        <v>344.32981377462971</v>
      </c>
      <c r="BJ28" s="57">
        <f t="shared" si="38"/>
        <v>334.42512656625763</v>
      </c>
      <c r="BK28" s="15">
        <f>IF(ISNA(VLOOKUP(A28,'Données projet'!$A$87:$I$107,3,0)),0,VLOOKUP(A28,'Données projet'!$A$87:$I$107,3,0))</f>
        <v>4</v>
      </c>
      <c r="BL28" s="15">
        <f>IF(ISNA(VLOOKUP(A28,'Données projet'!$A$87:$I$107,4,0)),0,VLOOKUP(A28,'Données projet'!$A$87:$I$107,4,0))</f>
        <v>35</v>
      </c>
      <c r="BM28" s="16">
        <f>IF(ISNA(VLOOKUP(A28,'Données projet'!$A$87:$I$107,5,0)),0%,VLOOKUP(A28,'Données projet'!$A$87:$I$107,5,0)*VLOOKUP('Données projet'!$B$11,Paramètres!$A$1:$I$89,7,0))</f>
        <v>0.129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7.6990635544562904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7.6990635544562904</v>
      </c>
      <c r="BT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59.346799313939783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101</v>
      </c>
      <c r="BW28" s="12">
        <f>VLOOKUP(A28,'Données projet'!$A$113:$I$133,9,0)</f>
        <v>4.04</v>
      </c>
      <c r="BX28" s="12">
        <f t="array" ref="BX28">INDEX(BW:BW,MIN(IF(ISNUMBER(BW28:BW224),ROW(BW28:BW224),"")))</f>
        <v>4.04</v>
      </c>
      <c r="BY28" s="12">
        <f>IF('Données projet'!$A$114&gt;35,BY27+BX28-CG27,IF(A28&lt;'Données projet'!$A$114,$BV$205^A28,IF(A28='Données projet'!$A$114,'Données projet'!$B$114,BY27+BX28-CG27)))</f>
        <v>101</v>
      </c>
      <c r="BZ28" s="13">
        <f>BY28*VLOOKUP('Données projet'!$B$12,Paramètres!$A$1:$I$89,3,0)*VLOOKUP('Données projet'!$B$12,Paramètres!$A$1:$I$89,5,0)</f>
        <v>96.111599999999996</v>
      </c>
      <c r="CA28" s="13">
        <f t="shared" si="39"/>
        <v>26.03351250093349</v>
      </c>
      <c r="CB28" s="20">
        <f t="shared" si="10"/>
        <v>212.73607093912582</v>
      </c>
      <c r="CC28" s="57">
        <f t="shared" si="11"/>
        <v>460.89655731246057</v>
      </c>
      <c r="CD28" s="57">
        <f ca="1">AVERAGE(OFFSET($CC$3,0,0,'Données projet'!$E$12+1,1))-AVERAGE(OFFSET($H$3,0,0,'Données projet'!$E$12+1,1))</f>
        <v>498.77732039282807</v>
      </c>
      <c r="CE28" s="57">
        <f t="shared" si="40"/>
        <v>384.57317421826531</v>
      </c>
      <c r="CF28" s="15">
        <f>IF(ISNA(VLOOKUP(A28,'Données projet'!$A$113:$I$133,3,0)),0,VLOOKUP(A28,'Données projet'!$A$113:$I$133,3,0))</f>
        <v>1</v>
      </c>
      <c r="CG28" s="15">
        <f>IF(ISNA(VLOOKUP(A28,'Données projet'!$A$113:$I$133,4,0)),0,VLOOKUP(A28,'Données projet'!$A$113:$I$133,4,0))</f>
        <v>13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59.346799313939783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4.3352272727272725</v>
      </c>
      <c r="CT28" s="12">
        <f>IF('Données projet'!$A$140&gt;35,CT27+CS28-DB27,IF(A28&lt;'Données projet'!$A$140,$CQ$205^A28,IF(A28='Données projet'!$A$140,'Données projet'!$B$140,CT27+CS28-DB27)))</f>
        <v>108.38068181818176</v>
      </c>
      <c r="CU28" s="17">
        <f>CT28*VLOOKUP('Données projet'!$B$13,Paramètres!$A$1:$I$89,3,0)*VLOOKUP('Données projet'!$B$13,Paramètres!$A$1:$I$89,5,0)</f>
        <v>72.701761363636322</v>
      </c>
      <c r="CV28" s="13">
        <f t="shared" si="41"/>
        <v>20.342914202873128</v>
      </c>
      <c r="CW28" s="20">
        <f t="shared" si="13"/>
        <v>162.05280994500396</v>
      </c>
      <c r="CX28" s="57">
        <f t="shared" si="14"/>
        <v>410.21329631833873</v>
      </c>
      <c r="CY28" s="57">
        <f ca="1">AVERAGE(OFFSET($CX$3,0,0,'Données projet'!$E$13+1,1))-AVERAGE(OFFSET($H$3,0,0,'Données projet'!$E$13+1,1))</f>
        <v>365.99625753737246</v>
      </c>
      <c r="CZ28" s="57">
        <f t="shared" si="42"/>
        <v>242.84814712692287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59.346799313939783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160</v>
      </c>
      <c r="DM28" s="12">
        <f>VLOOKUP(A28,'Données projet'!$A$165:$I$185,9,0)</f>
        <v>11</v>
      </c>
      <c r="DN28" s="12">
        <f t="array" ref="DN28">INDEX(DM:DM,MIN(IF(ISNUMBER(DM28:DM224),ROW(DM28:DM224),"")))</f>
        <v>11</v>
      </c>
      <c r="DO28" s="12">
        <f>IF('Données projet'!$A$166&gt;35,DO27+DN28-DW27,IF(A28&lt;'Données projet'!$A$166,$DL$205^A28,IF(A28='Données projet'!$A$166,'Données projet'!$B$166,DO27+DN28-DW27)))</f>
        <v>160</v>
      </c>
      <c r="DP28" s="17">
        <f>DO28*VLOOKUP('Données projet'!$B$14,Paramètres!$A$1:$I$89,3,0)*VLOOKUP('Données projet'!$B$14,Paramètres!$A$1:$I$89,5,0)</f>
        <v>104.83200000000001</v>
      </c>
      <c r="DQ28" s="13">
        <f t="shared" si="43"/>
        <v>28.109974371137717</v>
      </c>
      <c r="DR28" s="20">
        <f t="shared" si="16"/>
        <v>231.54060536306486</v>
      </c>
      <c r="DS28" s="57">
        <f t="shared" si="17"/>
        <v>479.70109173639958</v>
      </c>
      <c r="DT28" s="57">
        <f ca="1">AVERAGE(OFFSET($DS$3,0,0,'Données projet'!$E$14+1,1))-AVERAGE(OFFSET($H$3,0,0,'Données projet'!$E$14+1,1))</f>
        <v>313.79279628660527</v>
      </c>
      <c r="DU28" s="57">
        <f t="shared" si="44"/>
        <v>317.45469955216254</v>
      </c>
      <c r="DV28" s="15">
        <f>IF(ISNA(VLOOKUP(A28,'Données projet'!$A$165:$I$185,3,0)),0,VLOOKUP(A28,'Données projet'!$A$165:$I$185,3,0))</f>
        <v>4</v>
      </c>
      <c r="DW28" s="15">
        <f>IF(ISNA(VLOOKUP(A28,'Données projet'!$A$165:$I$185,4,0)),0,VLOOKUP(A28,'Données projet'!$A$165:$I$185,4,0))</f>
        <v>24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59.346799313939783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24</v>
      </c>
      <c r="EJ28" s="12">
        <f>IF('Données projet'!$A$192&gt;35,EJ27+EI28-ER27,IF(A28&lt;'Données projet'!$A$192,$EG$205^A28,IF(A28='Données projet'!$A$192,'Données projet'!$B$192,EJ27+EI28-ER27)))</f>
        <v>150.00000000000003</v>
      </c>
      <c r="EK28" s="17">
        <f>EJ28*VLOOKUP('Données projet'!$B$15,Paramètres!$A$1:$I$89,3,0)*VLOOKUP('Données projet'!$B$15,Paramètres!$A$1:$I$89,5,0)</f>
        <v>128.70000000000005</v>
      </c>
      <c r="EL28" s="13">
        <f t="shared" si="45"/>
        <v>33.695792019186115</v>
      </c>
      <c r="EM28" s="20">
        <f t="shared" si="19"/>
        <v>282.83933776674922</v>
      </c>
      <c r="EN28" s="57">
        <f t="shared" si="20"/>
        <v>530.999824140084</v>
      </c>
      <c r="EO28" s="57">
        <f ca="1">AVERAGE(OFFSET($EN$3,0,0,'Données projet'!$E$15+1,1))-AVERAGE(OFFSET($H$3,0,0,'Données projet'!$E$15+1,1))</f>
        <v>643.04899298561475</v>
      </c>
      <c r="EP28" s="57">
        <f t="shared" si="46"/>
        <v>474.94999304483031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59.346799313939783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>
        <f>VLOOKUP(A28,'Données projet'!$A$217:$I$237,2,0)</f>
        <v>141</v>
      </c>
      <c r="FC28" s="12">
        <f>VLOOKUP(A28,'Données projet'!$A$217:$I$237,9,0)</f>
        <v>14.8</v>
      </c>
      <c r="FD28" s="12">
        <f t="array" ref="FD28">INDEX(FC:FC,MIN(IF(ISNUMBER(FC28:FC224),ROW(FC28:FC224),"")))</f>
        <v>14.8</v>
      </c>
      <c r="FE28" s="12">
        <f>IF('Données projet'!$A$218&gt;35,FE27+FD28-FM27,IF(A28&lt;'Données projet'!$A$218,$FB$205^A28,IF(A28='Données projet'!$A$218,'Données projet'!$B$218,FE27+FD28-FM27)))</f>
        <v>140.99999999999997</v>
      </c>
      <c r="FF28" s="17">
        <f>FE28*VLOOKUP('Données projet'!$B$16,Paramètres!$A$1:$I$89,3,0)*VLOOKUP('Données projet'!$B$16,Paramètres!$A$1:$I$89,5,0)</f>
        <v>114.3792</v>
      </c>
      <c r="FG28" s="13">
        <f t="shared" si="47"/>
        <v>30.360402323573549</v>
      </c>
      <c r="FH28" s="20">
        <f t="shared" si="22"/>
        <v>252.08814071355724</v>
      </c>
      <c r="FI28" s="57">
        <f t="shared" si="23"/>
        <v>500.24862708689199</v>
      </c>
      <c r="FJ28" s="57">
        <f ca="1">AVERAGE(OFFSET($FI$3,0,0,'Données projet'!$E$16+1,1))-AVERAGE(OFFSET($H$3,0,0,'Données projet'!$E$16+1,1))</f>
        <v>375.34603719604439</v>
      </c>
      <c r="FK28" s="57">
        <f t="shared" si="48"/>
        <v>363.99476973672211</v>
      </c>
      <c r="FL28" s="15">
        <f>IF(ISNA(VLOOKUP(A28,'Données projet'!$A$217:$I$237,3,0)),0,VLOOKUP(A28,'Données projet'!$A$217:$I$237,3,0))</f>
        <v>4</v>
      </c>
      <c r="FM28" s="15">
        <f>IF(ISNA(VLOOKUP(A28,'Données projet'!$A$217:$I$237,4,0)),0,VLOOKUP(A28,'Données projet'!$A$217:$I$237,4,0))</f>
        <v>35</v>
      </c>
      <c r="FN28" s="16">
        <f>IF(ISNA(VLOOKUP(A28,'Données projet'!$A$217:$I$237,5,0)),0%,VLOOKUP(A28,'Données projet'!$A$217:$I$237,5,0)*VLOOKUP('Données projet'!$B$16,Paramètres!$A$1:$I$89,7,0))</f>
        <v>0.159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10.499069349867163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10.499069349867163</v>
      </c>
      <c r="FU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59.346799313939783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>
        <f>VLOOKUP(A28,'Données projet'!$A$243:$I$263,2,0)</f>
        <v>265.11</v>
      </c>
      <c r="FX28" s="12">
        <f>VLOOKUP(A28,'Données projet'!$A$243:$I$263,9,0)</f>
        <v>27.410000000000025</v>
      </c>
      <c r="FY28" s="12">
        <f t="array" ref="FY28">INDEX(FX:FX,MIN(IF(ISNUMBER(FX28:FX224),ROW(FX28:FX224),"")))</f>
        <v>27.410000000000025</v>
      </c>
      <c r="FZ28" s="12">
        <f>IF('Données projet'!$A$244&gt;35,FZ27+FY28-GH27,IF(A28&lt;'Données projet'!$A$244,$FW$205^A28,IF(A28='Données projet'!$A$244,'Données projet'!$B$244,FZ27+FY28-GH27)))</f>
        <v>265.11</v>
      </c>
      <c r="GA28" s="17">
        <f>FZ28*VLOOKUP('Données projet'!$B$17,Paramètres!$A$1:$I$89,3,0)*VLOOKUP('Données projet'!$B$17,Paramètres!$A$1:$I$89,5,0)</f>
        <v>148.19649000000001</v>
      </c>
      <c r="GB28" s="13">
        <f t="shared" si="49"/>
        <v>38.168443409956652</v>
      </c>
      <c r="GC28" s="20">
        <f t="shared" si="25"/>
        <v>324.58559235567452</v>
      </c>
      <c r="GD28" s="57">
        <f t="shared" si="26"/>
        <v>572.74607872900924</v>
      </c>
      <c r="GE28" s="57">
        <f ca="1">AVERAGE(OFFSET($GD$3,0,0,'Données projet'!$E$17+1,1))-AVERAGE(OFFSET($H$3,0,0,'Données projet'!$E$17+1,1))</f>
        <v>414.47327143450701</v>
      </c>
      <c r="GF28" s="57">
        <f t="shared" si="50"/>
        <v>546.83385887302961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11.477614918784035</v>
      </c>
      <c r="GM28" s="21">
        <f>EXP(-LN(2)/25)*GM27+(1-EXP(-LN(2)/25))/(LN(2)/25)*Calculateur!GH28*Calculateur!GJ28*VLOOKUP('Données projet'!$B$17,Paramètres!$A$1:$I$89,3,0)*0.475*44/12</f>
        <v>19.184389238141556</v>
      </c>
      <c r="GN28" s="21">
        <f>EXP(-LN(2)/2)*GN27+(1-EXP(-LN(2)/2))/(LN(2)/2)*GH28*GK28*VLOOKUP('Données projet'!$B$17,Paramètres!$A$1:$I$89,3,0)*0.475*44/12</f>
        <v>8.594690964724764</v>
      </c>
      <c r="GO28" s="21">
        <f t="shared" si="27"/>
        <v>39.256695121650353</v>
      </c>
      <c r="GP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59.346799313939783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>
        <f>VLOOKUP(A28,'Données projet'!$A$269:$I$289,2,0)</f>
        <v>180</v>
      </c>
      <c r="GS28" s="12">
        <f>VLOOKUP(A28,'Données projet'!$A$269:$I$289,9,0)</f>
        <v>16.399999999999999</v>
      </c>
      <c r="GT28" s="12">
        <f t="array" ref="GT28">INDEX(GS:GS,MIN(IF(ISNUMBER(GS28:GS224),ROW(GS28:GS224),"")))</f>
        <v>16.399999999999999</v>
      </c>
      <c r="GU28" s="12">
        <f>IF('Données projet'!$A$270&gt;35,GU27+GT28-HC27,IF(A28&lt;'Données projet'!$A$270,$GR$205^A28,IF(A28='Données projet'!$A$270,'Données projet'!$B$270,GU27+GT28-HC27)))</f>
        <v>180.00000000000003</v>
      </c>
      <c r="GV28" s="17">
        <f>GU28*VLOOKUP('Données projet'!$B$18,Paramètres!$A$1:$I$89,3,0)*VLOOKUP('Données projet'!$B$18,Paramètres!$A$1:$I$89,5,0)</f>
        <v>98.280000000000015</v>
      </c>
      <c r="GW28" s="13">
        <f t="shared" si="51"/>
        <v>26.551818424463473</v>
      </c>
      <c r="GX28" s="20">
        <f t="shared" si="28"/>
        <v>217.41541708927392</v>
      </c>
      <c r="GY28" s="57">
        <f t="shared" si="29"/>
        <v>465.57590346260866</v>
      </c>
      <c r="GZ28" s="57">
        <f ca="1">AVERAGE(OFFSET($GY$3,0,0,'Données projet'!$E$18+1,1))-AVERAGE(OFFSET($H$3,0,0,'Données projet'!$E$18+1,1))</f>
        <v>381.00532469288714</v>
      </c>
      <c r="HA28" s="57">
        <f t="shared" si="52"/>
        <v>314.875259641757</v>
      </c>
      <c r="HB28" s="15">
        <f>IF(ISNA(VLOOKUP(A28,'Données projet'!$A$269:$I$289,3,0)),0,VLOOKUP(A28,'Données projet'!$A$269:$I$289,3,0))</f>
        <v>4</v>
      </c>
      <c r="HC28" s="15">
        <f>IF(ISNA(VLOOKUP(A28,'Données projet'!$A$269:$I$289,4,0)),0,VLOOKUP(A28,'Données projet'!$A$269:$I$289,4,0))</f>
        <v>42</v>
      </c>
      <c r="HD28" s="16">
        <f>IF(ISNA(VLOOKUP(A28,'Données projet'!$A$269:$I$289,5,0)),0%,VLOOKUP(A28,'Données projet'!$A$269:$I$289,5,0)*VLOOKUP('Données projet'!$B$18,Paramètres!$A$1:$I$89,7,0))</f>
        <v>0.18</v>
      </c>
      <c r="HE28" s="16">
        <f>IF(ISNA(VLOOKUP(A28,'Données projet'!$A$269:$I$289,6,0)),0%,VLOOKUP(A28,'Données projet'!$A$269:$I$289,6,0)*VLOOKUP('Données projet'!$B$18,Paramètres!$A$1:$I$89,7,0))</f>
        <v>0.23399999999999999</v>
      </c>
      <c r="HF28" s="16">
        <f>IF(ISNA(VLOOKUP(A28,'Données projet'!$A$269:$I$289,7,0)),0%,VLOOKUP(A28,'Données projet'!$A$269:$I$289,7,0))</f>
        <v>0.31</v>
      </c>
      <c r="HG28" s="21">
        <f>EXP(-LN(2)/35)*HG27+(1-EXP(-LN(2)/35))/(LN(2)/35)*HC28*HD28*VLOOKUP('Données projet'!$B$18,Paramètres!$A$1:$I$89,3,0)*0.475*44/12</f>
        <v>11.718658968675321</v>
      </c>
      <c r="HH28" s="21">
        <f>EXP(-LN(2)/25)*HH27+(1-EXP(-LN(2)/25))/(LN(2)/25)*Calculateur!HC28*Calculateur!HE28*VLOOKUP('Données projet'!$B$18,Paramètres!$A$1:$I$89,3,0)*0.475*44/12</f>
        <v>15.920261313815949</v>
      </c>
      <c r="HI28" s="21">
        <f>EXP(-LN(2)/2)*HI27+(1-EXP(-LN(2)/2))/(LN(2)/2)*HC28*HF28*VLOOKUP('Données projet'!$B$18,Paramètres!$A$1:$I$89,3,0)*0.475*44/12</f>
        <v>9.5935232938765651</v>
      </c>
      <c r="HJ28" s="22">
        <f t="shared" si="30"/>
        <v>37.232443576367835</v>
      </c>
    </row>
    <row r="29" spans="1:218" x14ac:dyDescent="0.2">
      <c r="A29" s="10">
        <f t="shared" si="31"/>
        <v>26</v>
      </c>
      <c r="B29" s="71">
        <f>'Scénario référence'!$B$16*5+'Scénario référence'!$B$17*0+'Scénario référence'!$B$18*5</f>
        <v>3.3000000000000003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12.100000000000001</v>
      </c>
      <c r="H29" s="65">
        <f t="shared" si="1"/>
        <v>208.26666666666665</v>
      </c>
      <c r="I29" s="6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59.531608528854235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4.8</v>
      </c>
      <c r="N29" s="13">
        <f>IF('Données projet'!$A$36&gt;35,N28+M29-V28,IF(A29&lt;'Données projet'!$A$36,$K$205^A29,IF(A29='Données projet'!$A$36,'Données projet'!$B$36,N28+M29-V28)))</f>
        <v>34.799999999999997</v>
      </c>
      <c r="O29" s="13">
        <f>N29*VLOOKUP('Données projet'!$B$9,Paramètres!$A$1:$I$89,3,0)*VLOOKUP('Données projet'!$B$9,Paramètres!$A$1:$I$89,5,0)</f>
        <v>35.287199999999999</v>
      </c>
      <c r="P29" s="13">
        <f t="shared" si="33"/>
        <v>10.740552489323523</v>
      </c>
      <c r="Q29" s="20">
        <f t="shared" si="2"/>
        <v>80.165002252238452</v>
      </c>
      <c r="R29" s="57">
        <f t="shared" si="0"/>
        <v>330.22534463581508</v>
      </c>
      <c r="S29" s="57">
        <f ca="1">AVERAGE(OFFSET($R$3,0,0,'Données projet'!$E$9+1,1))-AVERAGE(OFFSET($H$3,0,0,'Données projet'!$E$9+1,1))</f>
        <v>332.70145542047612</v>
      </c>
      <c r="T29" s="57">
        <f t="shared" si="34"/>
        <v>172.22433737900428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59.531608528854235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4.3352272727272725</v>
      </c>
      <c r="AI29" s="13">
        <f>IF('Données projet'!$A$62&gt;35,AI28+AH29-AQ28,IF(A29&lt;'Données projet'!$A$62,$AF$205^A29,IF(A29='Données projet'!$A$62,'Données projet'!$B$62,AI28+AH29-AQ28)))</f>
        <v>112.71590909090902</v>
      </c>
      <c r="AJ29" s="13">
        <f>AI29*VLOOKUP('Données projet'!$B$10,Paramètres!$A$1:$I$89,3,0)*VLOOKUP('Données projet'!$B$10,Paramètres!$A$1:$I$89,5,0)</f>
        <v>101.98535454545448</v>
      </c>
      <c r="AK29" s="13">
        <f t="shared" si="35"/>
        <v>27.43443836626232</v>
      </c>
      <c r="AL29" s="20">
        <f t="shared" si="4"/>
        <v>225.40613932124006</v>
      </c>
      <c r="AM29" s="57">
        <f t="shared" si="5"/>
        <v>475.46648170481672</v>
      </c>
      <c r="AN29" s="57">
        <f ca="1">AVERAGE(OFFSET($AM$3,0,0,'Données projet'!$E$10+1,1))-AVERAGE(OFFSET($H$3,0,0,'Données projet'!$E$10+1,1))</f>
        <v>469.4210143164521</v>
      </c>
      <c r="AO29" s="57">
        <f t="shared" si="36"/>
        <v>308.4508386530556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59.531608528854235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14.2</v>
      </c>
      <c r="BD29" s="12">
        <f>IF('Données projet'!$A$88&gt;35,BD28+BC29-BL28,IF(A29&lt;'Données projet'!$A$88,$BA$205^A29,IF(A29='Données projet'!$A$88,'Données projet'!$B$88,BD28+BC29-BL28)))</f>
        <v>120.19999999999996</v>
      </c>
      <c r="BE29" s="13">
        <f>BD29*VLOOKUP('Données projet'!$B$11,Paramètres!$A$1:$I$89,3,0)*VLOOKUP('Données projet'!$B$11,Paramètres!$A$1:$I$89,5,0)</f>
        <v>88.130639999999971</v>
      </c>
      <c r="BF29" s="13">
        <f t="shared" si="37"/>
        <v>24.113831111728981</v>
      </c>
      <c r="BG29" s="20">
        <f t="shared" si="7"/>
        <v>195.49245385292792</v>
      </c>
      <c r="BH29" s="57">
        <f t="shared" si="8"/>
        <v>445.55279623650461</v>
      </c>
      <c r="BI29" s="57">
        <f ca="1">AVERAGE(OFFSET($BH$3,0,0,'Données projet'!$E$11+1,1))-AVERAGE(OFFSET($H$3,0,0,'Données projet'!$E$11+1,1))</f>
        <v>344.32981377462971</v>
      </c>
      <c r="BJ29" s="57">
        <f t="shared" si="38"/>
        <v>334.42512656625763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7.5480896141184823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7.5480896141184823</v>
      </c>
      <c r="BT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59.531608528854235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14.6</v>
      </c>
      <c r="BY29" s="12">
        <f>IF('Données projet'!$A$114&gt;35,BY28+BX29-CG28,IF(A29&lt;'Données projet'!$A$114,$BV$205^A29,IF(A29='Données projet'!$A$114,'Données projet'!$B$114,BY28+BX29-CG28)))</f>
        <v>102.6</v>
      </c>
      <c r="BZ29" s="13">
        <f>BY29*VLOOKUP('Données projet'!$B$12,Paramètres!$A$1:$I$89,3,0)*VLOOKUP('Données projet'!$B$12,Paramètres!$A$1:$I$89,5,0)</f>
        <v>97.634159999999994</v>
      </c>
      <c r="CA29" s="13">
        <f t="shared" si="39"/>
        <v>26.397585802010184</v>
      </c>
      <c r="CB29" s="20">
        <f t="shared" si="10"/>
        <v>216.02195727183437</v>
      </c>
      <c r="CC29" s="57">
        <f t="shared" si="11"/>
        <v>466.08229965541102</v>
      </c>
      <c r="CD29" s="57">
        <f ca="1">AVERAGE(OFFSET($CC$3,0,0,'Données projet'!$E$12+1,1))-AVERAGE(OFFSET($H$3,0,0,'Données projet'!$E$12+1,1))</f>
        <v>498.77732039282807</v>
      </c>
      <c r="CE29" s="57">
        <f t="shared" si="40"/>
        <v>384.57317421826531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59.531608528854235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4.3352272727272725</v>
      </c>
      <c r="CT29" s="12">
        <f>IF('Données projet'!$A$140&gt;35,CT28+CS29-DB28,IF(A29&lt;'Données projet'!$A$140,$CQ$205^A29,IF(A29='Données projet'!$A$140,'Données projet'!$B$140,CT28+CS29-DB28)))</f>
        <v>112.71590909090902</v>
      </c>
      <c r="CU29" s="17">
        <f>CT29*VLOOKUP('Données projet'!$B$13,Paramètres!$A$1:$I$89,3,0)*VLOOKUP('Données projet'!$B$13,Paramètres!$A$1:$I$89,5,0)</f>
        <v>75.609831818181775</v>
      </c>
      <c r="CV29" s="13">
        <f t="shared" si="41"/>
        <v>21.060264731582816</v>
      </c>
      <c r="CW29" s="20">
        <f t="shared" si="13"/>
        <v>168.3670848241733</v>
      </c>
      <c r="CX29" s="57">
        <f t="shared" si="14"/>
        <v>418.42742720774993</v>
      </c>
      <c r="CY29" s="57">
        <f ca="1">AVERAGE(OFFSET($CX$3,0,0,'Données projet'!$E$13+1,1))-AVERAGE(OFFSET($H$3,0,0,'Données projet'!$E$13+1,1))</f>
        <v>365.99625753737246</v>
      </c>
      <c r="CZ29" s="57">
        <f t="shared" si="42"/>
        <v>242.84814712692287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59.531608528854235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10</v>
      </c>
      <c r="DO29" s="12">
        <f>IF('Données projet'!$A$166&gt;35,DO28+DN29-DW28,IF(A29&lt;'Données projet'!$A$166,$DL$205^A29,IF(A29='Données projet'!$A$166,'Données projet'!$B$166,DO28+DN29-DW28)))</f>
        <v>146</v>
      </c>
      <c r="DP29" s="17">
        <f>DO29*VLOOKUP('Données projet'!$B$14,Paramètres!$A$1:$I$89,3,0)*VLOOKUP('Données projet'!$B$14,Paramètres!$A$1:$I$89,5,0)</f>
        <v>95.659199999999998</v>
      </c>
      <c r="DQ29" s="13">
        <f t="shared" si="43"/>
        <v>25.92520602338745</v>
      </c>
      <c r="DR29" s="20">
        <f t="shared" si="16"/>
        <v>211.75950715739978</v>
      </c>
      <c r="DS29" s="57">
        <f t="shared" si="17"/>
        <v>461.81984954097641</v>
      </c>
      <c r="DT29" s="57">
        <f ca="1">AVERAGE(OFFSET($DS$3,0,0,'Données projet'!$E$14+1,1))-AVERAGE(OFFSET($H$3,0,0,'Données projet'!$E$14+1,1))</f>
        <v>313.79279628660527</v>
      </c>
      <c r="DU29" s="57">
        <f t="shared" si="44"/>
        <v>317.45469955216254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59.531608528854235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24</v>
      </c>
      <c r="EJ29" s="12">
        <f>IF('Données projet'!$A$192&gt;35,EJ28+EI29-ER28,IF(A29&lt;'Données projet'!$A$192,$EG$205^A29,IF(A29='Données projet'!$A$192,'Données projet'!$B$192,EJ28+EI29-ER28)))</f>
        <v>174.00000000000003</v>
      </c>
      <c r="EK29" s="17">
        <f>EJ29*VLOOKUP('Données projet'!$B$15,Paramètres!$A$1:$I$89,3,0)*VLOOKUP('Données projet'!$B$15,Paramètres!$A$1:$I$89,5,0)</f>
        <v>149.29200000000003</v>
      </c>
      <c r="EL29" s="13">
        <f t="shared" si="45"/>
        <v>38.417645803815446</v>
      </c>
      <c r="EM29" s="20">
        <f t="shared" si="19"/>
        <v>326.92763310831191</v>
      </c>
      <c r="EN29" s="57">
        <f t="shared" si="20"/>
        <v>576.98797549188862</v>
      </c>
      <c r="EO29" s="57">
        <f ca="1">AVERAGE(OFFSET($EN$3,0,0,'Données projet'!$E$15+1,1))-AVERAGE(OFFSET($H$3,0,0,'Données projet'!$E$15+1,1))</f>
        <v>643.04899298561475</v>
      </c>
      <c r="EP29" s="57">
        <f t="shared" si="46"/>
        <v>474.94999304483031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59.531608528854235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14.2</v>
      </c>
      <c r="FE29" s="12">
        <f>IF('Données projet'!$A$218&gt;35,FE28+FD29-FM28,IF(A29&lt;'Données projet'!$A$218,$FB$205^A29,IF(A29='Données projet'!$A$218,'Données projet'!$B$218,FE28+FD29-FM28)))</f>
        <v>120.19999999999996</v>
      </c>
      <c r="FF29" s="17">
        <f>FE29*VLOOKUP('Données projet'!$B$16,Paramètres!$A$1:$I$89,3,0)*VLOOKUP('Données projet'!$B$16,Paramètres!$A$1:$I$89,5,0)</f>
        <v>97.506239999999977</v>
      </c>
      <c r="FG29" s="13">
        <f t="shared" si="47"/>
        <v>26.367023243681039</v>
      </c>
      <c r="FH29" s="20">
        <f t="shared" si="22"/>
        <v>215.74593348274445</v>
      </c>
      <c r="FI29" s="57">
        <f t="shared" si="23"/>
        <v>465.80627586632113</v>
      </c>
      <c r="FJ29" s="57">
        <f ca="1">AVERAGE(OFFSET($FI$3,0,0,'Données projet'!$E$16+1,1))-AVERAGE(OFFSET($H$3,0,0,'Données projet'!$E$16+1,1))</f>
        <v>375.34603719604439</v>
      </c>
      <c r="FK29" s="57">
        <f t="shared" si="48"/>
        <v>363.99476973672211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10.293189003716249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10.293189003716249</v>
      </c>
      <c r="FU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59.531608528854235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>
        <f>VLOOKUP(A29,'Données projet'!$A$243:$I$263,2,0)</f>
        <v>292.8</v>
      </c>
      <c r="FX29" s="12">
        <f>VLOOKUP(A29,'Données projet'!$A$243:$I$263,9,0)</f>
        <v>27.689999999999998</v>
      </c>
      <c r="FY29" s="12">
        <f t="array" ref="FY29">INDEX(FX:FX,MIN(IF(ISNUMBER(FX29:FX225),ROW(FX29:FX225),"")))</f>
        <v>27.689999999999998</v>
      </c>
      <c r="FZ29" s="12">
        <f>IF('Données projet'!$A$244&gt;35,FZ28+FY29-GH28,IF(A29&lt;'Données projet'!$A$244,$FW$205^A29,IF(A29='Données projet'!$A$244,'Données projet'!$B$244,FZ28+FY29-GH28)))</f>
        <v>292.8</v>
      </c>
      <c r="GA29" s="17">
        <f>FZ29*VLOOKUP('Données projet'!$B$17,Paramètres!$A$1:$I$89,3,0)*VLOOKUP('Données projet'!$B$17,Paramètres!$A$1:$I$89,5,0)</f>
        <v>163.67519999999999</v>
      </c>
      <c r="GB29" s="13">
        <f t="shared" si="49"/>
        <v>41.670368197291587</v>
      </c>
      <c r="GC29" s="20">
        <f t="shared" si="25"/>
        <v>357.64353127694949</v>
      </c>
      <c r="GD29" s="57">
        <f t="shared" si="26"/>
        <v>607.70387366052614</v>
      </c>
      <c r="GE29" s="57">
        <f ca="1">AVERAGE(OFFSET($GD$3,0,0,'Données projet'!$E$17+1,1))-AVERAGE(OFFSET($H$3,0,0,'Données projet'!$E$17+1,1))</f>
        <v>414.47327143450701</v>
      </c>
      <c r="GF29" s="57">
        <f t="shared" si="50"/>
        <v>546.83385887302961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11.252545890880523</v>
      </c>
      <c r="GM29" s="21">
        <f>EXP(-LN(2)/25)*GM28+(1-EXP(-LN(2)/25))/(LN(2)/25)*Calculateur!GH29*Calculateur!GJ29*VLOOKUP('Données projet'!$B$17,Paramètres!$A$1:$I$89,3,0)*0.475*44/12</f>
        <v>18.659791105561393</v>
      </c>
      <c r="GN29" s="21">
        <f>EXP(-LN(2)/2)*GN28+(1-EXP(-LN(2)/2))/(LN(2)/2)*GH29*GK29*VLOOKUP('Données projet'!$B$17,Paramètres!$A$1:$I$89,3,0)*0.475*44/12</f>
        <v>6.0773642633596312</v>
      </c>
      <c r="GO29" s="21">
        <f t="shared" si="27"/>
        <v>35.989701259801549</v>
      </c>
      <c r="GP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59.531608528854235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16.600000000000001</v>
      </c>
      <c r="GU29" s="12">
        <f>IF('Données projet'!$A$270&gt;35,GU28+GT29-HC28,IF(A29&lt;'Données projet'!$A$270,$GR$205^A29,IF(A29='Données projet'!$A$270,'Données projet'!$B$270,GU28+GT29-HC28)))</f>
        <v>154.60000000000002</v>
      </c>
      <c r="GV29" s="17">
        <f>GU29*VLOOKUP('Données projet'!$B$18,Paramètres!$A$1:$I$89,3,0)*VLOOKUP('Données projet'!$B$18,Paramètres!$A$1:$I$89,5,0)</f>
        <v>84.411600000000007</v>
      </c>
      <c r="GW29" s="13">
        <f t="shared" si="51"/>
        <v>23.212450410860356</v>
      </c>
      <c r="GX29" s="20">
        <f t="shared" si="28"/>
        <v>187.44522113224843</v>
      </c>
      <c r="GY29" s="57">
        <f t="shared" si="29"/>
        <v>437.50556351582509</v>
      </c>
      <c r="GZ29" s="57">
        <f ca="1">AVERAGE(OFFSET($GY$3,0,0,'Données projet'!$E$18+1,1))-AVERAGE(OFFSET($H$3,0,0,'Données projet'!$E$18+1,1))</f>
        <v>381.00532469288714</v>
      </c>
      <c r="HA29" s="57">
        <f t="shared" si="52"/>
        <v>314.875259641757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>
        <f>EXP(-LN(2)/35)*HG28+(1-EXP(-LN(2)/35))/(LN(2)/35)*HC29*HD29*VLOOKUP('Données projet'!$B$18,Paramètres!$A$1:$I$89,3,0)*0.475*44/12</f>
        <v>11.488863213975794</v>
      </c>
      <c r="HH29" s="21">
        <f>EXP(-LN(2)/25)*HH28+(1-EXP(-LN(2)/25))/(LN(2)/25)*Calculateur!HC29*Calculateur!HE29*VLOOKUP('Données projet'!$B$18,Paramètres!$A$1:$I$89,3,0)*0.475*44/12</f>
        <v>15.484920930979495</v>
      </c>
      <c r="HI29" s="21">
        <f>EXP(-LN(2)/2)*HI28+(1-EXP(-LN(2)/2))/(LN(2)/2)*HC29*HF29*VLOOKUP('Données projet'!$B$18,Paramètres!$A$1:$I$89,3,0)*0.475*44/12</f>
        <v>6.783645376571223</v>
      </c>
      <c r="HJ29" s="22">
        <f t="shared" si="30"/>
        <v>33.757429521526511</v>
      </c>
    </row>
    <row r="30" spans="1:218" x14ac:dyDescent="0.2">
      <c r="A30" s="10">
        <f t="shared" si="31"/>
        <v>27</v>
      </c>
      <c r="B30" s="71">
        <f>'Scénario référence'!$B$16*5+'Scénario référence'!$B$17*0+'Scénario référence'!$B$18*5</f>
        <v>3.3000000000000003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12.100000000000001</v>
      </c>
      <c r="H30" s="65">
        <f t="shared" si="1"/>
        <v>208.26666666666665</v>
      </c>
      <c r="I30" s="6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59.713211717061426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4.8</v>
      </c>
      <c r="N30" s="13">
        <f>IF('Données projet'!$A$36&gt;35,N29+M30-V29,IF(A30&lt;'Données projet'!$A$36,$K$205^A30,IF(A30='Données projet'!$A$36,'Données projet'!$B$36,N29+M30-V29)))</f>
        <v>39.599999999999994</v>
      </c>
      <c r="O30" s="13">
        <f>N30*VLOOKUP('Données projet'!$B$9,Paramètres!$A$1:$I$89,3,0)*VLOOKUP('Données projet'!$B$9,Paramètres!$A$1:$I$89,5,0)</f>
        <v>40.154399999999995</v>
      </c>
      <c r="P30" s="13">
        <f t="shared" si="33"/>
        <v>12.039561463286329</v>
      </c>
      <c r="Q30" s="20">
        <f t="shared" si="2"/>
        <v>90.90448288189036</v>
      </c>
      <c r="R30" s="57">
        <f t="shared" si="0"/>
        <v>342.85292584444892</v>
      </c>
      <c r="S30" s="57">
        <f ca="1">AVERAGE(OFFSET($R$3,0,0,'Données projet'!$E$9+1,1))-AVERAGE(OFFSET($H$3,0,0,'Données projet'!$E$9+1,1))</f>
        <v>332.70145542047612</v>
      </c>
      <c r="T30" s="57">
        <f t="shared" si="34"/>
        <v>172.22433737900428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59.713211717061426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4.3352272727272725</v>
      </c>
      <c r="AI30" s="13">
        <f>IF('Données projet'!$A$62&gt;35,AI29+AH30-AQ29,IF(A30&lt;'Données projet'!$A$62,$AF$205^A30,IF(A30='Données projet'!$A$62,'Données projet'!$B$62,AI29+AH30-AQ29)))</f>
        <v>117.05113636363629</v>
      </c>
      <c r="AJ30" s="13">
        <f>AI30*VLOOKUP('Données projet'!$B$10,Paramètres!$A$1:$I$89,3,0)*VLOOKUP('Données projet'!$B$10,Paramètres!$A$1:$I$89,5,0)</f>
        <v>105.90786818181812</v>
      </c>
      <c r="AK30" s="13">
        <f t="shared" si="35"/>
        <v>28.364729452983948</v>
      </c>
      <c r="AL30" s="20">
        <f t="shared" si="4"/>
        <v>233.85810754728024</v>
      </c>
      <c r="AM30" s="57">
        <f t="shared" si="5"/>
        <v>485.80655050983881</v>
      </c>
      <c r="AN30" s="57">
        <f ca="1">AVERAGE(OFFSET($AM$3,0,0,'Données projet'!$E$10+1,1))-AVERAGE(OFFSET($H$3,0,0,'Données projet'!$E$10+1,1))</f>
        <v>469.4210143164521</v>
      </c>
      <c r="AO30" s="57">
        <f t="shared" si="36"/>
        <v>308.4508386530556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59.713211717061426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14.2</v>
      </c>
      <c r="BD30" s="12">
        <f>IF('Données projet'!$A$88&gt;35,BD29+BC30-BL29,IF(A30&lt;'Données projet'!$A$88,$BA$205^A30,IF(A30='Données projet'!$A$88,'Données projet'!$B$88,BD29+BC30-BL29)))</f>
        <v>134.39999999999995</v>
      </c>
      <c r="BE30" s="13">
        <f>BD30*VLOOKUP('Données projet'!$B$11,Paramètres!$A$1:$I$89,3,0)*VLOOKUP('Données projet'!$B$11,Paramètres!$A$1:$I$89,5,0)</f>
        <v>98.542079999999956</v>
      </c>
      <c r="BF30" s="13">
        <f t="shared" si="37"/>
        <v>26.614371888975242</v>
      </c>
      <c r="BG30" s="20">
        <f t="shared" si="7"/>
        <v>217.98082037329846</v>
      </c>
      <c r="BH30" s="57">
        <f t="shared" si="8"/>
        <v>469.92926333585706</v>
      </c>
      <c r="BI30" s="57">
        <f ca="1">AVERAGE(OFFSET($BH$3,0,0,'Données projet'!$E$11+1,1))-AVERAGE(OFFSET($H$3,0,0,'Données projet'!$E$11+1,1))</f>
        <v>344.32981377462971</v>
      </c>
      <c r="BJ30" s="57">
        <f t="shared" si="38"/>
        <v>334.42512656625763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7.4000761806656881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7.4000761806656881</v>
      </c>
      <c r="BT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59.713211717061426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14.6</v>
      </c>
      <c r="BY30" s="12">
        <f>IF('Données projet'!$A$114&gt;35,BY29+BX30-CG29,IF(A30&lt;'Données projet'!$A$114,$BV$205^A30,IF(A30='Données projet'!$A$114,'Données projet'!$B$114,BY29+BX30-CG29)))</f>
        <v>117.19999999999999</v>
      </c>
      <c r="BZ30" s="13">
        <f>BY30*VLOOKUP('Données projet'!$B$12,Paramètres!$A$1:$I$89,3,0)*VLOOKUP('Données projet'!$B$12,Paramètres!$A$1:$I$89,5,0)</f>
        <v>111.52752</v>
      </c>
      <c r="CA30" s="13">
        <f t="shared" si="39"/>
        <v>29.690590824375576</v>
      </c>
      <c r="CB30" s="20">
        <f t="shared" si="10"/>
        <v>245.95487635245414</v>
      </c>
      <c r="CC30" s="57">
        <f t="shared" si="11"/>
        <v>497.90331931501271</v>
      </c>
      <c r="CD30" s="57">
        <f ca="1">AVERAGE(OFFSET($CC$3,0,0,'Données projet'!$E$12+1,1))-AVERAGE(OFFSET($H$3,0,0,'Données projet'!$E$12+1,1))</f>
        <v>498.77732039282807</v>
      </c>
      <c r="CE30" s="57">
        <f t="shared" si="40"/>
        <v>384.57317421826531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59.713211717061426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4.3352272727272725</v>
      </c>
      <c r="CT30" s="12">
        <f>IF('Données projet'!$A$140&gt;35,CT29+CS30-DB29,IF(A30&lt;'Données projet'!$A$140,$CQ$205^A30,IF(A30='Données projet'!$A$140,'Données projet'!$B$140,CT29+CS30-DB29)))</f>
        <v>117.05113636363629</v>
      </c>
      <c r="CU30" s="17">
        <f>CT30*VLOOKUP('Données projet'!$B$13,Paramètres!$A$1:$I$89,3,0)*VLOOKUP('Données projet'!$B$13,Paramètres!$A$1:$I$89,5,0)</f>
        <v>78.517902272727227</v>
      </c>
      <c r="CV30" s="13">
        <f t="shared" si="41"/>
        <v>21.774410080659205</v>
      </c>
      <c r="CW30" s="20">
        <f t="shared" si="13"/>
        <v>174.67577734881471</v>
      </c>
      <c r="CX30" s="57">
        <f t="shared" si="14"/>
        <v>426.62422031137328</v>
      </c>
      <c r="CY30" s="57">
        <f ca="1">AVERAGE(OFFSET($CX$3,0,0,'Données projet'!$E$13+1,1))-AVERAGE(OFFSET($H$3,0,0,'Données projet'!$E$13+1,1))</f>
        <v>365.99625753737246</v>
      </c>
      <c r="CZ30" s="57">
        <f t="shared" si="42"/>
        <v>242.84814712692287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59.713211717061426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10</v>
      </c>
      <c r="DO30" s="12">
        <f>IF('Données projet'!$A$166&gt;35,DO29+DN30-DW29,IF(A30&lt;'Données projet'!$A$166,$DL$205^A30,IF(A30='Données projet'!$A$166,'Données projet'!$B$166,DO29+DN30-DW29)))</f>
        <v>156</v>
      </c>
      <c r="DP30" s="17">
        <f>DO30*VLOOKUP('Données projet'!$B$14,Paramètres!$A$1:$I$89,3,0)*VLOOKUP('Données projet'!$B$14,Paramètres!$A$1:$I$89,5,0)</f>
        <v>102.21119999999999</v>
      </c>
      <c r="DQ30" s="13">
        <f t="shared" si="43"/>
        <v>27.488113037666018</v>
      </c>
      <c r="DR30" s="20">
        <f t="shared" si="16"/>
        <v>225.89297020726829</v>
      </c>
      <c r="DS30" s="57">
        <f t="shared" si="17"/>
        <v>477.84141316982686</v>
      </c>
      <c r="DT30" s="57">
        <f ca="1">AVERAGE(OFFSET($DS$3,0,0,'Données projet'!$E$14+1,1))-AVERAGE(OFFSET($H$3,0,0,'Données projet'!$E$14+1,1))</f>
        <v>313.79279628660527</v>
      </c>
      <c r="DU30" s="57">
        <f t="shared" si="44"/>
        <v>317.45469955216254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59.713211717061426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>
        <f>VLOOKUP(A30,'Données projet'!$A$191:$I$211,2,0)</f>
        <v>198</v>
      </c>
      <c r="EH30" s="12">
        <f>VLOOKUP(A30,'Données projet'!$A$191:$I$211,9,0)</f>
        <v>24</v>
      </c>
      <c r="EI30" s="12">
        <f t="array" ref="EI30">INDEX(EH:EH,MIN(IF(ISNUMBER(EH30:EH226),ROW(EH30:EH226),"")))</f>
        <v>24</v>
      </c>
      <c r="EJ30" s="12">
        <f>IF('Données projet'!$A$192&gt;35,EJ29+EI30-ER29,IF(A30&lt;'Données projet'!$A$192,$EG$205^A30,IF(A30='Données projet'!$A$192,'Données projet'!$B$192,EJ29+EI30-ER29)))</f>
        <v>198.00000000000003</v>
      </c>
      <c r="EK30" s="17">
        <f>EJ30*VLOOKUP('Données projet'!$B$15,Paramètres!$A$1:$I$89,3,0)*VLOOKUP('Données projet'!$B$15,Paramètres!$A$1:$I$89,5,0)</f>
        <v>169.88400000000004</v>
      </c>
      <c r="EL30" s="13">
        <f t="shared" si="45"/>
        <v>43.064042412117296</v>
      </c>
      <c r="EM30" s="20">
        <f t="shared" si="19"/>
        <v>370.88450720110433</v>
      </c>
      <c r="EN30" s="57">
        <f t="shared" si="20"/>
        <v>622.83295016366287</v>
      </c>
      <c r="EO30" s="57">
        <f ca="1">AVERAGE(OFFSET($EN$3,0,0,'Données projet'!$E$15+1,1))-AVERAGE(OFFSET($H$3,0,0,'Données projet'!$E$15+1,1))</f>
        <v>643.04899298561475</v>
      </c>
      <c r="EP30" s="57">
        <f t="shared" si="46"/>
        <v>474.94999304483031</v>
      </c>
      <c r="EQ30" s="15">
        <f>IF(ISNA(VLOOKUP(A30,'Données projet'!$A$191:$I$211,3,0)),0,VLOOKUP(A30,'Données projet'!$A$191:$I$211,3,0))</f>
        <v>5</v>
      </c>
      <c r="ER30" s="15">
        <f>IF(ISNA(VLOOKUP(A30,'Données projet'!$A$191:$I$211,4,0)),0,VLOOKUP(A30,'Données projet'!$A$191:$I$211,4,0))</f>
        <v>43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59.713211717061426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14.2</v>
      </c>
      <c r="FE30" s="12">
        <f>IF('Données projet'!$A$218&gt;35,FE29+FD30-FM29,IF(A30&lt;'Données projet'!$A$218,$FB$205^A30,IF(A30='Données projet'!$A$218,'Données projet'!$B$218,FE29+FD30-FM29)))</f>
        <v>134.39999999999995</v>
      </c>
      <c r="FF30" s="17">
        <f>FE30*VLOOKUP('Données projet'!$B$16,Paramètres!$A$1:$I$89,3,0)*VLOOKUP('Données projet'!$B$16,Paramètres!$A$1:$I$89,5,0)</f>
        <v>109.02527999999997</v>
      </c>
      <c r="FG30" s="13">
        <f t="shared" si="47"/>
        <v>29.101214110737224</v>
      </c>
      <c r="FH30" s="20">
        <f t="shared" si="22"/>
        <v>240.57031057620057</v>
      </c>
      <c r="FI30" s="57">
        <f t="shared" si="23"/>
        <v>492.51875353875914</v>
      </c>
      <c r="FJ30" s="57">
        <f ca="1">AVERAGE(OFFSET($FI$3,0,0,'Données projet'!$E$16+1,1))-AVERAGE(OFFSET($H$3,0,0,'Données projet'!$E$16+1,1))</f>
        <v>375.34603719604439</v>
      </c>
      <c r="FK30" s="57">
        <f t="shared" si="48"/>
        <v>363.99476973672211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10.091345845578742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10.091345845578742</v>
      </c>
      <c r="FU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59.713211717061426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>
        <f>VLOOKUP(A30,'Données projet'!$A$243:$I$263,2,0)</f>
        <v>321</v>
      </c>
      <c r="FX30" s="12">
        <f>VLOOKUP(A30,'Données projet'!$A$243:$I$263,9,0)</f>
        <v>28.199999999999989</v>
      </c>
      <c r="FY30" s="12">
        <f t="array" ref="FY30">INDEX(FX:FX,MIN(IF(ISNUMBER(FX30:FX226),ROW(FX30:FX226),"")))</f>
        <v>28.199999999999989</v>
      </c>
      <c r="FZ30" s="12">
        <f>IF('Données projet'!$A$244&gt;35,FZ29+FY30-GH29,IF(A30&lt;'Données projet'!$A$244,$FW$205^A30,IF(A30='Données projet'!$A$244,'Données projet'!$B$244,FZ29+FY30-GH29)))</f>
        <v>321</v>
      </c>
      <c r="GA30" s="17">
        <f>FZ30*VLOOKUP('Données projet'!$B$17,Paramètres!$A$1:$I$89,3,0)*VLOOKUP('Données projet'!$B$17,Paramètres!$A$1:$I$89,5,0)</f>
        <v>179.43900000000002</v>
      </c>
      <c r="GB30" s="13">
        <f t="shared" si="49"/>
        <v>45.197351336396032</v>
      </c>
      <c r="GC30" s="20">
        <f t="shared" si="25"/>
        <v>391.24164524422309</v>
      </c>
      <c r="GD30" s="57">
        <f t="shared" si="26"/>
        <v>643.19008820678164</v>
      </c>
      <c r="GE30" s="57">
        <f ca="1">AVERAGE(OFFSET($GD$3,0,0,'Données projet'!$E$17+1,1))-AVERAGE(OFFSET($H$3,0,0,'Données projet'!$E$17+1,1))</f>
        <v>414.47327143450701</v>
      </c>
      <c r="GF30" s="57">
        <f t="shared" si="50"/>
        <v>546.83385887302961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11.031890329335647</v>
      </c>
      <c r="GM30" s="21">
        <f>EXP(-LN(2)/25)*GM29+(1-EXP(-LN(2)/25))/(LN(2)/25)*Calculateur!GH30*Calculateur!GJ30*VLOOKUP('Données projet'!$B$17,Paramètres!$A$1:$I$89,3,0)*0.475*44/12</f>
        <v>18.149538136504049</v>
      </c>
      <c r="GN30" s="21">
        <f>EXP(-LN(2)/2)*GN29+(1-EXP(-LN(2)/2))/(LN(2)/2)*GH30*GK30*VLOOKUP('Données projet'!$B$17,Paramètres!$A$1:$I$89,3,0)*0.475*44/12</f>
        <v>4.2973454823623829</v>
      </c>
      <c r="GO30" s="21">
        <f t="shared" si="27"/>
        <v>33.478773948202075</v>
      </c>
      <c r="GP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59.713211717061426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16.600000000000001</v>
      </c>
      <c r="GU30" s="12">
        <f>IF('Données projet'!$A$270&gt;35,GU29+GT30-HC29,IF(A30&lt;'Données projet'!$A$270,$GR$205^A30,IF(A30='Données projet'!$A$270,'Données projet'!$B$270,GU29+GT30-HC29)))</f>
        <v>171.20000000000002</v>
      </c>
      <c r="GV30" s="17">
        <f>GU30*VLOOKUP('Données projet'!$B$18,Paramètres!$A$1:$I$89,3,0)*VLOOKUP('Données projet'!$B$18,Paramètres!$A$1:$I$89,5,0)</f>
        <v>93.475200000000015</v>
      </c>
      <c r="GW30" s="13">
        <f t="shared" si="51"/>
        <v>25.401502539965662</v>
      </c>
      <c r="GX30" s="20">
        <f t="shared" si="28"/>
        <v>207.04359025710687</v>
      </c>
      <c r="GY30" s="57">
        <f t="shared" si="29"/>
        <v>458.99203321966547</v>
      </c>
      <c r="GZ30" s="57">
        <f ca="1">AVERAGE(OFFSET($GY$3,0,0,'Données projet'!$E$18+1,1))-AVERAGE(OFFSET($H$3,0,0,'Données projet'!$E$18+1,1))</f>
        <v>381.00532469288714</v>
      </c>
      <c r="HA30" s="57">
        <f t="shared" si="52"/>
        <v>314.875259641757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>
        <f>EXP(-LN(2)/35)*HG29+(1-EXP(-LN(2)/35))/(LN(2)/35)*HC30*HD30*VLOOKUP('Données projet'!$B$18,Paramètres!$A$1:$I$89,3,0)*0.475*44/12</f>
        <v>11.263573613864354</v>
      </c>
      <c r="HH30" s="21">
        <f>EXP(-LN(2)/25)*HH29+(1-EXP(-LN(2)/25))/(LN(2)/25)*Calculateur!HC30*Calculateur!HE30*VLOOKUP('Données projet'!$B$18,Paramètres!$A$1:$I$89,3,0)*0.475*44/12</f>
        <v>15.061484953805261</v>
      </c>
      <c r="HI30" s="21">
        <f>EXP(-LN(2)/2)*HI29+(1-EXP(-LN(2)/2))/(LN(2)/2)*HC30*HF30*VLOOKUP('Données projet'!$B$18,Paramètres!$A$1:$I$89,3,0)*0.475*44/12</f>
        <v>4.7967616469382826</v>
      </c>
      <c r="HJ30" s="22">
        <f t="shared" si="30"/>
        <v>31.121820214607897</v>
      </c>
    </row>
    <row r="31" spans="1:218" x14ac:dyDescent="0.2">
      <c r="A31" s="10">
        <f t="shared" si="31"/>
        <v>28</v>
      </c>
      <c r="B31" s="71">
        <f>'Scénario référence'!$B$16*5+'Scénario référence'!$B$17*0+'Scénario référence'!$B$18*5</f>
        <v>3.3000000000000003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12.100000000000001</v>
      </c>
      <c r="H31" s="65">
        <f t="shared" si="1"/>
        <v>208.26666666666665</v>
      </c>
      <c r="I31" s="6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59.89166449595713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4.8</v>
      </c>
      <c r="N31" s="13">
        <f>IF('Données projet'!$A$36&gt;35,N30+M31-V30,IF(A31&lt;'Données projet'!$A$36,$K$205^A31,IF(A31='Données projet'!$A$36,'Données projet'!$B$36,N30+M31-V30)))</f>
        <v>44.399999999999991</v>
      </c>
      <c r="O31" s="13">
        <f>N31*VLOOKUP('Données projet'!$B$9,Paramètres!$A$1:$I$89,3,0)*VLOOKUP('Données projet'!$B$9,Paramètres!$A$1:$I$89,5,0)</f>
        <v>45.021599999999992</v>
      </c>
      <c r="P31" s="13">
        <f t="shared" si="33"/>
        <v>13.320324173992205</v>
      </c>
      <c r="Q31" s="20">
        <f t="shared" si="2"/>
        <v>101.6121846030364</v>
      </c>
      <c r="R31" s="57">
        <f t="shared" si="0"/>
        <v>355.43717664376805</v>
      </c>
      <c r="S31" s="57">
        <f ca="1">AVERAGE(OFFSET($R$3,0,0,'Données projet'!$E$9+1,1))-AVERAGE(OFFSET($H$3,0,0,'Données projet'!$E$9+1,1))</f>
        <v>332.70145542047612</v>
      </c>
      <c r="T31" s="57">
        <f t="shared" si="34"/>
        <v>172.22433737900428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59.89166449595713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4.3352272727272725</v>
      </c>
      <c r="AI31" s="13">
        <f>IF('Données projet'!$A$62&gt;35,AI30+AH31-AQ30,IF(A31&lt;'Données projet'!$A$62,$AF$205^A31,IF(A31='Données projet'!$A$62,'Données projet'!$B$62,AI30+AH31-AQ30)))</f>
        <v>121.38636363636355</v>
      </c>
      <c r="AJ31" s="13">
        <f>AI31*VLOOKUP('Données projet'!$B$10,Paramètres!$A$1:$I$89,3,0)*VLOOKUP('Données projet'!$B$10,Paramètres!$A$1:$I$89,5,0)</f>
        <v>109.83038181818173</v>
      </c>
      <c r="AK31" s="13">
        <f t="shared" si="35"/>
        <v>29.291017617440126</v>
      </c>
      <c r="AL31" s="20">
        <f t="shared" si="4"/>
        <v>242.30310401704142</v>
      </c>
      <c r="AM31" s="57">
        <f t="shared" si="5"/>
        <v>496.12809605777306</v>
      </c>
      <c r="AN31" s="57">
        <f ca="1">AVERAGE(OFFSET($AM$3,0,0,'Données projet'!$E$10+1,1))-AVERAGE(OFFSET($H$3,0,0,'Données projet'!$E$10+1,1))</f>
        <v>469.4210143164521</v>
      </c>
      <c r="AO31" s="57">
        <f t="shared" si="36"/>
        <v>308.4508386530556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59.89166449595713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14.2</v>
      </c>
      <c r="BD31" s="12">
        <f>IF('Données projet'!$A$88&gt;35,BD30+BC31-BL30,IF(A31&lt;'Données projet'!$A$88,$BA$205^A31,IF(A31='Données projet'!$A$88,'Données projet'!$B$88,BD30+BC31-BL30)))</f>
        <v>148.59999999999994</v>
      </c>
      <c r="BE31" s="13">
        <f>BD31*VLOOKUP('Données projet'!$B$11,Paramètres!$A$1:$I$89,3,0)*VLOOKUP('Données projet'!$B$11,Paramètres!$A$1:$I$89,5,0)</f>
        <v>108.95351999999995</v>
      </c>
      <c r="BF31" s="13">
        <f t="shared" si="37"/>
        <v>29.084288721109843</v>
      </c>
      <c r="BG31" s="20">
        <f t="shared" si="7"/>
        <v>240.41585018926619</v>
      </c>
      <c r="BH31" s="57">
        <f t="shared" si="8"/>
        <v>494.24084222999784</v>
      </c>
      <c r="BI31" s="57">
        <f ca="1">AVERAGE(OFFSET($BH$3,0,0,'Données projet'!$E$11+1,1))-AVERAGE(OFFSET($H$3,0,0,'Données projet'!$E$11+1,1))</f>
        <v>344.32981377462971</v>
      </c>
      <c r="BJ31" s="57">
        <f t="shared" si="38"/>
        <v>334.42512656625763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7.2549652003636229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7.2549652003636229</v>
      </c>
      <c r="BT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59.89166449595713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14.6</v>
      </c>
      <c r="BY31" s="12">
        <f>IF('Données projet'!$A$114&gt;35,BY30+BX31-CG30,IF(A31&lt;'Données projet'!$A$114,$BV$205^A31,IF(A31='Données projet'!$A$114,'Données projet'!$B$114,BY30+BX31-CG30)))</f>
        <v>131.79999999999998</v>
      </c>
      <c r="BZ31" s="13">
        <f>BY31*VLOOKUP('Données projet'!$B$12,Paramètres!$A$1:$I$89,3,0)*VLOOKUP('Données projet'!$B$12,Paramètres!$A$1:$I$89,5,0)</f>
        <v>125.42087999999998</v>
      </c>
      <c r="CA31" s="13">
        <f t="shared" si="39"/>
        <v>32.936061027273531</v>
      </c>
      <c r="CB31" s="20">
        <f t="shared" si="10"/>
        <v>275.80500562250137</v>
      </c>
      <c r="CC31" s="57">
        <f t="shared" si="11"/>
        <v>529.6299976632331</v>
      </c>
      <c r="CD31" s="57">
        <f ca="1">AVERAGE(OFFSET($CC$3,0,0,'Données projet'!$E$12+1,1))-AVERAGE(OFFSET($H$3,0,0,'Données projet'!$E$12+1,1))</f>
        <v>498.77732039282807</v>
      </c>
      <c r="CE31" s="57">
        <f t="shared" si="40"/>
        <v>384.57317421826531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59.89166449595713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4.3352272727272725</v>
      </c>
      <c r="CT31" s="12">
        <f>IF('Données projet'!$A$140&gt;35,CT30+CS31-DB30,IF(A31&lt;'Données projet'!$A$140,$CQ$205^A31,IF(A31='Données projet'!$A$140,'Données projet'!$B$140,CT30+CS31-DB30)))</f>
        <v>121.38636363636355</v>
      </c>
      <c r="CU31" s="17">
        <f>CT31*VLOOKUP('Données projet'!$B$13,Paramètres!$A$1:$I$89,3,0)*VLOOKUP('Données projet'!$B$13,Paramètres!$A$1:$I$89,5,0)</f>
        <v>81.425972727272679</v>
      </c>
      <c r="CV31" s="13">
        <f t="shared" si="41"/>
        <v>22.48548255463297</v>
      </c>
      <c r="CW31" s="20">
        <f t="shared" si="13"/>
        <v>180.97911794931898</v>
      </c>
      <c r="CX31" s="57">
        <f t="shared" si="14"/>
        <v>434.80410999005062</v>
      </c>
      <c r="CY31" s="57">
        <f ca="1">AVERAGE(OFFSET($CX$3,0,0,'Données projet'!$E$13+1,1))-AVERAGE(OFFSET($H$3,0,0,'Données projet'!$E$13+1,1))</f>
        <v>365.99625753737246</v>
      </c>
      <c r="CZ31" s="57">
        <f t="shared" si="42"/>
        <v>242.84814712692287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59.89166449595713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10</v>
      </c>
      <c r="DO31" s="12">
        <f>IF('Données projet'!$A$166&gt;35,DO30+DN31-DW30,IF(A31&lt;'Données projet'!$A$166,$DL$205^A31,IF(A31='Données projet'!$A$166,'Données projet'!$B$166,DO30+DN31-DW30)))</f>
        <v>166</v>
      </c>
      <c r="DP31" s="17">
        <f>DO31*VLOOKUP('Données projet'!$B$14,Paramètres!$A$1:$I$89,3,0)*VLOOKUP('Données projet'!$B$14,Paramètres!$A$1:$I$89,5,0)</f>
        <v>108.7632</v>
      </c>
      <c r="DQ31" s="13">
        <f t="shared" si="43"/>
        <v>29.039393357192587</v>
      </c>
      <c r="DR31" s="20">
        <f t="shared" si="16"/>
        <v>240.00618343044377</v>
      </c>
      <c r="DS31" s="57">
        <f t="shared" si="17"/>
        <v>493.83117547117547</v>
      </c>
      <c r="DT31" s="57">
        <f ca="1">AVERAGE(OFFSET($DS$3,0,0,'Données projet'!$E$14+1,1))-AVERAGE(OFFSET($H$3,0,0,'Données projet'!$E$14+1,1))</f>
        <v>313.79279628660527</v>
      </c>
      <c r="DU31" s="57">
        <f t="shared" si="44"/>
        <v>317.45469955216254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59.89166449595713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24.333333333333332</v>
      </c>
      <c r="EJ31" s="12">
        <f>IF('Données projet'!$A$192&gt;35,EJ30+EI31-ER30,IF(A31&lt;'Données projet'!$A$192,$EG$205^A31,IF(A31='Données projet'!$A$192,'Données projet'!$B$192,EJ30+EI31-ER30)))</f>
        <v>179.33333333333337</v>
      </c>
      <c r="EK31" s="17">
        <f>EJ31*VLOOKUP('Données projet'!$B$15,Paramètres!$A$1:$I$89,3,0)*VLOOKUP('Données projet'!$B$15,Paramètres!$A$1:$I$89,5,0)</f>
        <v>153.86800000000005</v>
      </c>
      <c r="EL31" s="13">
        <f t="shared" si="45"/>
        <v>39.456295775469606</v>
      </c>
      <c r="EM31" s="20">
        <f t="shared" si="19"/>
        <v>336.70648180894301</v>
      </c>
      <c r="EN31" s="57">
        <f t="shared" si="20"/>
        <v>590.53147384967474</v>
      </c>
      <c r="EO31" s="57">
        <f ca="1">AVERAGE(OFFSET($EN$3,0,0,'Données projet'!$E$15+1,1))-AVERAGE(OFFSET($H$3,0,0,'Données projet'!$E$15+1,1))</f>
        <v>643.04899298561475</v>
      </c>
      <c r="EP31" s="57">
        <f t="shared" si="46"/>
        <v>474.94999304483031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59.89166449595713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14.2</v>
      </c>
      <c r="FE31" s="12">
        <f>IF('Données projet'!$A$218&gt;35,FE30+FD31-FM30,IF(A31&lt;'Données projet'!$A$218,$FB$205^A31,IF(A31='Données projet'!$A$218,'Données projet'!$B$218,FE30+FD31-FM30)))</f>
        <v>148.59999999999994</v>
      </c>
      <c r="FF31" s="17">
        <f>FE31*VLOOKUP('Données projet'!$B$16,Paramètres!$A$1:$I$89,3,0)*VLOOKUP('Données projet'!$B$16,Paramètres!$A$1:$I$89,5,0)</f>
        <v>120.54431999999997</v>
      </c>
      <c r="FG31" s="13">
        <f t="shared" si="47"/>
        <v>31.801919536644224</v>
      </c>
      <c r="FH31" s="20">
        <f t="shared" si="22"/>
        <v>265.33636719298863</v>
      </c>
      <c r="FI31" s="57">
        <f t="shared" si="23"/>
        <v>519.1613592337203</v>
      </c>
      <c r="FJ31" s="57">
        <f ca="1">AVERAGE(OFFSET($FI$3,0,0,'Données projet'!$E$16+1,1))-AVERAGE(OFFSET($H$3,0,0,'Données projet'!$E$16+1,1))</f>
        <v>375.34603719604439</v>
      </c>
      <c r="FK31" s="57">
        <f t="shared" si="48"/>
        <v>363.99476973672211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9.8934607086601414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9.8934607086601414</v>
      </c>
      <c r="FU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59.89166449595713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>
        <f>VLOOKUP(A31,'Données projet'!$A$243:$I$263,2,0)</f>
        <v>350.06</v>
      </c>
      <c r="FX31" s="12">
        <f>VLOOKUP(A31,'Données projet'!$A$243:$I$263,9,0)</f>
        <v>29.060000000000002</v>
      </c>
      <c r="FY31" s="12">
        <f t="array" ref="FY31">INDEX(FX:FX,MIN(IF(ISNUMBER(FX31:FX227),ROW(FX31:FX227),"")))</f>
        <v>29.060000000000002</v>
      </c>
      <c r="FZ31" s="12">
        <f>IF('Données projet'!$A$244&gt;35,FZ30+FY31-GH30,IF(A31&lt;'Données projet'!$A$244,$FW$205^A31,IF(A31='Données projet'!$A$244,'Données projet'!$B$244,FZ30+FY31-GH30)))</f>
        <v>350.06</v>
      </c>
      <c r="GA31" s="17">
        <f>FZ31*VLOOKUP('Données projet'!$B$17,Paramètres!$A$1:$I$89,3,0)*VLOOKUP('Données projet'!$B$17,Paramètres!$A$1:$I$89,5,0)</f>
        <v>195.68354000000002</v>
      </c>
      <c r="GB31" s="13">
        <f t="shared" si="49"/>
        <v>48.79433922175842</v>
      </c>
      <c r="GC31" s="20">
        <f t="shared" si="25"/>
        <v>425.79897297789597</v>
      </c>
      <c r="GD31" s="57">
        <f t="shared" si="26"/>
        <v>679.62396501862759</v>
      </c>
      <c r="GE31" s="57">
        <f ca="1">AVERAGE(OFFSET($GD$3,0,0,'Données projet'!$E$17+1,1))-AVERAGE(OFFSET($H$3,0,0,'Données projet'!$E$17+1,1))</f>
        <v>414.47327143450701</v>
      </c>
      <c r="GF31" s="57">
        <f t="shared" si="50"/>
        <v>546.83385887302961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10.815561688766063</v>
      </c>
      <c r="GM31" s="21">
        <f>EXP(-LN(2)/25)*GM30+(1-EXP(-LN(2)/25))/(LN(2)/25)*Calculateur!GH31*Calculateur!GJ31*VLOOKUP('Données projet'!$B$17,Paramètres!$A$1:$I$89,3,0)*0.475*44/12</f>
        <v>17.653238061718618</v>
      </c>
      <c r="GN31" s="21">
        <f>EXP(-LN(2)/2)*GN30+(1-EXP(-LN(2)/2))/(LN(2)/2)*GH31*GK31*VLOOKUP('Données projet'!$B$17,Paramètres!$A$1:$I$89,3,0)*0.475*44/12</f>
        <v>3.038682131679816</v>
      </c>
      <c r="GO31" s="21">
        <f t="shared" si="27"/>
        <v>31.507481882164498</v>
      </c>
      <c r="GP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59.89166449595713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16.600000000000001</v>
      </c>
      <c r="GU31" s="12">
        <f>IF('Données projet'!$A$270&gt;35,GU30+GT31-HC30,IF(A31&lt;'Données projet'!$A$270,$GR$205^A31,IF(A31='Données projet'!$A$270,'Données projet'!$B$270,GU30+GT31-HC30)))</f>
        <v>187.8</v>
      </c>
      <c r="GV31" s="17">
        <f>GU31*VLOOKUP('Données projet'!$B$18,Paramètres!$A$1:$I$89,3,0)*VLOOKUP('Données projet'!$B$18,Paramètres!$A$1:$I$89,5,0)</f>
        <v>102.53880000000001</v>
      </c>
      <c r="GW31" s="13">
        <f t="shared" si="51"/>
        <v>27.565946279127903</v>
      </c>
      <c r="GX31" s="20">
        <f t="shared" si="28"/>
        <v>226.59909976948109</v>
      </c>
      <c r="GY31" s="57">
        <f t="shared" si="29"/>
        <v>480.42409181021276</v>
      </c>
      <c r="GZ31" s="57">
        <f ca="1">AVERAGE(OFFSET($GY$3,0,0,'Données projet'!$E$18+1,1))-AVERAGE(OFFSET($H$3,0,0,'Données projet'!$E$18+1,1))</f>
        <v>381.00532469288714</v>
      </c>
      <c r="HA31" s="57">
        <f t="shared" si="52"/>
        <v>314.875259641757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>
        <f>EXP(-LN(2)/35)*HG30+(1-EXP(-LN(2)/35))/(LN(2)/35)*HC31*HD31*VLOOKUP('Données projet'!$B$18,Paramètres!$A$1:$I$89,3,0)*0.475*44/12</f>
        <v>11.042701805398012</v>
      </c>
      <c r="HH31" s="21">
        <f>EXP(-LN(2)/25)*HH30+(1-EXP(-LN(2)/25))/(LN(2)/25)*Calculateur!HC31*Calculateur!HE31*VLOOKUP('Données projet'!$B$18,Paramètres!$A$1:$I$89,3,0)*0.475*44/12</f>
        <v>14.649627855694385</v>
      </c>
      <c r="HI31" s="21">
        <f>EXP(-LN(2)/2)*HI30+(1-EXP(-LN(2)/2))/(LN(2)/2)*HC31*HF31*VLOOKUP('Données projet'!$B$18,Paramètres!$A$1:$I$89,3,0)*0.475*44/12</f>
        <v>3.3918226882856115</v>
      </c>
      <c r="HJ31" s="22">
        <f t="shared" si="30"/>
        <v>29.084152349378009</v>
      </c>
    </row>
    <row r="32" spans="1:218" x14ac:dyDescent="0.2">
      <c r="A32" s="10">
        <f t="shared" si="31"/>
        <v>29</v>
      </c>
      <c r="B32" s="71">
        <f>'Scénario référence'!$B$16*5+'Scénario référence'!$B$17*0+'Scénario référence'!$B$18*5</f>
        <v>3.3000000000000003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12.100000000000001</v>
      </c>
      <c r="H32" s="65">
        <f t="shared" si="1"/>
        <v>208.26666666666665</v>
      </c>
      <c r="I32" s="6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60.067021518099651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4.8</v>
      </c>
      <c r="N32" s="13">
        <f>IF('Données projet'!$A$36&gt;35,N31+M32-V31,IF(A32&lt;'Données projet'!$A$36,$K$205^A32,IF(A32='Données projet'!$A$36,'Données projet'!$B$36,N31+M32-V31)))</f>
        <v>49.199999999999989</v>
      </c>
      <c r="O32" s="13">
        <f>N32*VLOOKUP('Données projet'!$B$9,Paramètres!$A$1:$I$89,3,0)*VLOOKUP('Données projet'!$B$9,Paramètres!$A$1:$I$89,5,0)</f>
        <v>49.888799999999989</v>
      </c>
      <c r="P32" s="13">
        <f t="shared" si="33"/>
        <v>14.585038058304724</v>
      </c>
      <c r="Q32" s="20">
        <f t="shared" si="2"/>
        <v>112.29193461821403</v>
      </c>
      <c r="R32" s="57">
        <f t="shared" si="0"/>
        <v>367.98212462902387</v>
      </c>
      <c r="S32" s="57">
        <f ca="1">AVERAGE(OFFSET($R$3,0,0,'Données projet'!$E$9+1,1))-AVERAGE(OFFSET($H$3,0,0,'Données projet'!$E$9+1,1))</f>
        <v>332.70145542047612</v>
      </c>
      <c r="T32" s="57">
        <f t="shared" si="34"/>
        <v>172.22433737900428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60.067021518099651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4.3352272727272725</v>
      </c>
      <c r="AI32" s="13">
        <f>IF('Données projet'!$A$62&gt;35,AI31+AH32-AQ31,IF(A32&lt;'Données projet'!$A$62,$AF$205^A32,IF(A32='Données projet'!$A$62,'Données projet'!$B$62,AI31+AH32-AQ31)))</f>
        <v>125.72159090909082</v>
      </c>
      <c r="AJ32" s="13">
        <f>AI32*VLOOKUP('Données projet'!$B$10,Paramètres!$A$1:$I$89,3,0)*VLOOKUP('Données projet'!$B$10,Paramètres!$A$1:$I$89,5,0)</f>
        <v>113.75289545454538</v>
      </c>
      <c r="AK32" s="13">
        <f t="shared" si="35"/>
        <v>30.213462199456867</v>
      </c>
      <c r="AL32" s="20">
        <f t="shared" si="4"/>
        <v>250.74140624738729</v>
      </c>
      <c r="AM32" s="57">
        <f t="shared" si="5"/>
        <v>506.43159625819715</v>
      </c>
      <c r="AN32" s="57">
        <f ca="1">AVERAGE(OFFSET($AM$3,0,0,'Données projet'!$E$10+1,1))-AVERAGE(OFFSET($H$3,0,0,'Données projet'!$E$10+1,1))</f>
        <v>469.4210143164521</v>
      </c>
      <c r="AO32" s="57">
        <f t="shared" si="36"/>
        <v>308.4508386530556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60.067021518099651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14.2</v>
      </c>
      <c r="BD32" s="12">
        <f>IF('Données projet'!$A$88&gt;35,BD31+BC32-BL31,IF(A32&lt;'Données projet'!$A$88,$BA$205^A32,IF(A32='Données projet'!$A$88,'Données projet'!$B$88,BD31+BC32-BL31)))</f>
        <v>162.79999999999993</v>
      </c>
      <c r="BE32" s="13">
        <f>BD32*VLOOKUP('Données projet'!$B$11,Paramètres!$A$1:$I$89,3,0)*VLOOKUP('Données projet'!$B$11,Paramètres!$A$1:$I$89,5,0)</f>
        <v>119.36495999999994</v>
      </c>
      <c r="BF32" s="13">
        <f t="shared" si="37"/>
        <v>31.526840934707504</v>
      </c>
      <c r="BG32" s="20">
        <f t="shared" si="7"/>
        <v>262.80321996128214</v>
      </c>
      <c r="BH32" s="57">
        <f t="shared" si="8"/>
        <v>518.49340997209197</v>
      </c>
      <c r="BI32" s="57">
        <f ca="1">AVERAGE(OFFSET($BH$3,0,0,'Données projet'!$E$11+1,1))-AVERAGE(OFFSET($H$3,0,0,'Données projet'!$E$11+1,1))</f>
        <v>344.32981377462971</v>
      </c>
      <c r="BJ32" s="57">
        <f t="shared" si="38"/>
        <v>334.42512656625763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7.1126997578763227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7.1126997578763227</v>
      </c>
      <c r="BT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60.067021518099651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14.6</v>
      </c>
      <c r="BY32" s="12">
        <f>IF('Données projet'!$A$114&gt;35,BY31+BX32-CG31,IF(A32&lt;'Données projet'!$A$114,$BV$205^A32,IF(A32='Données projet'!$A$114,'Données projet'!$B$114,BY31+BX32-CG31)))</f>
        <v>146.39999999999998</v>
      </c>
      <c r="BZ32" s="13">
        <f>BY32*VLOOKUP('Données projet'!$B$12,Paramètres!$A$1:$I$89,3,0)*VLOOKUP('Données projet'!$B$12,Paramètres!$A$1:$I$89,5,0)</f>
        <v>139.31423999999998</v>
      </c>
      <c r="CA32" s="13">
        <f t="shared" si="39"/>
        <v>36.139862641388582</v>
      </c>
      <c r="CB32" s="20">
        <f t="shared" si="10"/>
        <v>305.58256210041844</v>
      </c>
      <c r="CC32" s="57">
        <f t="shared" si="11"/>
        <v>561.27275211122833</v>
      </c>
      <c r="CD32" s="57">
        <f ca="1">AVERAGE(OFFSET($CC$3,0,0,'Données projet'!$E$12+1,1))-AVERAGE(OFFSET($H$3,0,0,'Données projet'!$E$12+1,1))</f>
        <v>498.77732039282807</v>
      </c>
      <c r="CE32" s="57">
        <f t="shared" si="40"/>
        <v>384.57317421826531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60.067021518099651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4.3352272727272725</v>
      </c>
      <c r="CT32" s="12">
        <f>IF('Données projet'!$A$140&gt;35,CT31+CS32-DB31,IF(A32&lt;'Données projet'!$A$140,$CQ$205^A32,IF(A32='Données projet'!$A$140,'Données projet'!$B$140,CT31+CS32-DB31)))</f>
        <v>125.72159090909082</v>
      </c>
      <c r="CU32" s="17">
        <f>CT32*VLOOKUP('Données projet'!$B$13,Paramètres!$A$1:$I$89,3,0)*VLOOKUP('Données projet'!$B$13,Paramètres!$A$1:$I$89,5,0)</f>
        <v>84.334043181818117</v>
      </c>
      <c r="CV32" s="13">
        <f t="shared" si="41"/>
        <v>23.193604471988415</v>
      </c>
      <c r="CW32" s="20">
        <f t="shared" si="13"/>
        <v>187.277319663713</v>
      </c>
      <c r="CX32" s="57">
        <f t="shared" si="14"/>
        <v>442.96750967452283</v>
      </c>
      <c r="CY32" s="57">
        <f ca="1">AVERAGE(OFFSET($CX$3,0,0,'Données projet'!$E$13+1,1))-AVERAGE(OFFSET($H$3,0,0,'Données projet'!$E$13+1,1))</f>
        <v>365.99625753737246</v>
      </c>
      <c r="CZ32" s="57">
        <f t="shared" si="42"/>
        <v>242.84814712692287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60.067021518099651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10</v>
      </c>
      <c r="DO32" s="12">
        <f>IF('Données projet'!$A$166&gt;35,DO31+DN32-DW31,IF(A32&lt;'Données projet'!$A$166,$DL$205^A32,IF(A32='Données projet'!$A$166,'Données projet'!$B$166,DO31+DN32-DW31)))</f>
        <v>176</v>
      </c>
      <c r="DP32" s="17">
        <f>DO32*VLOOKUP('Données projet'!$B$14,Paramètres!$A$1:$I$89,3,0)*VLOOKUP('Données projet'!$B$14,Paramètres!$A$1:$I$89,5,0)</f>
        <v>115.3152</v>
      </c>
      <c r="DQ32" s="13">
        <f t="shared" si="43"/>
        <v>30.579827148797317</v>
      </c>
      <c r="DR32" s="20">
        <f t="shared" si="16"/>
        <v>254.10050561748861</v>
      </c>
      <c r="DS32" s="57">
        <f t="shared" si="17"/>
        <v>509.79069562829841</v>
      </c>
      <c r="DT32" s="57">
        <f ca="1">AVERAGE(OFFSET($DS$3,0,0,'Données projet'!$E$14+1,1))-AVERAGE(OFFSET($H$3,0,0,'Données projet'!$E$14+1,1))</f>
        <v>313.79279628660527</v>
      </c>
      <c r="DU32" s="57">
        <f t="shared" si="44"/>
        <v>317.45469955216254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60.067021518099651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24.333333333333332</v>
      </c>
      <c r="EJ32" s="12">
        <f>IF('Données projet'!$A$192&gt;35,EJ31+EI32-ER31,IF(A32&lt;'Données projet'!$A$192,$EG$205^A32,IF(A32='Données projet'!$A$192,'Données projet'!$B$192,EJ31+EI32-ER31)))</f>
        <v>203.66666666666671</v>
      </c>
      <c r="EK32" s="17">
        <f>EJ32*VLOOKUP('Données projet'!$B$15,Paramètres!$A$1:$I$89,3,0)*VLOOKUP('Données projet'!$B$15,Paramètres!$A$1:$I$89,5,0)</f>
        <v>174.74600000000007</v>
      </c>
      <c r="EL32" s="13">
        <f t="shared" si="45"/>
        <v>44.151260306486655</v>
      </c>
      <c r="EM32" s="20">
        <f t="shared" si="19"/>
        <v>381.24606170046428</v>
      </c>
      <c r="EN32" s="57">
        <f t="shared" si="20"/>
        <v>636.93625171127405</v>
      </c>
      <c r="EO32" s="57">
        <f ca="1">AVERAGE(OFFSET($EN$3,0,0,'Données projet'!$E$15+1,1))-AVERAGE(OFFSET($H$3,0,0,'Données projet'!$E$15+1,1))</f>
        <v>643.04899298561475</v>
      </c>
      <c r="EP32" s="57">
        <f t="shared" si="46"/>
        <v>474.94999304483031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60.067021518099651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14.2</v>
      </c>
      <c r="FE32" s="12">
        <f>IF('Données projet'!$A$218&gt;35,FE31+FD32-FM31,IF(A32&lt;'Données projet'!$A$218,$FB$205^A32,IF(A32='Données projet'!$A$218,'Données projet'!$B$218,FE31+FD32-FM31)))</f>
        <v>162.79999999999993</v>
      </c>
      <c r="FF32" s="17">
        <f>FE32*VLOOKUP('Données projet'!$B$16,Paramètres!$A$1:$I$89,3,0)*VLOOKUP('Données projet'!$B$16,Paramètres!$A$1:$I$89,5,0)</f>
        <v>132.06335999999996</v>
      </c>
      <c r="FG32" s="13">
        <f t="shared" si="47"/>
        <v>34.472703398877925</v>
      </c>
      <c r="FH32" s="20">
        <f t="shared" si="22"/>
        <v>290.05031041971233</v>
      </c>
      <c r="FI32" s="57">
        <f t="shared" si="23"/>
        <v>545.74050043052216</v>
      </c>
      <c r="FJ32" s="57">
        <f ca="1">AVERAGE(OFFSET($FI$3,0,0,'Données projet'!$E$16+1,1))-AVERAGE(OFFSET($H$3,0,0,'Données projet'!$E$16+1,1))</f>
        <v>375.34603719604439</v>
      </c>
      <c r="FK32" s="57">
        <f t="shared" si="48"/>
        <v>363.99476973672211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9.6994559785784986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9.6994559785784986</v>
      </c>
      <c r="FU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60.067021518099651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>
        <f>VLOOKUP(A32,'Données projet'!$A$243:$I$263,2,0)</f>
        <v>379.96</v>
      </c>
      <c r="FX32" s="12">
        <f>VLOOKUP(A32,'Données projet'!$A$243:$I$263,9,0)</f>
        <v>29.899999999999977</v>
      </c>
      <c r="FY32" s="12">
        <f t="array" ref="FY32">INDEX(FX:FX,MIN(IF(ISNUMBER(FX32:FX228),ROW(FX32:FX228),"")))</f>
        <v>29.899999999999977</v>
      </c>
      <c r="FZ32" s="12">
        <f>IF('Données projet'!$A$244&gt;35,FZ31+FY32-GH31,IF(A32&lt;'Données projet'!$A$244,$FW$205^A32,IF(A32='Données projet'!$A$244,'Données projet'!$B$244,FZ31+FY32-GH31)))</f>
        <v>379.96</v>
      </c>
      <c r="GA32" s="17">
        <f>FZ32*VLOOKUP('Données projet'!$B$17,Paramètres!$A$1:$I$89,3,0)*VLOOKUP('Données projet'!$B$17,Paramètres!$A$1:$I$89,5,0)</f>
        <v>212.39763999999997</v>
      </c>
      <c r="GB32" s="13">
        <f t="shared" si="49"/>
        <v>52.459183677042859</v>
      </c>
      <c r="GC32" s="20">
        <f t="shared" si="25"/>
        <v>461.29230123751626</v>
      </c>
      <c r="GD32" s="57">
        <f t="shared" si="26"/>
        <v>716.98249124832614</v>
      </c>
      <c r="GE32" s="57">
        <f ca="1">AVERAGE(OFFSET($GD$3,0,0,'Données projet'!$E$17+1,1))-AVERAGE(OFFSET($H$3,0,0,'Données projet'!$E$17+1,1))</f>
        <v>414.47327143450701</v>
      </c>
      <c r="GF32" s="57">
        <f t="shared" si="50"/>
        <v>546.83385887302961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10.603475120890607</v>
      </c>
      <c r="GM32" s="21">
        <f>EXP(-LN(2)/25)*GM31+(1-EXP(-LN(2)/25))/(LN(2)/25)*Calculateur!GH32*Calculateur!GJ32*VLOOKUP('Données projet'!$B$17,Paramètres!$A$1:$I$89,3,0)*0.475*44/12</f>
        <v>17.170509338577478</v>
      </c>
      <c r="GN32" s="21">
        <f>EXP(-LN(2)/2)*GN31+(1-EXP(-LN(2)/2))/(LN(2)/2)*GH32*GK32*VLOOKUP('Données projet'!$B$17,Paramètres!$A$1:$I$89,3,0)*0.475*44/12</f>
        <v>2.1486727411811914</v>
      </c>
      <c r="GO32" s="21">
        <f t="shared" si="27"/>
        <v>29.922657200649276</v>
      </c>
      <c r="GP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60.067021518099651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16.600000000000001</v>
      </c>
      <c r="GU32" s="12">
        <f>IF('Données projet'!$A$270&gt;35,GU31+GT32-HC31,IF(A32&lt;'Données projet'!$A$270,$GR$205^A32,IF(A32='Données projet'!$A$270,'Données projet'!$B$270,GU31+GT32-HC31)))</f>
        <v>204.4</v>
      </c>
      <c r="GV32" s="17">
        <f>GU32*VLOOKUP('Données projet'!$B$18,Paramètres!$A$1:$I$89,3,0)*VLOOKUP('Données projet'!$B$18,Paramètres!$A$1:$I$89,5,0)</f>
        <v>111.6024</v>
      </c>
      <c r="GW32" s="13">
        <f t="shared" si="51"/>
        <v>29.708204150290328</v>
      </c>
      <c r="GX32" s="20">
        <f t="shared" si="28"/>
        <v>246.11596889508897</v>
      </c>
      <c r="GY32" s="57">
        <f t="shared" si="29"/>
        <v>501.80615890589877</v>
      </c>
      <c r="GZ32" s="57">
        <f ca="1">AVERAGE(OFFSET($GY$3,0,0,'Données projet'!$E$18+1,1))-AVERAGE(OFFSET($H$3,0,0,'Données projet'!$E$18+1,1))</f>
        <v>381.00532469288714</v>
      </c>
      <c r="HA32" s="57">
        <f t="shared" si="52"/>
        <v>314.875259641757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>
        <f>EXP(-LN(2)/35)*HG31+(1-EXP(-LN(2)/35))/(LN(2)/35)*HC32*HD32*VLOOKUP('Données projet'!$B$18,Paramètres!$A$1:$I$89,3,0)*0.475*44/12</f>
        <v>10.826161158377195</v>
      </c>
      <c r="HH32" s="21">
        <f>EXP(-LN(2)/25)*HH31+(1-EXP(-LN(2)/25))/(LN(2)/25)*Calculateur!HC32*Calculateur!HE32*VLOOKUP('Données projet'!$B$18,Paramètres!$A$1:$I$89,3,0)*0.475*44/12</f>
        <v>14.249033011589976</v>
      </c>
      <c r="HI32" s="21">
        <f>EXP(-LN(2)/2)*HI31+(1-EXP(-LN(2)/2))/(LN(2)/2)*HC32*HF32*VLOOKUP('Données projet'!$B$18,Paramètres!$A$1:$I$89,3,0)*0.475*44/12</f>
        <v>2.3983808234691413</v>
      </c>
      <c r="HJ32" s="22">
        <f t="shared" si="30"/>
        <v>27.473574993436308</v>
      </c>
    </row>
    <row r="33" spans="1:218" x14ac:dyDescent="0.2">
      <c r="A33" s="10">
        <f t="shared" si="31"/>
        <v>30</v>
      </c>
      <c r="B33" s="71">
        <f>'Scénario référence'!$B$16*5+'Scénario référence'!$B$17*0+'Scénario référence'!$B$18*5</f>
        <v>3.3000000000000003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12.100000000000001</v>
      </c>
      <c r="H33" s="65">
        <f t="shared" si="1"/>
        <v>208.26666666666665</v>
      </c>
      <c r="I33" s="6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60.239336487947554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54</v>
      </c>
      <c r="L33" s="12">
        <f>VLOOKUP(A33,'Données projet'!$A$35:$I$55,9,0)</f>
        <v>4.8</v>
      </c>
      <c r="M33" s="12">
        <f t="array" ref="M33">INDEX(L:L,MIN(IF(ISNUMBER(L33:L229),ROW(L33:L229),"")))</f>
        <v>4.8</v>
      </c>
      <c r="N33" s="13">
        <f>IF('Données projet'!$A$36&gt;35,N32+M33-V32,IF(A33&lt;'Données projet'!$A$36,$K$205^A33,IF(A33='Données projet'!$A$36,'Données projet'!$B$36,N32+M33-V32)))</f>
        <v>53.999999999999986</v>
      </c>
      <c r="O33" s="13">
        <f>N33*VLOOKUP('Données projet'!$B$9,Paramètres!$A$1:$I$89,3,0)*VLOOKUP('Données projet'!$B$9,Paramètres!$A$1:$I$89,5,0)</f>
        <v>54.755999999999993</v>
      </c>
      <c r="P33" s="13">
        <f t="shared" si="33"/>
        <v>15.835447037242044</v>
      </c>
      <c r="Q33" s="20">
        <f t="shared" si="2"/>
        <v>122.94677025652987</v>
      </c>
      <c r="R33" s="57">
        <f t="shared" si="0"/>
        <v>380.49100404567093</v>
      </c>
      <c r="S33" s="57">
        <f ca="1">AVERAGE(OFFSET($R$3,0,0,'Données projet'!$E$9+1,1))-AVERAGE(OFFSET($H$3,0,0,'Données projet'!$E$9+1,1))</f>
        <v>332.70145542047612</v>
      </c>
      <c r="T33" s="57">
        <f t="shared" si="34"/>
        <v>172.22433737900428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60.239336487947554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4.3352272727272725</v>
      </c>
      <c r="AI33" s="13">
        <f>IF('Données projet'!$A$62&gt;35,AI32+AH33-AQ32,IF(A33&lt;'Données projet'!$A$62,$AF$205^A33,IF(A33='Données projet'!$A$62,'Données projet'!$B$62,AI32+AH33-AQ32)))</f>
        <v>130.0568181818181</v>
      </c>
      <c r="AJ33" s="13">
        <f>AI33*VLOOKUP('Données projet'!$B$10,Paramètres!$A$1:$I$89,3,0)*VLOOKUP('Données projet'!$B$10,Paramètres!$A$1:$I$89,5,0)</f>
        <v>117.67540909090901</v>
      </c>
      <c r="AK33" s="13">
        <f t="shared" si="35"/>
        <v>31.13221092664957</v>
      </c>
      <c r="AL33" s="20">
        <f t="shared" si="4"/>
        <v>259.17327153058113</v>
      </c>
      <c r="AM33" s="57">
        <f t="shared" si="5"/>
        <v>516.71750531972225</v>
      </c>
      <c r="AN33" s="57">
        <f ca="1">AVERAGE(OFFSET($AM$3,0,0,'Données projet'!$E$10+1,1))-AVERAGE(OFFSET($H$3,0,0,'Données projet'!$E$10+1,1))</f>
        <v>469.4210143164521</v>
      </c>
      <c r="AO33" s="57">
        <f t="shared" si="36"/>
        <v>308.4508386530556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60.239336487947554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177</v>
      </c>
      <c r="BB33" s="12">
        <f>VLOOKUP(A33,'Données projet'!$A$87:$I$107,9,0)</f>
        <v>14.2</v>
      </c>
      <c r="BC33" s="12">
        <f t="array" ref="BC33">INDEX(BB:BB,MIN(IF(ISNUMBER(BB33:BB229),ROW(BB33:BB229),"")))</f>
        <v>14.2</v>
      </c>
      <c r="BD33" s="12">
        <f>IF('Données projet'!$A$88&gt;35,BD32+BC33-BL32,IF(A33&lt;'Données projet'!$A$88,$BA$205^A33,IF(A33='Données projet'!$A$88,'Données projet'!$B$88,BD32+BC33-BL32)))</f>
        <v>176.99999999999991</v>
      </c>
      <c r="BE33" s="13">
        <f>BD33*VLOOKUP('Données projet'!$B$11,Paramètres!$A$1:$I$89,3,0)*VLOOKUP('Données projet'!$B$11,Paramètres!$A$1:$I$89,5,0)</f>
        <v>129.77639999999994</v>
      </c>
      <c r="BF33" s="13">
        <f t="shared" si="37"/>
        <v>33.94468676198089</v>
      </c>
      <c r="BG33" s="20">
        <f t="shared" si="7"/>
        <v>285.14755944378322</v>
      </c>
      <c r="BH33" s="57">
        <f t="shared" si="8"/>
        <v>542.69179323292428</v>
      </c>
      <c r="BI33" s="57">
        <f ca="1">AVERAGE(OFFSET($BH$3,0,0,'Données projet'!$E$11+1,1))-AVERAGE(OFFSET($H$3,0,0,'Données projet'!$E$11+1,1))</f>
        <v>344.32981377462971</v>
      </c>
      <c r="BJ33" s="57">
        <f t="shared" si="38"/>
        <v>334.42512656625763</v>
      </c>
      <c r="BK33" s="15">
        <f>IF(ISNA(VLOOKUP(A33,'Données projet'!$A$87:$I$107,3,0)),0,VLOOKUP(A33,'Données projet'!$A$87:$I$107,3,0))</f>
        <v>5</v>
      </c>
      <c r="BL33" s="15">
        <f>IF(ISNA(VLOOKUP(A33,'Données projet'!$A$87:$I$107,4,0)),0,VLOOKUP(A33,'Données projet'!$A$87:$I$107,4,0))</f>
        <v>35</v>
      </c>
      <c r="BM33" s="16">
        <f>IF(ISNA(VLOOKUP(A33,'Données projet'!$A$87:$I$107,5,0)),0%,VLOOKUP(A33,'Données projet'!$A$87:$I$107,5,0)*VLOOKUP('Données projet'!$B$11,Paramètres!$A$1:$I$89,7,0))</f>
        <v>0.129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10.632770987407966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10.632770987407966</v>
      </c>
      <c r="BT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60.239336487947554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161</v>
      </c>
      <c r="BW33" s="12">
        <f>VLOOKUP(A33,'Données projet'!$A$113:$I$133,9,0)</f>
        <v>14.6</v>
      </c>
      <c r="BX33" s="12">
        <f t="array" ref="BX33">INDEX(BW:BW,MIN(IF(ISNUMBER(BW33:BW229),ROW(BW33:BW229),"")))</f>
        <v>14.6</v>
      </c>
      <c r="BY33" s="12">
        <f>IF('Données projet'!$A$114&gt;35,BY32+BX33-CG32,IF(A33&lt;'Données projet'!$A$114,$BV$205^A33,IF(A33='Données projet'!$A$114,'Données projet'!$B$114,BY32+BX33-CG32)))</f>
        <v>160.99999999999997</v>
      </c>
      <c r="BZ33" s="13">
        <f>BY33*VLOOKUP('Données projet'!$B$12,Paramètres!$A$1:$I$89,3,0)*VLOOKUP('Données projet'!$B$12,Paramètres!$A$1:$I$89,5,0)</f>
        <v>153.20759999999999</v>
      </c>
      <c r="CA33" s="13">
        <f t="shared" si="39"/>
        <v>39.306624169832133</v>
      </c>
      <c r="CB33" s="20">
        <f t="shared" si="10"/>
        <v>335.2956070957909</v>
      </c>
      <c r="CC33" s="57">
        <f t="shared" si="11"/>
        <v>592.83984088493196</v>
      </c>
      <c r="CD33" s="57">
        <f ca="1">AVERAGE(OFFSET($CC$3,0,0,'Données projet'!$E$12+1,1))-AVERAGE(OFFSET($H$3,0,0,'Données projet'!$E$12+1,1))</f>
        <v>498.77732039282807</v>
      </c>
      <c r="CE33" s="57">
        <f t="shared" si="40"/>
        <v>384.57317421826531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21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60.239336487947554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4.3352272727272725</v>
      </c>
      <c r="CT33" s="12">
        <f>IF('Données projet'!$A$140&gt;35,CT32+CS33-DB32,IF(A33&lt;'Données projet'!$A$140,$CQ$205^A33,IF(A33='Données projet'!$A$140,'Données projet'!$B$140,CT32+CS33-DB32)))</f>
        <v>130.0568181818181</v>
      </c>
      <c r="CU33" s="17">
        <f>CT33*VLOOKUP('Données projet'!$B$13,Paramètres!$A$1:$I$89,3,0)*VLOOKUP('Données projet'!$B$13,Paramètres!$A$1:$I$89,5,0)</f>
        <v>87.242113636363584</v>
      </c>
      <c r="CV33" s="13">
        <f t="shared" si="41"/>
        <v>23.898889237003949</v>
      </c>
      <c r="CW33" s="20">
        <f t="shared" si="13"/>
        <v>193.57058000444849</v>
      </c>
      <c r="CX33" s="57">
        <f t="shared" si="14"/>
        <v>451.11481379358952</v>
      </c>
      <c r="CY33" s="57">
        <f ca="1">AVERAGE(OFFSET($CX$3,0,0,'Données projet'!$E$13+1,1))-AVERAGE(OFFSET($H$3,0,0,'Données projet'!$E$13+1,1))</f>
        <v>365.99625753737246</v>
      </c>
      <c r="CZ33" s="57">
        <f t="shared" si="42"/>
        <v>242.84814712692287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60.239336487947554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186</v>
      </c>
      <c r="DM33" s="12">
        <f>VLOOKUP(A33,'Données projet'!$A$165:$I$185,9,0)</f>
        <v>10</v>
      </c>
      <c r="DN33" s="12">
        <f t="array" ref="DN33">INDEX(DM:DM,MIN(IF(ISNUMBER(DM33:DM229),ROW(DM33:DM229),"")))</f>
        <v>10</v>
      </c>
      <c r="DO33" s="12">
        <f>IF('Données projet'!$A$166&gt;35,DO32+DN33-DW32,IF(A33&lt;'Données projet'!$A$166,$DL$205^A33,IF(A33='Données projet'!$A$166,'Données projet'!$B$166,DO32+DN33-DW32)))</f>
        <v>186</v>
      </c>
      <c r="DP33" s="17">
        <f>DO33*VLOOKUP('Données projet'!$B$14,Paramètres!$A$1:$I$89,3,0)*VLOOKUP('Données projet'!$B$14,Paramètres!$A$1:$I$89,5,0)</f>
        <v>121.86719999999998</v>
      </c>
      <c r="DQ33" s="13">
        <f t="shared" si="43"/>
        <v>32.110100916567376</v>
      </c>
      <c r="DR33" s="20">
        <f t="shared" si="16"/>
        <v>268.17713242968813</v>
      </c>
      <c r="DS33" s="57">
        <f t="shared" si="17"/>
        <v>525.72136621882919</v>
      </c>
      <c r="DT33" s="57">
        <f ca="1">AVERAGE(OFFSET($DS$3,0,0,'Données projet'!$E$14+1,1))-AVERAGE(OFFSET($H$3,0,0,'Données projet'!$E$14+1,1))</f>
        <v>313.79279628660527</v>
      </c>
      <c r="DU33" s="57">
        <f t="shared" si="44"/>
        <v>317.45469955216254</v>
      </c>
      <c r="DV33" s="15">
        <f>IF(ISNA(VLOOKUP(A33,'Données projet'!$A$165:$I$185,3,0)),0,VLOOKUP(A33,'Données projet'!$A$165:$I$185,3,0))</f>
        <v>5</v>
      </c>
      <c r="DW33" s="15">
        <f>IF(ISNA(VLOOKUP(A33,'Données projet'!$A$165:$I$185,4,0)),0,VLOOKUP(A33,'Données projet'!$A$165:$I$185,4,0))</f>
        <v>26</v>
      </c>
      <c r="DX33" s="16">
        <f>IF(ISNA(VLOOKUP(A33,'Données projet'!$A$165:$I$185,5,0)),0%,VLOOKUP(A33,'Données projet'!$A$165:$I$185,5,0)*VLOOKUP('Données projet'!$B$14,Paramètres!$A$1:$I$89,7,0))</f>
        <v>8.6000000000000007E-2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1.6195441748100954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1.6195441748100954</v>
      </c>
      <c r="EE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60.239336487947554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228</v>
      </c>
      <c r="EH33" s="12">
        <f>VLOOKUP(A33,'Données projet'!$A$191:$I$211,9,0)</f>
        <v>24.333333333333332</v>
      </c>
      <c r="EI33" s="12">
        <f t="array" ref="EI33">INDEX(EH:EH,MIN(IF(ISNUMBER(EH33:EH229),ROW(EH33:EH229),"")))</f>
        <v>24.333333333333332</v>
      </c>
      <c r="EJ33" s="12">
        <f>IF('Données projet'!$A$192&gt;35,EJ32+EI33-ER32,IF(A33&lt;'Données projet'!$A$192,$EG$205^A33,IF(A33='Données projet'!$A$192,'Données projet'!$B$192,EJ32+EI33-ER32)))</f>
        <v>228.00000000000006</v>
      </c>
      <c r="EK33" s="17">
        <f>EJ33*VLOOKUP('Données projet'!$B$15,Paramètres!$A$1:$I$89,3,0)*VLOOKUP('Données projet'!$B$15,Paramètres!$A$1:$I$89,5,0)</f>
        <v>195.62400000000008</v>
      </c>
      <c r="EL33" s="13">
        <f t="shared" si="45"/>
        <v>48.781220625276006</v>
      </c>
      <c r="EM33" s="20">
        <f t="shared" si="19"/>
        <v>425.67242592235584</v>
      </c>
      <c r="EN33" s="57">
        <f t="shared" si="20"/>
        <v>683.21665971149696</v>
      </c>
      <c r="EO33" s="57">
        <f ca="1">AVERAGE(OFFSET($EN$3,0,0,'Données projet'!$E$15+1,1))-AVERAGE(OFFSET($H$3,0,0,'Données projet'!$E$15+1,1))</f>
        <v>643.04899298561475</v>
      </c>
      <c r="EP33" s="57">
        <f t="shared" si="46"/>
        <v>474.94999304483031</v>
      </c>
      <c r="EQ33" s="15">
        <f>IF(ISNA(VLOOKUP(A33,'Données projet'!$A$191:$I$211,3,0)),0,VLOOKUP(A33,'Données projet'!$A$191:$I$211,3,0))</f>
        <v>6</v>
      </c>
      <c r="ER33" s="15">
        <f>IF(ISNA(VLOOKUP(A33,'Données projet'!$A$191:$I$211,4,0)),0,VLOOKUP(A33,'Données projet'!$A$191:$I$211,4,0))</f>
        <v>48</v>
      </c>
      <c r="ES33" s="16">
        <f>IF(ISNA(VLOOKUP(A33,'Données projet'!$A$191:$I$211,5,0)),0%,VLOOKUP(A33,'Données projet'!$A$191:$I$211,5,0)*VLOOKUP('Données projet'!$B$15,Paramètres!$A$1:$I$89,7,0))</f>
        <v>0.159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7.2389030455989198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7.2389030455989198</v>
      </c>
      <c r="EZ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60.239336487947554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177</v>
      </c>
      <c r="FC33" s="12">
        <f>VLOOKUP(A33,'Données projet'!$A$217:$I$237,9,0)</f>
        <v>14.2</v>
      </c>
      <c r="FD33" s="12">
        <f t="array" ref="FD33">INDEX(FC:FC,MIN(IF(ISNUMBER(FC33:FC229),ROW(FC33:FC229),"")))</f>
        <v>14.2</v>
      </c>
      <c r="FE33" s="12">
        <f>IF('Données projet'!$A$218&gt;35,FE32+FD33-FM32,IF(A33&lt;'Données projet'!$A$218,$FB$205^A33,IF(A33='Données projet'!$A$218,'Données projet'!$B$218,FE32+FD33-FM32)))</f>
        <v>176.99999999999991</v>
      </c>
      <c r="FF33" s="17">
        <f>FE33*VLOOKUP('Données projet'!$B$16,Paramètres!$A$1:$I$89,3,0)*VLOOKUP('Données projet'!$B$16,Paramètres!$A$1:$I$89,5,0)</f>
        <v>143.58239999999995</v>
      </c>
      <c r="FG33" s="13">
        <f t="shared" si="47"/>
        <v>37.116472314400653</v>
      </c>
      <c r="FH33" s="20">
        <f t="shared" si="22"/>
        <v>314.7172026142477</v>
      </c>
      <c r="FI33" s="57">
        <f t="shared" si="23"/>
        <v>572.26143640338876</v>
      </c>
      <c r="FJ33" s="57">
        <f ca="1">AVERAGE(OFFSET($FI$3,0,0,'Données projet'!$E$16+1,1))-AVERAGE(OFFSET($H$3,0,0,'Données projet'!$E$16+1,1))</f>
        <v>375.34603719604439</v>
      </c>
      <c r="FK33" s="57">
        <f t="shared" si="48"/>
        <v>363.99476973672211</v>
      </c>
      <c r="FL33" s="15">
        <f>IF(ISNA(VLOOKUP(A33,'Données projet'!$A$217:$I$237,3,0)),0,VLOOKUP(A33,'Données projet'!$A$217:$I$237,3,0))</f>
        <v>5</v>
      </c>
      <c r="FM33" s="15">
        <f>IF(ISNA(VLOOKUP(A33,'Données projet'!$A$217:$I$237,4,0)),0,VLOOKUP(A33,'Données projet'!$A$217:$I$237,4,0))</f>
        <v>35</v>
      </c>
      <c r="FN33" s="16">
        <f>IF(ISNA(VLOOKUP(A33,'Données projet'!$A$217:$I$237,5,0)),0%,VLOOKUP(A33,'Données projet'!$A$217:$I$237,5,0)*VLOOKUP('Données projet'!$B$16,Paramètres!$A$1:$I$89,7,0))</f>
        <v>0.159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14.499711450418779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14.499711450418779</v>
      </c>
      <c r="FU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60.239336487947554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410.56</v>
      </c>
      <c r="FX33" s="12">
        <f>VLOOKUP(A33,'Données projet'!$A$243:$I$263,9,0)</f>
        <v>30.600000000000023</v>
      </c>
      <c r="FY33" s="12">
        <f t="array" ref="FY33">INDEX(FX:FX,MIN(IF(ISNUMBER(FX33:FX229),ROW(FX33:FX229),"")))</f>
        <v>30.600000000000023</v>
      </c>
      <c r="FZ33" s="12">
        <f>IF('Données projet'!$A$244&gt;35,FZ32+FY33-GH32,IF(A33&lt;'Données projet'!$A$244,$FW$205^A33,IF(A33='Données projet'!$A$244,'Données projet'!$B$244,FZ32+FY33-GH32)))</f>
        <v>410.56</v>
      </c>
      <c r="GA33" s="17">
        <f>FZ33*VLOOKUP('Données projet'!$B$17,Paramètres!$A$1:$I$89,3,0)*VLOOKUP('Données projet'!$B$17,Paramètres!$A$1:$I$89,5,0)</f>
        <v>229.50304</v>
      </c>
      <c r="GB33" s="13">
        <f t="shared" si="49"/>
        <v>56.175213636682351</v>
      </c>
      <c r="GC33" s="20">
        <f t="shared" si="25"/>
        <v>497.55629175055515</v>
      </c>
      <c r="GD33" s="57">
        <f t="shared" si="26"/>
        <v>755.10052553969626</v>
      </c>
      <c r="GE33" s="57">
        <f ca="1">AVERAGE(OFFSET($GD$3,0,0,'Données projet'!$E$17+1,1))-AVERAGE(OFFSET($H$3,0,0,'Données projet'!$E$17+1,1))</f>
        <v>414.47327143450701</v>
      </c>
      <c r="GF33" s="57">
        <f t="shared" si="50"/>
        <v>546.83385887302961</v>
      </c>
      <c r="GG33" s="15">
        <f>IF(ISNA(VLOOKUP(A33,'Données projet'!$A$243:$I$263,3,0)),0,VLOOKUP(A33,'Données projet'!$A$243:$I$263,3,0))</f>
        <v>3</v>
      </c>
      <c r="GH33" s="15">
        <f>IF(ISNA(VLOOKUP(A33,'Données projet'!$A$243:$I$263,4,0)),0,VLOOKUP(A33,'Données projet'!$A$243:$I$263,4,0))</f>
        <v>80.97</v>
      </c>
      <c r="GI33" s="16">
        <f>IF(ISNA(VLOOKUP(A33,'Données projet'!$A$243:$I$263,5,0)),0%,VLOOKUP(A33,'Données projet'!$A$243:$I$263,5,0)*VLOOKUP('Données projet'!$B$17,Paramètres!$A$1:$I$89,7,0))</f>
        <v>0.22000000000000003</v>
      </c>
      <c r="GJ33" s="16">
        <f>IF(ISNA(VLOOKUP(A33,'Données projet'!$A$243:$I$263,6,0)),0%,VLOOKUP(A33,'Données projet'!$A$243:$I$263,6,0)*VLOOKUP('Données projet'!$B$17,Paramètres!$A$1:$I$89,7,0))</f>
        <v>0.18700000000000003</v>
      </c>
      <c r="GK33" s="16">
        <f>IF(ISNA(VLOOKUP(A33,'Données projet'!$A$243:$I$263,7,0)),0%,VLOOKUP(A33,'Données projet'!$A$243:$I$263,7,0))</f>
        <v>0.26</v>
      </c>
      <c r="GL33" s="21">
        <f>EXP(-LN(2)/35)*GL32+(1-EXP(-LN(2)/35))/(LN(2)/35)*GH33*GI33*VLOOKUP('Données projet'!$B$17,Paramètres!$A$1:$I$89,3,0)*0.475*44/12</f>
        <v>23.605065849475583</v>
      </c>
      <c r="GM33" s="21">
        <f>EXP(-LN(2)/25)*GM32+(1-EXP(-LN(2)/25))/(LN(2)/25)*Calculateur!GH33*Calculateur!GJ33*VLOOKUP('Données projet'!$B$17,Paramètres!$A$1:$I$89,3,0)*0.475*44/12</f>
        <v>27.884862233631857</v>
      </c>
      <c r="GN33" s="21">
        <f>EXP(-LN(2)/2)*GN32+(1-EXP(-LN(2)/2))/(LN(2)/2)*GH33*GK33*VLOOKUP('Données projet'!$B$17,Paramètres!$A$1:$I$89,3,0)*0.475*44/12</f>
        <v>14.843654318498455</v>
      </c>
      <c r="GO33" s="21">
        <f t="shared" si="27"/>
        <v>66.333582401605895</v>
      </c>
      <c r="GP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60.239336487947554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>
        <f>VLOOKUP(A33,'Données projet'!$A$269:$I$289,2,0)</f>
        <v>221</v>
      </c>
      <c r="GS33" s="12">
        <f>VLOOKUP(A33,'Données projet'!$A$269:$I$289,9,0)</f>
        <v>16.600000000000001</v>
      </c>
      <c r="GT33" s="12">
        <f t="array" ref="GT33">INDEX(GS:GS,MIN(IF(ISNUMBER(GS33:GS229),ROW(GS33:GS229),"")))</f>
        <v>16.600000000000001</v>
      </c>
      <c r="GU33" s="12">
        <f>IF('Données projet'!$A$270&gt;35,GU32+GT33-HC32,IF(A33&lt;'Données projet'!$A$270,$GR$205^A33,IF(A33='Données projet'!$A$270,'Données projet'!$B$270,GU32+GT33-HC32)))</f>
        <v>221</v>
      </c>
      <c r="GV33" s="17">
        <f>GU33*VLOOKUP('Données projet'!$B$18,Paramètres!$A$1:$I$89,3,0)*VLOOKUP('Données projet'!$B$18,Paramètres!$A$1:$I$89,5,0)</f>
        <v>120.666</v>
      </c>
      <c r="GW33" s="13">
        <f t="shared" si="51"/>
        <v>31.830282786190971</v>
      </c>
      <c r="GX33" s="20">
        <f t="shared" si="28"/>
        <v>265.59769251928259</v>
      </c>
      <c r="GY33" s="57">
        <f t="shared" si="29"/>
        <v>523.14192630842365</v>
      </c>
      <c r="GZ33" s="57">
        <f ca="1">AVERAGE(OFFSET($GY$3,0,0,'Données projet'!$E$18+1,1))-AVERAGE(OFFSET($H$3,0,0,'Données projet'!$E$18+1,1))</f>
        <v>381.00532469288714</v>
      </c>
      <c r="HA33" s="57">
        <f t="shared" si="52"/>
        <v>314.875259641757</v>
      </c>
      <c r="HB33" s="15">
        <f>IF(ISNA(VLOOKUP(A33,'Données projet'!$A$269:$I$289,3,0)),0,VLOOKUP(A33,'Données projet'!$A$269:$I$289,3,0))</f>
        <v>5</v>
      </c>
      <c r="HC33" s="15">
        <f>IF(ISNA(VLOOKUP(A33,'Données projet'!$A$269:$I$289,4,0)),0,VLOOKUP(A33,'Données projet'!$A$269:$I$289,4,0))</f>
        <v>42</v>
      </c>
      <c r="HD33" s="16">
        <f>IF(ISNA(VLOOKUP(A33,'Données projet'!$A$269:$I$289,5,0)),0%,VLOOKUP(A33,'Données projet'!$A$269:$I$289,5,0)*VLOOKUP('Données projet'!$B$18,Paramètres!$A$1:$I$89,7,0))</f>
        <v>0.24</v>
      </c>
      <c r="HE33" s="16">
        <f>IF(ISNA(VLOOKUP(A33,'Données projet'!$A$269:$I$289,6,0)),0%,VLOOKUP(A33,'Données projet'!$A$269:$I$289,6,0)*VLOOKUP('Données projet'!$B$18,Paramètres!$A$1:$I$89,7,0))</f>
        <v>0.20400000000000001</v>
      </c>
      <c r="HF33" s="16">
        <f>IF(ISNA(VLOOKUP(A33,'Données projet'!$A$269:$I$289,7,0)),0%,VLOOKUP(A33,'Données projet'!$A$269:$I$289,7,0))</f>
        <v>0.26</v>
      </c>
      <c r="HG33" s="21">
        <f>EXP(-LN(2)/35)*HG32+(1-EXP(-LN(2)/35))/(LN(2)/35)*HC33*HD33*VLOOKUP('Données projet'!$B$18,Paramètres!$A$1:$I$89,3,0)*0.475*44/12</f>
        <v>17.914853003481191</v>
      </c>
      <c r="HH33" s="21">
        <f>EXP(-LN(2)/25)*HH32+(1-EXP(-LN(2)/25))/(LN(2)/25)*Calculateur!HC33*Calculateur!HE33*VLOOKUP('Données projet'!$B$18,Paramètres!$A$1:$I$89,3,0)*0.475*44/12</f>
        <v>20.040796027273799</v>
      </c>
      <c r="HI33" s="21">
        <f>EXP(-LN(2)/2)*HI32+(1-EXP(-LN(2)/2))/(LN(2)/2)*HC33*HF33*VLOOKUP('Données projet'!$B$18,Paramètres!$A$1:$I$89,3,0)*0.475*44/12</f>
        <v>8.4466426163308039</v>
      </c>
      <c r="HJ33" s="22">
        <f t="shared" si="30"/>
        <v>46.402291647085796</v>
      </c>
    </row>
    <row r="34" spans="1:218" x14ac:dyDescent="0.2">
      <c r="A34" s="10">
        <f t="shared" si="31"/>
        <v>31</v>
      </c>
      <c r="B34" s="71">
        <f>'Scénario référence'!$B$16*5+'Scénario référence'!$B$17*0+'Scénario référence'!$B$18*5</f>
        <v>3.3000000000000003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12.100000000000001</v>
      </c>
      <c r="H34" s="65">
        <f t="shared" si="1"/>
        <v>208.26666666666665</v>
      </c>
      <c r="I34" s="6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60.408662178307154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5</v>
      </c>
      <c r="N34" s="13">
        <f>IF('Données projet'!$A$36&gt;35,N33+M34-V33,IF(A34&lt;'Données projet'!$A$36,$K$205^A34,IF(A34='Données projet'!$A$36,'Données projet'!$B$36,N33+M34-V33)))</f>
        <v>58.999999999999986</v>
      </c>
      <c r="O34" s="13">
        <f>N34*VLOOKUP('Données projet'!$B$9,Paramètres!$A$1:$I$89,3,0)*VLOOKUP('Données projet'!$B$9,Paramètres!$A$1:$I$89,5,0)</f>
        <v>59.825999999999993</v>
      </c>
      <c r="P34" s="13">
        <f t="shared" si="33"/>
        <v>17.124268920142534</v>
      </c>
      <c r="Q34" s="20">
        <f t="shared" si="2"/>
        <v>134.02171836924822</v>
      </c>
      <c r="R34" s="57">
        <f t="shared" si="0"/>
        <v>392.18681302304111</v>
      </c>
      <c r="S34" s="57">
        <f ca="1">AVERAGE(OFFSET($R$3,0,0,'Données projet'!$E$9+1,1))-AVERAGE(OFFSET($H$3,0,0,'Données projet'!$E$9+1,1))</f>
        <v>332.70145542047612</v>
      </c>
      <c r="T34" s="57">
        <f t="shared" si="34"/>
        <v>172.22433737900428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60.408662178307154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4.3352272727272725</v>
      </c>
      <c r="AI34" s="13">
        <f>IF('Données projet'!$A$62&gt;35,AI33+AH34-AQ33,IF(A34&lt;'Données projet'!$A$62,$AF$205^A34,IF(A34='Données projet'!$A$62,'Données projet'!$B$62,AI33+AH34-AQ33)))</f>
        <v>134.39204545454538</v>
      </c>
      <c r="AJ34" s="13">
        <f>AI34*VLOOKUP('Données projet'!$B$10,Paramètres!$A$1:$I$89,3,0)*VLOOKUP('Données projet'!$B$10,Paramètres!$A$1:$I$89,5,0)</f>
        <v>121.59792272727265</v>
      </c>
      <c r="AK34" s="13">
        <f t="shared" si="35"/>
        <v>32.047401119274099</v>
      </c>
      <c r="AL34" s="20">
        <f t="shared" si="4"/>
        <v>267.59893903273559</v>
      </c>
      <c r="AM34" s="57">
        <f t="shared" si="5"/>
        <v>525.76403368652848</v>
      </c>
      <c r="AN34" s="57">
        <f ca="1">AVERAGE(OFFSET($AM$3,0,0,'Données projet'!$E$10+1,1))-AVERAGE(OFFSET($H$3,0,0,'Données projet'!$E$10+1,1))</f>
        <v>469.4210143164521</v>
      </c>
      <c r="AO34" s="57">
        <f t="shared" si="36"/>
        <v>308.4508386530556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60.408662178307154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12.8</v>
      </c>
      <c r="BD34" s="12">
        <f>IF('Données projet'!$A$88&gt;35,BD33+BC34-BL33,IF(A34&lt;'Données projet'!$A$88,$BA$205^A34,IF(A34='Données projet'!$A$88,'Données projet'!$B$88,BD33+BC34-BL33)))</f>
        <v>154.79999999999993</v>
      </c>
      <c r="BE34" s="13">
        <f>BD34*VLOOKUP('Données projet'!$B$11,Paramètres!$A$1:$I$89,3,0)*VLOOKUP('Données projet'!$B$11,Paramètres!$A$1:$I$89,5,0)</f>
        <v>113.49935999999994</v>
      </c>
      <c r="BF34" s="13">
        <f t="shared" si="37"/>
        <v>30.153952354272999</v>
      </c>
      <c r="BG34" s="20">
        <f t="shared" si="7"/>
        <v>250.19618568369199</v>
      </c>
      <c r="BH34" s="57">
        <f t="shared" si="8"/>
        <v>508.36128033748491</v>
      </c>
      <c r="BI34" s="57">
        <f ca="1">AVERAGE(OFFSET($BH$3,0,0,'Données projet'!$E$11+1,1))-AVERAGE(OFFSET($H$3,0,0,'Données projet'!$E$11+1,1))</f>
        <v>344.32981377462971</v>
      </c>
      <c r="BJ34" s="57">
        <f t="shared" si="38"/>
        <v>334.42512656625763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10.424268833694823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10.424268833694823</v>
      </c>
      <c r="BT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60.408662178307154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12</v>
      </c>
      <c r="BY34" s="12">
        <f>IF('Données projet'!$A$114&gt;35,BY33+BX34-CG33,IF(A34&lt;'Données projet'!$A$114,$BV$205^A34,IF(A34='Données projet'!$A$114,'Données projet'!$B$114,BY33+BX34-CG33)))</f>
        <v>151.99999999999997</v>
      </c>
      <c r="BZ34" s="13">
        <f>BY34*VLOOKUP('Données projet'!$B$12,Paramètres!$A$1:$I$89,3,0)*VLOOKUP('Données projet'!$B$12,Paramètres!$A$1:$I$89,5,0)</f>
        <v>144.64319999999998</v>
      </c>
      <c r="CA34" s="13">
        <f t="shared" si="39"/>
        <v>37.358669132367922</v>
      </c>
      <c r="CB34" s="20">
        <f t="shared" si="10"/>
        <v>316.9865887388741</v>
      </c>
      <c r="CC34" s="57">
        <f t="shared" si="11"/>
        <v>575.151683392667</v>
      </c>
      <c r="CD34" s="57">
        <f ca="1">AVERAGE(OFFSET($CC$3,0,0,'Données projet'!$E$12+1,1))-AVERAGE(OFFSET($H$3,0,0,'Données projet'!$E$12+1,1))</f>
        <v>498.77732039282807</v>
      </c>
      <c r="CE34" s="57">
        <f t="shared" si="40"/>
        <v>384.57317421826531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60.408662178307154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4.3352272727272725</v>
      </c>
      <c r="CT34" s="12">
        <f>IF('Données projet'!$A$140&gt;35,CT33+CS34-DB33,IF(A34&lt;'Données projet'!$A$140,$CQ$205^A34,IF(A34='Données projet'!$A$140,'Données projet'!$B$140,CT33+CS34-DB33)))</f>
        <v>134.39204545454538</v>
      </c>
      <c r="CU34" s="17">
        <f>CT34*VLOOKUP('Données projet'!$B$13,Paramètres!$A$1:$I$89,3,0)*VLOOKUP('Données projet'!$B$13,Paramètres!$A$1:$I$89,5,0)</f>
        <v>90.150184090909036</v>
      </c>
      <c r="CV34" s="13">
        <f t="shared" si="41"/>
        <v>24.60144226466582</v>
      </c>
      <c r="CW34" s="20">
        <f t="shared" si="13"/>
        <v>199.85908256929284</v>
      </c>
      <c r="CX34" s="57">
        <f t="shared" si="14"/>
        <v>458.02417722308576</v>
      </c>
      <c r="CY34" s="57">
        <f ca="1">AVERAGE(OFFSET($CX$3,0,0,'Données projet'!$E$13+1,1))-AVERAGE(OFFSET($H$3,0,0,'Données projet'!$E$13+1,1))</f>
        <v>365.99625753737246</v>
      </c>
      <c r="CZ34" s="57">
        <f t="shared" si="42"/>
        <v>242.84814712692287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60.408662178307154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9.6</v>
      </c>
      <c r="DO34" s="12">
        <f>IF('Données projet'!$A$166&gt;35,DO33+DN34-DW33,IF(A34&lt;'Données projet'!$A$166,$DL$205^A34,IF(A34='Données projet'!$A$166,'Données projet'!$B$166,DO33+DN34-DW33)))</f>
        <v>169.6</v>
      </c>
      <c r="DP34" s="17">
        <f>DO34*VLOOKUP('Données projet'!$B$14,Paramètres!$A$1:$I$89,3,0)*VLOOKUP('Données projet'!$B$14,Paramètres!$A$1:$I$89,5,0)</f>
        <v>111.12192</v>
      </c>
      <c r="DQ34" s="13">
        <f t="shared" si="43"/>
        <v>29.595161360044589</v>
      </c>
      <c r="DR34" s="20">
        <f t="shared" si="16"/>
        <v>245.08225003541099</v>
      </c>
      <c r="DS34" s="57">
        <f t="shared" si="17"/>
        <v>503.24734468920389</v>
      </c>
      <c r="DT34" s="57">
        <f ca="1">AVERAGE(OFFSET($DS$3,0,0,'Données projet'!$E$14+1,1))-AVERAGE(OFFSET($H$3,0,0,'Données projet'!$E$14+1,1))</f>
        <v>313.79279628660527</v>
      </c>
      <c r="DU34" s="57">
        <f t="shared" si="44"/>
        <v>317.45469955216254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1.5877859013664766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1.5877859013664766</v>
      </c>
      <c r="EE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60.408662178307154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24.333333333333332</v>
      </c>
      <c r="EJ34" s="12">
        <f>IF('Données projet'!$A$192&gt;35,EJ33+EI34-ER33,IF(A34&lt;'Données projet'!$A$192,$EG$205^A34,IF(A34='Données projet'!$A$192,'Données projet'!$B$192,EJ33+EI34-ER33)))</f>
        <v>204.3333333333334</v>
      </c>
      <c r="EK34" s="17">
        <f>EJ34*VLOOKUP('Données projet'!$B$15,Paramètres!$A$1:$I$89,3,0)*VLOOKUP('Données projet'!$B$15,Paramètres!$A$1:$I$89,5,0)</f>
        <v>175.31800000000007</v>
      </c>
      <c r="EL34" s="13">
        <f t="shared" si="45"/>
        <v>44.27893503827304</v>
      </c>
      <c r="EM34" s="20">
        <f t="shared" si="19"/>
        <v>382.4646618583256</v>
      </c>
      <c r="EN34" s="57">
        <f t="shared" si="20"/>
        <v>640.62975651211855</v>
      </c>
      <c r="EO34" s="57">
        <f ca="1">AVERAGE(OFFSET($EN$3,0,0,'Données projet'!$E$15+1,1))-AVERAGE(OFFSET($H$3,0,0,'Données projet'!$E$15+1,1))</f>
        <v>643.04899298561475</v>
      </c>
      <c r="EP34" s="57">
        <f t="shared" si="46"/>
        <v>474.94999304483031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7.0969525721696085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7.0969525721696085</v>
      </c>
      <c r="EZ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60.408662178307154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12.8</v>
      </c>
      <c r="FE34" s="12">
        <f>IF('Données projet'!$A$218&gt;35,FE33+FD34-FM33,IF(A34&lt;'Données projet'!$A$218,$FB$205^A34,IF(A34='Données projet'!$A$218,'Données projet'!$B$218,FE33+FD34-FM33)))</f>
        <v>154.79999999999993</v>
      </c>
      <c r="FF34" s="17">
        <f>FE34*VLOOKUP('Données projet'!$B$16,Paramètres!$A$1:$I$89,3,0)*VLOOKUP('Données projet'!$B$16,Paramètres!$A$1:$I$89,5,0)</f>
        <v>125.57375999999995</v>
      </c>
      <c r="FG34" s="13">
        <f t="shared" si="47"/>
        <v>32.97153235129214</v>
      </c>
      <c r="FH34" s="20">
        <f t="shared" si="22"/>
        <v>276.13305084516702</v>
      </c>
      <c r="FI34" s="57">
        <f t="shared" si="23"/>
        <v>534.29814549895991</v>
      </c>
      <c r="FJ34" s="57">
        <f ca="1">AVERAGE(OFFSET($FI$3,0,0,'Données projet'!$E$16+1,1))-AVERAGE(OFFSET($H$3,0,0,'Données projet'!$E$16+1,1))</f>
        <v>375.34603719604439</v>
      </c>
      <c r="FK34" s="57">
        <f t="shared" si="48"/>
        <v>363.99476973672211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14.215380952826784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14.215380952826784</v>
      </c>
      <c r="FU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60.408662178307154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28.636666666666667</v>
      </c>
      <c r="FZ34" s="12">
        <f>IF('Données projet'!$A$244&gt;35,FZ33+FY34-GH33,IF(A34&lt;'Données projet'!$A$244,$FW$205^A34,IF(A34='Données projet'!$A$244,'Données projet'!$B$244,FZ33+FY34-GH33)))</f>
        <v>358.22666666666669</v>
      </c>
      <c r="GA34" s="17">
        <f>FZ34*VLOOKUP('Données projet'!$B$17,Paramètres!$A$1:$I$89,3,0)*VLOOKUP('Données projet'!$B$17,Paramètres!$A$1:$I$89,5,0)</f>
        <v>200.24870666666666</v>
      </c>
      <c r="GB34" s="13">
        <f t="shared" si="49"/>
        <v>49.798821969131197</v>
      </c>
      <c r="GC34" s="20">
        <f t="shared" si="25"/>
        <v>435.49944570734789</v>
      </c>
      <c r="GD34" s="57">
        <f t="shared" si="26"/>
        <v>693.66454036114078</v>
      </c>
      <c r="GE34" s="57">
        <f ca="1">AVERAGE(OFFSET($GD$3,0,0,'Données projet'!$E$17+1,1))-AVERAGE(OFFSET($H$3,0,0,'Données projet'!$E$17+1,1))</f>
        <v>414.47327143450701</v>
      </c>
      <c r="GF34" s="57">
        <f t="shared" si="50"/>
        <v>546.83385887302961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23.142184905835883</v>
      </c>
      <c r="GM34" s="21">
        <f>EXP(-LN(2)/25)*GM33+(1-EXP(-LN(2)/25))/(LN(2)/25)*Calculateur!GH34*Calculateur!GJ34*VLOOKUP('Données projet'!$B$17,Paramètres!$A$1:$I$89,3,0)*0.475*44/12</f>
        <v>27.122349209452022</v>
      </c>
      <c r="GN34" s="21">
        <f>EXP(-LN(2)/2)*GN33+(1-EXP(-LN(2)/2))/(LN(2)/2)*GH34*GK34*VLOOKUP('Données projet'!$B$17,Paramètres!$A$1:$I$89,3,0)*0.475*44/12</f>
        <v>10.496048626199238</v>
      </c>
      <c r="GO34" s="21">
        <f t="shared" si="27"/>
        <v>60.760582741487141</v>
      </c>
      <c r="GP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60.408662178307154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15.6</v>
      </c>
      <c r="GU34" s="12">
        <f>IF('Données projet'!$A$270&gt;35,GU33+GT34-HC33,IF(A34&lt;'Données projet'!$A$270,$GR$205^A34,IF(A34='Données projet'!$A$270,'Données projet'!$B$270,GU33+GT34-HC33)))</f>
        <v>194.6</v>
      </c>
      <c r="GV34" s="17">
        <f>GU34*VLOOKUP('Données projet'!$B$18,Paramètres!$A$1:$I$89,3,0)*VLOOKUP('Données projet'!$B$18,Paramètres!$A$1:$I$89,5,0)</f>
        <v>106.2516</v>
      </c>
      <c r="GW34" s="13">
        <f t="shared" si="51"/>
        <v>28.446058169408015</v>
      </c>
      <c r="GX34" s="20">
        <f t="shared" si="28"/>
        <v>234.59842131171897</v>
      </c>
      <c r="GY34" s="57">
        <f t="shared" si="29"/>
        <v>492.76351596551183</v>
      </c>
      <c r="GZ34" s="57">
        <f ca="1">AVERAGE(OFFSET($GY$3,0,0,'Données projet'!$E$18+1,1))-AVERAGE(OFFSET($H$3,0,0,'Données projet'!$E$18+1,1))</f>
        <v>381.00532469288714</v>
      </c>
      <c r="HA34" s="57">
        <f t="shared" si="52"/>
        <v>314.875259641757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>
        <f>EXP(-LN(2)/35)*HG33+(1-EXP(-LN(2)/35))/(LN(2)/35)*HC34*HD34*VLOOKUP('Données projet'!$B$18,Paramètres!$A$1:$I$89,3,0)*0.475*44/12</f>
        <v>17.563553663064308</v>
      </c>
      <c r="HH34" s="21">
        <f>EXP(-LN(2)/25)*HH33+(1-EXP(-LN(2)/25))/(LN(2)/25)*Calculateur!HC34*Calculateur!HE34*VLOOKUP('Données projet'!$B$18,Paramètres!$A$1:$I$89,3,0)*0.475*44/12</f>
        <v>19.492779406008339</v>
      </c>
      <c r="HI34" s="21">
        <f>EXP(-LN(2)/2)*HI33+(1-EXP(-LN(2)/2))/(LN(2)/2)*HC34*HF34*VLOOKUP('Données projet'!$B$18,Paramètres!$A$1:$I$89,3,0)*0.475*44/12</f>
        <v>5.9726782722667933</v>
      </c>
      <c r="HJ34" s="22">
        <f t="shared" si="30"/>
        <v>43.029011341339441</v>
      </c>
    </row>
    <row r="35" spans="1:218" x14ac:dyDescent="0.2">
      <c r="A35" s="10">
        <f t="shared" si="31"/>
        <v>32</v>
      </c>
      <c r="B35" s="71">
        <f>'Scénario référence'!$B$16*5+'Scénario référence'!$B$17*0+'Scénario référence'!$B$18*5</f>
        <v>3.3000000000000003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12.100000000000001</v>
      </c>
      <c r="H35" s="65">
        <f t="shared" si="1"/>
        <v>208.26666666666665</v>
      </c>
      <c r="I35" s="6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60.575050446494558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5</v>
      </c>
      <c r="N35" s="13">
        <f>IF('Données projet'!$A$36&gt;35,N34+M35-V34,IF(A35&lt;'Données projet'!$A$36,$K$205^A35,IF(A35='Données projet'!$A$36,'Données projet'!$B$36,N34+M35-V34)))</f>
        <v>63.999999999999986</v>
      </c>
      <c r="O35" s="13">
        <f>N35*VLOOKUP('Données projet'!$B$9,Paramètres!$A$1:$I$89,3,0)*VLOOKUP('Données projet'!$B$9,Paramètres!$A$1:$I$89,5,0)</f>
        <v>64.895999999999987</v>
      </c>
      <c r="P35" s="13">
        <f t="shared" si="33"/>
        <v>18.400423846102949</v>
      </c>
      <c r="Q35" s="20">
        <f t="shared" ref="Q35:Q66" si="53">(O35+P35)*0.475*44/12</f>
        <v>145.07460486529592</v>
      </c>
      <c r="R35" s="57">
        <f t="shared" si="0"/>
        <v>403.84978983577594</v>
      </c>
      <c r="S35" s="57">
        <f ca="1">AVERAGE(OFFSET($R$3,0,0,'Données projet'!$E$9+1,1))-AVERAGE(OFFSET($H$3,0,0,'Données projet'!$E$9+1,1))</f>
        <v>332.70145542047612</v>
      </c>
      <c r="T35" s="57">
        <f t="shared" si="34"/>
        <v>172.22433737900428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60.575050446494558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4.3352272727272725</v>
      </c>
      <c r="AI35" s="13">
        <f>IF('Données projet'!$A$62&gt;35,AI34+AH35-AQ34,IF(A35&lt;'Données projet'!$A$62,$AF$205^A35,IF(A35='Données projet'!$A$62,'Données projet'!$B$62,AI34+AH35-AQ34)))</f>
        <v>138.72727272727266</v>
      </c>
      <c r="AJ35" s="13">
        <f>AI35*VLOOKUP('Données projet'!$B$10,Paramètres!$A$1:$I$89,3,0)*VLOOKUP('Données projet'!$B$10,Paramètres!$A$1:$I$89,5,0)</f>
        <v>125.52043636363631</v>
      </c>
      <c r="AK35" s="13">
        <f t="shared" si="35"/>
        <v>32.959160735246577</v>
      </c>
      <c r="AL35" s="20">
        <f t="shared" si="4"/>
        <v>276.01863161388769</v>
      </c>
      <c r="AM35" s="57">
        <f t="shared" si="5"/>
        <v>534.79381658436773</v>
      </c>
      <c r="AN35" s="57">
        <f ca="1">AVERAGE(OFFSET($AM$3,0,0,'Données projet'!$E$10+1,1))-AVERAGE(OFFSET($H$3,0,0,'Données projet'!$E$10+1,1))</f>
        <v>469.4210143164521</v>
      </c>
      <c r="AO35" s="57">
        <f t="shared" si="36"/>
        <v>308.4508386530556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60.575050446494558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12.8</v>
      </c>
      <c r="BD35" s="12">
        <f>IF('Données projet'!$A$88&gt;35,BD34+BC35-BL34,IF(A35&lt;'Données projet'!$A$88,$BA$205^A35,IF(A35='Données projet'!$A$88,'Données projet'!$B$88,BD34+BC35-BL34)))</f>
        <v>167.59999999999994</v>
      </c>
      <c r="BE35" s="13">
        <f>BD35*VLOOKUP('Données projet'!$B$11,Paramètres!$A$1:$I$89,3,0)*VLOOKUP('Données projet'!$B$11,Paramètres!$A$1:$I$89,5,0)</f>
        <v>122.88431999999995</v>
      </c>
      <c r="BF35" s="13">
        <f t="shared" si="37"/>
        <v>32.346786815026803</v>
      </c>
      <c r="BG35" s="20">
        <f t="shared" si="7"/>
        <v>270.36084436950489</v>
      </c>
      <c r="BH35" s="57">
        <f t="shared" si="8"/>
        <v>529.13602933998493</v>
      </c>
      <c r="BI35" s="57">
        <f ca="1">AVERAGE(OFFSET($BH$3,0,0,'Données projet'!$E$11+1,1))-AVERAGE(OFFSET($H$3,0,0,'Données projet'!$E$11+1,1))</f>
        <v>344.32981377462971</v>
      </c>
      <c r="BJ35" s="57">
        <f t="shared" si="38"/>
        <v>334.42512656625763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10.219855280042239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10.219855280042239</v>
      </c>
      <c r="BT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60.575050446494558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12</v>
      </c>
      <c r="BY35" s="12">
        <f>IF('Données projet'!$A$114&gt;35,BY34+BX35-CG34,IF(A35&lt;'Données projet'!$A$114,$BV$205^A35,IF(A35='Données projet'!$A$114,'Données projet'!$B$114,BY34+BX35-CG34)))</f>
        <v>163.99999999999997</v>
      </c>
      <c r="BZ35" s="13">
        <f>BY35*VLOOKUP('Données projet'!$B$12,Paramètres!$A$1:$I$89,3,0)*VLOOKUP('Données projet'!$B$12,Paramètres!$A$1:$I$89,5,0)</f>
        <v>156.06239999999997</v>
      </c>
      <c r="CA35" s="13">
        <f t="shared" si="39"/>
        <v>39.953094851583842</v>
      </c>
      <c r="CB35" s="20">
        <f t="shared" si="10"/>
        <v>341.39365353317515</v>
      </c>
      <c r="CC35" s="57">
        <f t="shared" si="11"/>
        <v>600.16883850365525</v>
      </c>
      <c r="CD35" s="57">
        <f ca="1">AVERAGE(OFFSET($CC$3,0,0,'Données projet'!$E$12+1,1))-AVERAGE(OFFSET($H$3,0,0,'Données projet'!$E$12+1,1))</f>
        <v>498.77732039282807</v>
      </c>
      <c r="CE35" s="57">
        <f t="shared" si="40"/>
        <v>384.57317421826531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60.575050446494558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4.3352272727272725</v>
      </c>
      <c r="CT35" s="12">
        <f>IF('Données projet'!$A$140&gt;35,CT34+CS35-DB34,IF(A35&lt;'Données projet'!$A$140,$CQ$205^A35,IF(A35='Données projet'!$A$140,'Données projet'!$B$140,CT34+CS35-DB34)))</f>
        <v>138.72727272727266</v>
      </c>
      <c r="CU35" s="17">
        <f>CT35*VLOOKUP('Données projet'!$B$13,Paramètres!$A$1:$I$89,3,0)*VLOOKUP('Données projet'!$B$13,Paramètres!$A$1:$I$89,5,0)</f>
        <v>93.058254545454503</v>
      </c>
      <c r="CV35" s="13">
        <f t="shared" si="41"/>
        <v>25.301361782885696</v>
      </c>
      <c r="CW35" s="20">
        <f t="shared" si="13"/>
        <v>206.14299843852584</v>
      </c>
      <c r="CX35" s="57">
        <f t="shared" si="14"/>
        <v>464.91818340900591</v>
      </c>
      <c r="CY35" s="57">
        <f ca="1">AVERAGE(OFFSET($CX$3,0,0,'Données projet'!$E$13+1,1))-AVERAGE(OFFSET($H$3,0,0,'Données projet'!$E$13+1,1))</f>
        <v>365.99625753737246</v>
      </c>
      <c r="CZ35" s="57">
        <f t="shared" si="42"/>
        <v>242.84814712692287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60.575050446494558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9.6</v>
      </c>
      <c r="DO35" s="12">
        <f>IF('Données projet'!$A$166&gt;35,DO34+DN35-DW34,IF(A35&lt;'Données projet'!$A$166,$DL$205^A35,IF(A35='Données projet'!$A$166,'Données projet'!$B$166,DO34+DN35-DW34)))</f>
        <v>179.2</v>
      </c>
      <c r="DP35" s="17">
        <f>DO35*VLOOKUP('Données projet'!$B$14,Paramètres!$A$1:$I$89,3,0)*VLOOKUP('Données projet'!$B$14,Paramètres!$A$1:$I$89,5,0)</f>
        <v>117.41184</v>
      </c>
      <c r="DQ35" s="13">
        <f t="shared" si="43"/>
        <v>31.070589593507073</v>
      </c>
      <c r="DR35" s="20">
        <f t="shared" si="16"/>
        <v>258.60689820869146</v>
      </c>
      <c r="DS35" s="57">
        <f t="shared" si="17"/>
        <v>517.38208317917156</v>
      </c>
      <c r="DT35" s="57">
        <f ca="1">AVERAGE(OFFSET($DS$3,0,0,'Données projet'!$E$14+1,1))-AVERAGE(OFFSET($H$3,0,0,'Données projet'!$E$14+1,1))</f>
        <v>313.79279628660527</v>
      </c>
      <c r="DU35" s="57">
        <f t="shared" si="44"/>
        <v>317.45469955216254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1.5566503882944529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1.5566503882944529</v>
      </c>
      <c r="EE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60.575050446494558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24.333333333333332</v>
      </c>
      <c r="EJ35" s="12">
        <f>IF('Données projet'!$A$192&gt;35,EJ34+EI35-ER34,IF(A35&lt;'Données projet'!$A$192,$EG$205^A35,IF(A35='Données projet'!$A$192,'Données projet'!$B$192,EJ34+EI35-ER34)))</f>
        <v>228.66666666666674</v>
      </c>
      <c r="EK35" s="17">
        <f>EJ35*VLOOKUP('Données projet'!$B$15,Paramètres!$A$1:$I$89,3,0)*VLOOKUP('Données projet'!$B$15,Paramètres!$A$1:$I$89,5,0)</f>
        <v>196.19600000000008</v>
      </c>
      <c r="EL35" s="13">
        <f t="shared" si="45"/>
        <v>48.907231617752288</v>
      </c>
      <c r="EM35" s="20">
        <f t="shared" si="19"/>
        <v>426.88812840091873</v>
      </c>
      <c r="EN35" s="57">
        <f t="shared" si="20"/>
        <v>685.66331337139877</v>
      </c>
      <c r="EO35" s="57">
        <f ca="1">AVERAGE(OFFSET($EN$3,0,0,'Données projet'!$E$15+1,1))-AVERAGE(OFFSET($H$3,0,0,'Données projet'!$E$15+1,1))</f>
        <v>643.04899298561475</v>
      </c>
      <c r="EP35" s="57">
        <f t="shared" si="46"/>
        <v>474.94999304483031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6.9577856609430064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6.9577856609430064</v>
      </c>
      <c r="EZ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60.575050446494558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12.8</v>
      </c>
      <c r="FE35" s="12">
        <f>IF('Données projet'!$A$218&gt;35,FE34+FD35-FM34,IF(A35&lt;'Données projet'!$A$218,$FB$205^A35,IF(A35='Données projet'!$A$218,'Données projet'!$B$218,FE34+FD35-FM34)))</f>
        <v>167.59999999999994</v>
      </c>
      <c r="FF35" s="17">
        <f>FE35*VLOOKUP('Données projet'!$B$16,Paramètres!$A$1:$I$89,3,0)*VLOOKUP('Données projet'!$B$16,Paramètres!$A$1:$I$89,5,0)</f>
        <v>135.95711999999997</v>
      </c>
      <c r="FG35" s="13">
        <f t="shared" si="47"/>
        <v>35.369264877838596</v>
      </c>
      <c r="FH35" s="20">
        <f t="shared" si="22"/>
        <v>298.39345366223546</v>
      </c>
      <c r="FI35" s="57">
        <f t="shared" si="23"/>
        <v>557.16863863271556</v>
      </c>
      <c r="FJ35" s="57">
        <f ca="1">AVERAGE(OFFSET($FI$3,0,0,'Données projet'!$E$16+1,1))-AVERAGE(OFFSET($H$3,0,0,'Données projet'!$E$16+1,1))</f>
        <v>375.34603719604439</v>
      </c>
      <c r="FK35" s="57">
        <f t="shared" si="48"/>
        <v>363.99476973672211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13.936626002868088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13.936626002868088</v>
      </c>
      <c r="FU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60.575050446494558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28.636666666666667</v>
      </c>
      <c r="FZ35" s="12">
        <f>IF('Données projet'!$A$244&gt;35,FZ34+FY35-GH34,IF(A35&lt;'Données projet'!$A$244,$FW$205^A35,IF(A35='Données projet'!$A$244,'Données projet'!$B$244,FZ34+FY35-GH34)))</f>
        <v>386.86333333333334</v>
      </c>
      <c r="GA35" s="17">
        <f>FZ35*VLOOKUP('Données projet'!$B$17,Paramètres!$A$1:$I$89,3,0)*VLOOKUP('Données projet'!$B$17,Paramètres!$A$1:$I$89,5,0)</f>
        <v>216.25660333333335</v>
      </c>
      <c r="GB35" s="13">
        <f t="shared" si="49"/>
        <v>53.30046608666354</v>
      </c>
      <c r="GC35" s="20">
        <f t="shared" si="25"/>
        <v>469.47856257316124</v>
      </c>
      <c r="GD35" s="57">
        <f t="shared" si="26"/>
        <v>728.25374754364134</v>
      </c>
      <c r="GE35" s="57">
        <f ca="1">AVERAGE(OFFSET($GD$3,0,0,'Données projet'!$E$17+1,1))-AVERAGE(OFFSET($H$3,0,0,'Données projet'!$E$17+1,1))</f>
        <v>414.47327143450701</v>
      </c>
      <c r="GF35" s="57">
        <f t="shared" si="50"/>
        <v>546.83385887302961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22.68838077517146</v>
      </c>
      <c r="GM35" s="21">
        <f>EXP(-LN(2)/25)*GM34+(1-EXP(-LN(2)/25))/(LN(2)/25)*Calculateur!GH35*Calculateur!GJ35*VLOOKUP('Données projet'!$B$17,Paramètres!$A$1:$I$89,3,0)*0.475*44/12</f>
        <v>26.380687144017202</v>
      </c>
      <c r="GN35" s="21">
        <f>EXP(-LN(2)/2)*GN34+(1-EXP(-LN(2)/2))/(LN(2)/2)*GH35*GK35*VLOOKUP('Données projet'!$B$17,Paramètres!$A$1:$I$89,3,0)*0.475*44/12</f>
        <v>7.4218271592492284</v>
      </c>
      <c r="GO35" s="21">
        <f t="shared" si="27"/>
        <v>56.490895078437887</v>
      </c>
      <c r="GP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60.575050446494558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15.6</v>
      </c>
      <c r="GU35" s="12">
        <f>IF('Données projet'!$A$270&gt;35,GU34+GT35-HC34,IF(A35&lt;'Données projet'!$A$270,$GR$205^A35,IF(A35='Données projet'!$A$270,'Données projet'!$B$270,GU34+GT35-HC34)))</f>
        <v>210.2</v>
      </c>
      <c r="GV35" s="17">
        <f>GU35*VLOOKUP('Données projet'!$B$18,Paramètres!$A$1:$I$89,3,0)*VLOOKUP('Données projet'!$B$18,Paramètres!$A$1:$I$89,5,0)</f>
        <v>114.7692</v>
      </c>
      <c r="GW35" s="13">
        <f t="shared" si="51"/>
        <v>30.451854637594572</v>
      </c>
      <c r="GX35" s="20">
        <f t="shared" si="28"/>
        <v>252.92667016047719</v>
      </c>
      <c r="GY35" s="57">
        <f t="shared" si="29"/>
        <v>511.70185513095726</v>
      </c>
      <c r="GZ35" s="57">
        <f ca="1">AVERAGE(OFFSET($GY$3,0,0,'Données projet'!$E$18+1,1))-AVERAGE(OFFSET($H$3,0,0,'Données projet'!$E$18+1,1))</f>
        <v>381.00532469288714</v>
      </c>
      <c r="HA35" s="57">
        <f t="shared" si="52"/>
        <v>314.875259641757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>
        <f>EXP(-LN(2)/35)*HG34+(1-EXP(-LN(2)/35))/(LN(2)/35)*HC35*HD35*VLOOKUP('Données projet'!$B$18,Paramètres!$A$1:$I$89,3,0)*0.475*44/12</f>
        <v>17.219143088441559</v>
      </c>
      <c r="HH35" s="21">
        <f>EXP(-LN(2)/25)*HH34+(1-EXP(-LN(2)/25))/(LN(2)/25)*Calculateur!HC35*Calculateur!HE35*VLOOKUP('Données projet'!$B$18,Paramètres!$A$1:$I$89,3,0)*0.475*44/12</f>
        <v>18.959748328070322</v>
      </c>
      <c r="HI35" s="21">
        <f>EXP(-LN(2)/2)*HI34+(1-EXP(-LN(2)/2))/(LN(2)/2)*HC35*HF35*VLOOKUP('Données projet'!$B$18,Paramètres!$A$1:$I$89,3,0)*0.475*44/12</f>
        <v>4.223321308165402</v>
      </c>
      <c r="HJ35" s="22">
        <f t="shared" si="30"/>
        <v>40.402212724677284</v>
      </c>
    </row>
    <row r="36" spans="1:218" x14ac:dyDescent="0.2">
      <c r="A36" s="10">
        <f t="shared" si="31"/>
        <v>33</v>
      </c>
      <c r="B36" s="71">
        <f>'Scénario référence'!$B$16*5+'Scénario référence'!$B$17*0+'Scénario référence'!$B$18*5</f>
        <v>3.3000000000000003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12.100000000000001</v>
      </c>
      <c r="H36" s="65">
        <f t="shared" si="1"/>
        <v>208.26666666666665</v>
      </c>
      <c r="I36" s="6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60.738552250217339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5</v>
      </c>
      <c r="N36" s="13">
        <f>IF('Données projet'!$A$36&gt;35,N35+M36-V35,IF(A36&lt;'Données projet'!$A$36,$K$205^A36,IF(A36='Données projet'!$A$36,'Données projet'!$B$36,N35+M36-V35)))</f>
        <v>68.999999999999986</v>
      </c>
      <c r="O36" s="13">
        <f>N36*VLOOKUP('Données projet'!$B$9,Paramètres!$A$1:$I$89,3,0)*VLOOKUP('Données projet'!$B$9,Paramètres!$A$1:$I$89,5,0)</f>
        <v>69.965999999999994</v>
      </c>
      <c r="P36" s="13">
        <f t="shared" si="33"/>
        <v>19.665013934342461</v>
      </c>
      <c r="Q36" s="20">
        <f t="shared" si="53"/>
        <v>156.10734926897979</v>
      </c>
      <c r="R36" s="57">
        <f t="shared" si="0"/>
        <v>415.48204085310999</v>
      </c>
      <c r="S36" s="57">
        <f ca="1">AVERAGE(OFFSET($R$3,0,0,'Données projet'!$E$9+1,1))-AVERAGE(OFFSET($H$3,0,0,'Données projet'!$E$9+1,1))</f>
        <v>332.70145542047612</v>
      </c>
      <c r="T36" s="57">
        <f t="shared" si="34"/>
        <v>172.22433737900428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60.738552250217339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4.3352272727272725</v>
      </c>
      <c r="AI36" s="13">
        <f>IF('Données projet'!$A$62&gt;35,AI35+AH36-AQ35,IF(A36&lt;'Données projet'!$A$62,$AF$205^A36,IF(A36='Données projet'!$A$62,'Données projet'!$B$62,AI35+AH36-AQ35)))</f>
        <v>143.06249999999994</v>
      </c>
      <c r="AJ36" s="13">
        <f>AI36*VLOOKUP('Données projet'!$B$10,Paramètres!$A$1:$I$89,3,0)*VLOOKUP('Données projet'!$B$10,Paramètres!$A$1:$I$89,5,0)</f>
        <v>129.44294999999994</v>
      </c>
      <c r="AK36" s="13">
        <f t="shared" si="35"/>
        <v>33.867609280865778</v>
      </c>
      <c r="AL36" s="20">
        <f t="shared" si="4"/>
        <v>284.43255741417448</v>
      </c>
      <c r="AM36" s="57">
        <f t="shared" si="5"/>
        <v>543.80724899830466</v>
      </c>
      <c r="AN36" s="57">
        <f ca="1">AVERAGE(OFFSET($AM$3,0,0,'Données projet'!$E$10+1,1))-AVERAGE(OFFSET($H$3,0,0,'Données projet'!$E$10+1,1))</f>
        <v>469.4210143164521</v>
      </c>
      <c r="AO36" s="57">
        <f t="shared" si="36"/>
        <v>308.4508386530556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60.738552250217339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12.8</v>
      </c>
      <c r="BD36" s="12">
        <f>IF('Données projet'!$A$88&gt;35,BD35+BC36-BL35,IF(A36&lt;'Données projet'!$A$88,$BA$205^A36,IF(A36='Données projet'!$A$88,'Données projet'!$B$88,BD35+BC36-BL35)))</f>
        <v>180.39999999999995</v>
      </c>
      <c r="BE36" s="13">
        <f>BD36*VLOOKUP('Données projet'!$B$11,Paramètres!$A$1:$I$89,3,0)*VLOOKUP('Données projet'!$B$11,Paramètres!$A$1:$I$89,5,0)</f>
        <v>132.26927999999995</v>
      </c>
      <c r="BF36" s="13">
        <f t="shared" si="37"/>
        <v>34.520194019648734</v>
      </c>
      <c r="BG36" s="20">
        <f t="shared" si="7"/>
        <v>290.4916672508881</v>
      </c>
      <c r="BH36" s="57">
        <f t="shared" si="8"/>
        <v>549.86635883501833</v>
      </c>
      <c r="BI36" s="57">
        <f ca="1">AVERAGE(OFFSET($BH$3,0,0,'Données projet'!$E$11+1,1))-AVERAGE(OFFSET($H$3,0,0,'Données projet'!$E$11+1,1))</f>
        <v>344.32981377462971</v>
      </c>
      <c r="BJ36" s="57">
        <f t="shared" si="38"/>
        <v>334.42512656625763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10.019450151496825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10.019450151496825</v>
      </c>
      <c r="BT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60.738552250217339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12</v>
      </c>
      <c r="BY36" s="12">
        <f>IF('Données projet'!$A$114&gt;35,BY35+BX36-CG35,IF(A36&lt;'Données projet'!$A$114,$BV$205^A36,IF(A36='Données projet'!$A$114,'Données projet'!$B$114,BY35+BX36-CG35)))</f>
        <v>175.99999999999997</v>
      </c>
      <c r="BZ36" s="13">
        <f>BY36*VLOOKUP('Données projet'!$B$12,Paramètres!$A$1:$I$89,3,0)*VLOOKUP('Données projet'!$B$12,Paramètres!$A$1:$I$89,5,0)</f>
        <v>167.48159999999999</v>
      </c>
      <c r="CA36" s="13">
        <f t="shared" si="39"/>
        <v>42.52549675634404</v>
      </c>
      <c r="CB36" s="20">
        <f t="shared" si="10"/>
        <v>365.76236018396577</v>
      </c>
      <c r="CC36" s="57">
        <f t="shared" si="11"/>
        <v>625.13705176809594</v>
      </c>
      <c r="CD36" s="57">
        <f ca="1">AVERAGE(OFFSET($CC$3,0,0,'Données projet'!$E$12+1,1))-AVERAGE(OFFSET($H$3,0,0,'Données projet'!$E$12+1,1))</f>
        <v>498.77732039282807</v>
      </c>
      <c r="CE36" s="57">
        <f t="shared" si="40"/>
        <v>384.57317421826531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60.738552250217339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4.3352272727272725</v>
      </c>
      <c r="CT36" s="12">
        <f>IF('Données projet'!$A$140&gt;35,CT35+CS36-DB35,IF(A36&lt;'Données projet'!$A$140,$CQ$205^A36,IF(A36='Données projet'!$A$140,'Données projet'!$B$140,CT35+CS36-DB35)))</f>
        <v>143.06249999999994</v>
      </c>
      <c r="CU36" s="17">
        <f>CT36*VLOOKUP('Données projet'!$B$13,Paramètres!$A$1:$I$89,3,0)*VLOOKUP('Données projet'!$B$13,Paramètres!$A$1:$I$89,5,0)</f>
        <v>95.966324999999969</v>
      </c>
      <c r="CV36" s="13">
        <f t="shared" si="41"/>
        <v>25.998739531623929</v>
      </c>
      <c r="CW36" s="20">
        <f t="shared" si="13"/>
        <v>212.42248739257829</v>
      </c>
      <c r="CX36" s="57">
        <f t="shared" si="14"/>
        <v>471.79717897670855</v>
      </c>
      <c r="CY36" s="57">
        <f ca="1">AVERAGE(OFFSET($CX$3,0,0,'Données projet'!$E$13+1,1))-AVERAGE(OFFSET($H$3,0,0,'Données projet'!$E$13+1,1))</f>
        <v>365.99625753737246</v>
      </c>
      <c r="CZ36" s="57">
        <f t="shared" si="42"/>
        <v>242.84814712692287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60.738552250217339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9.6</v>
      </c>
      <c r="DO36" s="12">
        <f>IF('Données projet'!$A$166&gt;35,DO35+DN36-DW35,IF(A36&lt;'Données projet'!$A$166,$DL$205^A36,IF(A36='Données projet'!$A$166,'Données projet'!$B$166,DO35+DN36-DW35)))</f>
        <v>188.79999999999998</v>
      </c>
      <c r="DP36" s="17">
        <f>DO36*VLOOKUP('Données projet'!$B$14,Paramètres!$A$1:$I$89,3,0)*VLOOKUP('Données projet'!$B$14,Paramètres!$A$1:$I$89,5,0)</f>
        <v>123.70175999999999</v>
      </c>
      <c r="DQ36" s="13">
        <f t="shared" si="43"/>
        <v>32.536841470486884</v>
      </c>
      <c r="DR36" s="20">
        <f t="shared" si="16"/>
        <v>272.11556422776465</v>
      </c>
      <c r="DS36" s="57">
        <f t="shared" si="17"/>
        <v>531.49025581189494</v>
      </c>
      <c r="DT36" s="57">
        <f ca="1">AVERAGE(OFFSET($DS$3,0,0,'Données projet'!$E$14+1,1))-AVERAGE(OFFSET($H$3,0,0,'Données projet'!$E$14+1,1))</f>
        <v>313.79279628660527</v>
      </c>
      <c r="DU36" s="57">
        <f t="shared" si="44"/>
        <v>317.45469955216254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1.5261254236429838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1.5261254236429838</v>
      </c>
      <c r="EE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60.738552250217339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24.333333333333332</v>
      </c>
      <c r="EJ36" s="12">
        <f>IF('Données projet'!$A$192&gt;35,EJ35+EI36-ER35,IF(A36&lt;'Données projet'!$A$192,$EG$205^A36,IF(A36='Données projet'!$A$192,'Données projet'!$B$192,EJ35+EI36-ER35)))</f>
        <v>253.00000000000009</v>
      </c>
      <c r="EK36" s="17">
        <f>EJ36*VLOOKUP('Données projet'!$B$15,Paramètres!$A$1:$I$89,3,0)*VLOOKUP('Données projet'!$B$15,Paramètres!$A$1:$I$89,5,0)</f>
        <v>217.0740000000001</v>
      </c>
      <c r="EL36" s="13">
        <f t="shared" si="45"/>
        <v>53.478439358974512</v>
      </c>
      <c r="EM36" s="20">
        <f t="shared" si="19"/>
        <v>471.21216521688075</v>
      </c>
      <c r="EN36" s="57">
        <f t="shared" si="20"/>
        <v>730.58685680101098</v>
      </c>
      <c r="EO36" s="57">
        <f ca="1">AVERAGE(OFFSET($EN$3,0,0,'Données projet'!$E$15+1,1))-AVERAGE(OFFSET($H$3,0,0,'Données projet'!$E$15+1,1))</f>
        <v>643.04899298561475</v>
      </c>
      <c r="EP36" s="57">
        <f t="shared" si="46"/>
        <v>474.94999304483031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6.8213477279621237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6.8213477279621237</v>
      </c>
      <c r="EZ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60.738552250217339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12.8</v>
      </c>
      <c r="FE36" s="12">
        <f>IF('Données projet'!$A$218&gt;35,FE35+FD36-FM35,IF(A36&lt;'Données projet'!$A$218,$FB$205^A36,IF(A36='Données projet'!$A$218,'Données projet'!$B$218,FE35+FD36-FM35)))</f>
        <v>180.39999999999995</v>
      </c>
      <c r="FF36" s="17">
        <f>FE36*VLOOKUP('Données projet'!$B$16,Paramètres!$A$1:$I$89,3,0)*VLOOKUP('Données projet'!$B$16,Paramètres!$A$1:$I$89,5,0)</f>
        <v>146.34047999999999</v>
      </c>
      <c r="FG36" s="13">
        <f t="shared" si="47"/>
        <v>37.745754868861937</v>
      </c>
      <c r="FH36" s="20">
        <f t="shared" si="22"/>
        <v>320.6168590632679</v>
      </c>
      <c r="FI36" s="57">
        <f t="shared" si="23"/>
        <v>579.99155064739807</v>
      </c>
      <c r="FJ36" s="57">
        <f ca="1">AVERAGE(OFFSET($FI$3,0,0,'Données projet'!$E$16+1,1))-AVERAGE(OFFSET($H$3,0,0,'Données projet'!$E$16+1,1))</f>
        <v>375.34603719604439</v>
      </c>
      <c r="FK36" s="57">
        <f t="shared" si="48"/>
        <v>363.99476973672211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13.663337267454352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13.663337267454352</v>
      </c>
      <c r="FU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60.738552250217339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28.636666666666667</v>
      </c>
      <c r="FZ36" s="12">
        <f>IF('Données projet'!$A$244&gt;35,FZ35+FY36-GH35,IF(A36&lt;'Données projet'!$A$244,$FW$205^A36,IF(A36='Données projet'!$A$244,'Données projet'!$B$244,FZ35+FY36-GH35)))</f>
        <v>415.5</v>
      </c>
      <c r="GA36" s="17">
        <f>FZ36*VLOOKUP('Données projet'!$B$17,Paramètres!$A$1:$I$89,3,0)*VLOOKUP('Données projet'!$B$17,Paramètres!$A$1:$I$89,5,0)</f>
        <v>232.2645</v>
      </c>
      <c r="GB36" s="13">
        <f t="shared" si="49"/>
        <v>56.772039827032373</v>
      </c>
      <c r="GC36" s="20">
        <f t="shared" si="25"/>
        <v>503.40530686541462</v>
      </c>
      <c r="GD36" s="57">
        <f t="shared" si="26"/>
        <v>762.77999844954479</v>
      </c>
      <c r="GE36" s="57">
        <f ca="1">AVERAGE(OFFSET($GD$3,0,0,'Données projet'!$E$17+1,1))-AVERAGE(OFFSET($H$3,0,0,'Données projet'!$E$17+1,1))</f>
        <v>414.47327143450701</v>
      </c>
      <c r="GF36" s="57">
        <f t="shared" si="50"/>
        <v>546.83385887302961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22.243475466716177</v>
      </c>
      <c r="GM36" s="21">
        <f>EXP(-LN(2)/25)*GM35+(1-EXP(-LN(2)/25))/(LN(2)/25)*Calculateur!GH36*Calculateur!GJ36*VLOOKUP('Données projet'!$B$17,Paramètres!$A$1:$I$89,3,0)*0.475*44/12</f>
        <v>25.659305866764008</v>
      </c>
      <c r="GN36" s="21">
        <f>EXP(-LN(2)/2)*GN35+(1-EXP(-LN(2)/2))/(LN(2)/2)*GH36*GK36*VLOOKUP('Données projet'!$B$17,Paramètres!$A$1:$I$89,3,0)*0.475*44/12</f>
        <v>5.24802431309962</v>
      </c>
      <c r="GO36" s="21">
        <f t="shared" si="27"/>
        <v>53.150805646579805</v>
      </c>
      <c r="GP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60.738552250217339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15.6</v>
      </c>
      <c r="GU36" s="12">
        <f>IF('Données projet'!$A$270&gt;35,GU35+GT36-HC35,IF(A36&lt;'Données projet'!$A$270,$GR$205^A36,IF(A36='Données projet'!$A$270,'Données projet'!$B$270,GU35+GT36-HC35)))</f>
        <v>225.79999999999998</v>
      </c>
      <c r="GV36" s="17">
        <f>GU36*VLOOKUP('Données projet'!$B$18,Paramètres!$A$1:$I$89,3,0)*VLOOKUP('Données projet'!$B$18,Paramètres!$A$1:$I$89,5,0)</f>
        <v>123.28679999999999</v>
      </c>
      <c r="GW36" s="13">
        <f t="shared" si="51"/>
        <v>32.440381674034974</v>
      </c>
      <c r="GX36" s="20">
        <f t="shared" si="28"/>
        <v>271.22484141561085</v>
      </c>
      <c r="GY36" s="57">
        <f t="shared" si="29"/>
        <v>530.59953299974109</v>
      </c>
      <c r="GZ36" s="57">
        <f ca="1">AVERAGE(OFFSET($GY$3,0,0,'Données projet'!$E$18+1,1))-AVERAGE(OFFSET($H$3,0,0,'Données projet'!$E$18+1,1))</f>
        <v>381.00532469288714</v>
      </c>
      <c r="HA36" s="57">
        <f t="shared" si="52"/>
        <v>314.875259641757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>
        <f>EXP(-LN(2)/35)*HG35+(1-EXP(-LN(2)/35))/(LN(2)/35)*HC36*HD36*VLOOKUP('Données projet'!$B$18,Paramètres!$A$1:$I$89,3,0)*0.475*44/12</f>
        <v>16.881486195117454</v>
      </c>
      <c r="HH36" s="21">
        <f>EXP(-LN(2)/25)*HH35+(1-EXP(-LN(2)/25))/(LN(2)/25)*Calculateur!HC36*Calculateur!HE36*VLOOKUP('Données projet'!$B$18,Paramètres!$A$1:$I$89,3,0)*0.475*44/12</f>
        <v>18.441293012989409</v>
      </c>
      <c r="HI36" s="21">
        <f>EXP(-LN(2)/2)*HI35+(1-EXP(-LN(2)/2))/(LN(2)/2)*HC36*HF36*VLOOKUP('Données projet'!$B$18,Paramètres!$A$1:$I$89,3,0)*0.475*44/12</f>
        <v>2.9863391361333966</v>
      </c>
      <c r="HJ36" s="22">
        <f t="shared" si="30"/>
        <v>38.309118344240261</v>
      </c>
    </row>
    <row r="37" spans="1:218" x14ac:dyDescent="0.2">
      <c r="A37" s="10">
        <f t="shared" si="31"/>
        <v>34</v>
      </c>
      <c r="B37" s="71">
        <f>'Scénario référence'!$B$16*5+'Scénario référence'!$B$17*0+'Scénario référence'!$B$18*5</f>
        <v>3.3000000000000003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12.100000000000001</v>
      </c>
      <c r="H37" s="65">
        <f t="shared" si="1"/>
        <v>208.26666666666665</v>
      </c>
      <c r="I37" s="6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60.899217663180806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5</v>
      </c>
      <c r="N37" s="13">
        <f>IF('Données projet'!$A$36&gt;35,N36+M37-V36,IF(A37&lt;'Données projet'!$A$36,$K$205^A37,IF(A37='Données projet'!$A$36,'Données projet'!$B$36,N36+M37-V36)))</f>
        <v>73.999999999999986</v>
      </c>
      <c r="O37" s="13">
        <f>N37*VLOOKUP('Données projet'!$B$9,Paramètres!$A$1:$I$89,3,0)*VLOOKUP('Données projet'!$B$9,Paramètres!$A$1:$I$89,5,0)</f>
        <v>75.035999999999987</v>
      </c>
      <c r="P37" s="13">
        <f t="shared" si="33"/>
        <v>20.918972521981534</v>
      </c>
      <c r="Q37" s="20">
        <f t="shared" si="53"/>
        <v>167.12157714245114</v>
      </c>
      <c r="R37" s="57">
        <f t="shared" si="0"/>
        <v>427.08537524078076</v>
      </c>
      <c r="S37" s="57">
        <f ca="1">AVERAGE(OFFSET($R$3,0,0,'Données projet'!$E$9+1,1))-AVERAGE(OFFSET($H$3,0,0,'Données projet'!$E$9+1,1))</f>
        <v>332.70145542047612</v>
      </c>
      <c r="T37" s="57">
        <f t="shared" si="34"/>
        <v>172.22433737900428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60.899217663180806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4.3352272727272725</v>
      </c>
      <c r="AI37" s="13">
        <f>IF('Données projet'!$A$62&gt;35,AI36+AH37-AQ36,IF(A37&lt;'Données projet'!$A$62,$AF$205^A37,IF(A37='Données projet'!$A$62,'Données projet'!$B$62,AI36+AH37-AQ36)))</f>
        <v>147.39772727272722</v>
      </c>
      <c r="AJ37" s="13">
        <f>AI37*VLOOKUP('Données projet'!$B$10,Paramètres!$A$1:$I$89,3,0)*VLOOKUP('Données projet'!$B$10,Paramètres!$A$1:$I$89,5,0)</f>
        <v>133.36546363636359</v>
      </c>
      <c r="AK37" s="13">
        <f t="shared" si="35"/>
        <v>34.772858608043407</v>
      </c>
      <c r="AL37" s="20">
        <f t="shared" si="4"/>
        <v>292.84091124234214</v>
      </c>
      <c r="AM37" s="57">
        <f t="shared" si="5"/>
        <v>552.80470934067171</v>
      </c>
      <c r="AN37" s="57">
        <f ca="1">AVERAGE(OFFSET($AM$3,0,0,'Données projet'!$E$10+1,1))-AVERAGE(OFFSET($H$3,0,0,'Données projet'!$E$10+1,1))</f>
        <v>469.4210143164521</v>
      </c>
      <c r="AO37" s="57">
        <f t="shared" si="36"/>
        <v>308.4508386530556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60.899217663180806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12.8</v>
      </c>
      <c r="BD37" s="12">
        <f>IF('Données projet'!$A$88&gt;35,BD36+BC37-BL36,IF(A37&lt;'Données projet'!$A$88,$BA$205^A37,IF(A37='Données projet'!$A$88,'Données projet'!$B$88,BD36+BC37-BL36)))</f>
        <v>193.19999999999996</v>
      </c>
      <c r="BE37" s="13">
        <f>BD37*VLOOKUP('Données projet'!$B$11,Paramètres!$A$1:$I$89,3,0)*VLOOKUP('Données projet'!$B$11,Paramètres!$A$1:$I$89,5,0)</f>
        <v>141.65423999999996</v>
      </c>
      <c r="BF37" s="13">
        <f t="shared" si="37"/>
        <v>36.675709178601934</v>
      </c>
      <c r="BG37" s="20">
        <f t="shared" si="7"/>
        <v>310.59132815273165</v>
      </c>
      <c r="BH37" s="57">
        <f t="shared" si="8"/>
        <v>570.55512625106121</v>
      </c>
      <c r="BI37" s="57">
        <f ca="1">AVERAGE(OFFSET($BH$3,0,0,'Données projet'!$E$11+1,1))-AVERAGE(OFFSET($H$3,0,0,'Données projet'!$E$11+1,1))</f>
        <v>344.32981377462971</v>
      </c>
      <c r="BJ37" s="57">
        <f t="shared" si="38"/>
        <v>334.42512656625763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9.8229748452871277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9.8229748452871277</v>
      </c>
      <c r="BT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60.899217663180806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12</v>
      </c>
      <c r="BY37" s="12">
        <f>IF('Données projet'!$A$114&gt;35,BY36+BX37-CG36,IF(A37&lt;'Données projet'!$A$114,$BV$205^A37,IF(A37='Données projet'!$A$114,'Données projet'!$B$114,BY36+BX37-CG36)))</f>
        <v>187.99999999999997</v>
      </c>
      <c r="BZ37" s="13">
        <f>BY37*VLOOKUP('Données projet'!$B$12,Paramètres!$A$1:$I$89,3,0)*VLOOKUP('Données projet'!$B$12,Paramètres!$A$1:$I$89,5,0)</f>
        <v>178.90079999999998</v>
      </c>
      <c r="CA37" s="13">
        <f t="shared" si="39"/>
        <v>45.077547304318657</v>
      </c>
      <c r="CB37" s="20">
        <f t="shared" si="10"/>
        <v>390.09562155502158</v>
      </c>
      <c r="CC37" s="57">
        <f t="shared" si="11"/>
        <v>650.05941965335114</v>
      </c>
      <c r="CD37" s="57">
        <f ca="1">AVERAGE(OFFSET($CC$3,0,0,'Données projet'!$E$12+1,1))-AVERAGE(OFFSET($H$3,0,0,'Données projet'!$E$12+1,1))</f>
        <v>498.77732039282807</v>
      </c>
      <c r="CE37" s="57">
        <f t="shared" si="40"/>
        <v>384.57317421826531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60.899217663180806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4.3352272727272725</v>
      </c>
      <c r="CT37" s="12">
        <f>IF('Données projet'!$A$140&gt;35,CT36+CS37-DB36,IF(A37&lt;'Données projet'!$A$140,$CQ$205^A37,IF(A37='Données projet'!$A$140,'Données projet'!$B$140,CT36+CS37-DB36)))</f>
        <v>147.39772727272722</v>
      </c>
      <c r="CU37" s="17">
        <f>CT37*VLOOKUP('Données projet'!$B$13,Paramètres!$A$1:$I$89,3,0)*VLOOKUP('Données projet'!$B$13,Paramètres!$A$1:$I$89,5,0)</f>
        <v>98.874395454545422</v>
      </c>
      <c r="CV37" s="13">
        <f t="shared" si="41"/>
        <v>26.693661374889839</v>
      </c>
      <c r="CW37" s="20">
        <f t="shared" si="13"/>
        <v>218.69769897793307</v>
      </c>
      <c r="CX37" s="57">
        <f t="shared" si="14"/>
        <v>478.66149707626266</v>
      </c>
      <c r="CY37" s="57">
        <f ca="1">AVERAGE(OFFSET($CX$3,0,0,'Données projet'!$E$13+1,1))-AVERAGE(OFFSET($H$3,0,0,'Données projet'!$E$13+1,1))</f>
        <v>365.99625753737246</v>
      </c>
      <c r="CZ37" s="57">
        <f t="shared" si="42"/>
        <v>242.84814712692287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60.899217663180806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9.6</v>
      </c>
      <c r="DO37" s="12">
        <f>IF('Données projet'!$A$166&gt;35,DO36+DN37-DW36,IF(A37&lt;'Données projet'!$A$166,$DL$205^A37,IF(A37='Données projet'!$A$166,'Données projet'!$B$166,DO36+DN37-DW36)))</f>
        <v>198.39999999999998</v>
      </c>
      <c r="DP37" s="17">
        <f>DO37*VLOOKUP('Données projet'!$B$14,Paramètres!$A$1:$I$89,3,0)*VLOOKUP('Données projet'!$B$14,Paramètres!$A$1:$I$89,5,0)</f>
        <v>129.99167999999997</v>
      </c>
      <c r="DQ37" s="13">
        <f t="shared" si="43"/>
        <v>33.994436817469854</v>
      </c>
      <c r="DR37" s="20">
        <f t="shared" si="16"/>
        <v>285.60915345709321</v>
      </c>
      <c r="DS37" s="57">
        <f t="shared" si="17"/>
        <v>545.57295155542283</v>
      </c>
      <c r="DT37" s="57">
        <f ca="1">AVERAGE(OFFSET($DS$3,0,0,'Données projet'!$E$14+1,1))-AVERAGE(OFFSET($H$3,0,0,'Données projet'!$E$14+1,1))</f>
        <v>313.79279628660527</v>
      </c>
      <c r="DU37" s="57">
        <f t="shared" si="44"/>
        <v>317.45469955216254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1.4961990349299401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1.4961990349299401</v>
      </c>
      <c r="EE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60.899217663180806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24.333333333333332</v>
      </c>
      <c r="EJ37" s="12">
        <f>IF('Données projet'!$A$192&gt;35,EJ36+EI37-ER36,IF(A37&lt;'Données projet'!$A$192,$EG$205^A37,IF(A37='Données projet'!$A$192,'Données projet'!$B$192,EJ36+EI37-ER36)))</f>
        <v>277.33333333333343</v>
      </c>
      <c r="EK37" s="17">
        <f>EJ37*VLOOKUP('Données projet'!$B$15,Paramètres!$A$1:$I$89,3,0)*VLOOKUP('Données projet'!$B$15,Paramètres!$A$1:$I$89,5,0)</f>
        <v>237.95200000000008</v>
      </c>
      <c r="EL37" s="13">
        <f t="shared" si="45"/>
        <v>57.99867376947342</v>
      </c>
      <c r="EM37" s="20">
        <f t="shared" si="19"/>
        <v>515.44742348183297</v>
      </c>
      <c r="EN37" s="57">
        <f t="shared" si="20"/>
        <v>775.41122158016265</v>
      </c>
      <c r="EO37" s="57">
        <f ca="1">AVERAGE(OFFSET($EN$3,0,0,'Données projet'!$E$15+1,1))-AVERAGE(OFFSET($H$3,0,0,'Données projet'!$E$15+1,1))</f>
        <v>643.04899298561475</v>
      </c>
      <c r="EP37" s="57">
        <f t="shared" si="46"/>
        <v>474.94999304483031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6.687585259628074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6.687585259628074</v>
      </c>
      <c r="EZ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60.899217663180806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12.8</v>
      </c>
      <c r="FE37" s="12">
        <f>IF('Données projet'!$A$218&gt;35,FE36+FD37-FM36,IF(A37&lt;'Données projet'!$A$218,$FB$205^A37,IF(A37='Données projet'!$A$218,'Données projet'!$B$218,FE36+FD37-FM36)))</f>
        <v>193.19999999999996</v>
      </c>
      <c r="FF37" s="17">
        <f>FE37*VLOOKUP('Données projet'!$B$16,Paramètres!$A$1:$I$89,3,0)*VLOOKUP('Données projet'!$B$16,Paramètres!$A$1:$I$89,5,0)</f>
        <v>156.72383999999997</v>
      </c>
      <c r="FG37" s="13">
        <f t="shared" si="47"/>
        <v>40.102680984620484</v>
      </c>
      <c r="FH37" s="20">
        <f t="shared" si="22"/>
        <v>342.80619071488059</v>
      </c>
      <c r="FI37" s="57">
        <f t="shared" si="23"/>
        <v>602.76998881321015</v>
      </c>
      <c r="FJ37" s="57">
        <f ca="1">AVERAGE(OFFSET($FI$3,0,0,'Données projet'!$E$16+1,1))-AVERAGE(OFFSET($H$3,0,0,'Données projet'!$E$16+1,1))</f>
        <v>375.34603719604439</v>
      </c>
      <c r="FK37" s="57">
        <f t="shared" si="48"/>
        <v>363.99476973672211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13.39540755745241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13.39540755745241</v>
      </c>
      <c r="FU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60.899217663180806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28.636666666666667</v>
      </c>
      <c r="FZ37" s="12">
        <f>IF('Données projet'!$A$244&gt;35,FZ36+FY37-GH36,IF(A37&lt;'Données projet'!$A$244,$FW$205^A37,IF(A37='Données projet'!$A$244,'Données projet'!$B$244,FZ36+FY37-GH36)))</f>
        <v>444.13666666666666</v>
      </c>
      <c r="GA37" s="17">
        <f>FZ37*VLOOKUP('Données projet'!$B$17,Paramètres!$A$1:$I$89,3,0)*VLOOKUP('Données projet'!$B$17,Paramètres!$A$1:$I$89,5,0)</f>
        <v>248.27239666666668</v>
      </c>
      <c r="GB37" s="13">
        <f t="shared" si="49"/>
        <v>60.215851431236757</v>
      </c>
      <c r="GC37" s="20">
        <f t="shared" si="25"/>
        <v>537.28369877051512</v>
      </c>
      <c r="GD37" s="57">
        <f t="shared" si="26"/>
        <v>797.24749686884479</v>
      </c>
      <c r="GE37" s="57">
        <f ca="1">AVERAGE(OFFSET($GD$3,0,0,'Données projet'!$E$17+1,1))-AVERAGE(OFFSET($H$3,0,0,'Données projet'!$E$17+1,1))</f>
        <v>414.47327143450701</v>
      </c>
      <c r="GF37" s="57">
        <f t="shared" si="50"/>
        <v>546.83385887302961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21.807294479994258</v>
      </c>
      <c r="GM37" s="21">
        <f>EXP(-LN(2)/25)*GM36+(1-EXP(-LN(2)/25))/(LN(2)/25)*Calculateur!GH37*Calculateur!GJ37*VLOOKUP('Données projet'!$B$17,Paramètres!$A$1:$I$89,3,0)*0.475*44/12</f>
        <v>24.957650798473097</v>
      </c>
      <c r="GN37" s="21">
        <f>EXP(-LN(2)/2)*GN36+(1-EXP(-LN(2)/2))/(LN(2)/2)*GH37*GK37*VLOOKUP('Données projet'!$B$17,Paramètres!$A$1:$I$89,3,0)*0.475*44/12</f>
        <v>3.7109135796246147</v>
      </c>
      <c r="GO37" s="21">
        <f t="shared" si="27"/>
        <v>50.475858858091968</v>
      </c>
      <c r="GP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60.899217663180806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15.6</v>
      </c>
      <c r="GU37" s="12">
        <f>IF('Données projet'!$A$270&gt;35,GU36+GT37-HC36,IF(A37&lt;'Données projet'!$A$270,$GR$205^A37,IF(A37='Données projet'!$A$270,'Données projet'!$B$270,GU36+GT37-HC36)))</f>
        <v>241.39999999999998</v>
      </c>
      <c r="GV37" s="17">
        <f>GU37*VLOOKUP('Données projet'!$B$18,Paramètres!$A$1:$I$89,3,0)*VLOOKUP('Données projet'!$B$18,Paramètres!$A$1:$I$89,5,0)</f>
        <v>131.80439999999999</v>
      </c>
      <c r="GW37" s="13">
        <f t="shared" si="51"/>
        <v>34.412968106987549</v>
      </c>
      <c r="GX37" s="20">
        <f t="shared" si="28"/>
        <v>289.49524945300323</v>
      </c>
      <c r="GY37" s="57">
        <f t="shared" si="29"/>
        <v>549.45904755133279</v>
      </c>
      <c r="GZ37" s="57">
        <f ca="1">AVERAGE(OFFSET($GY$3,0,0,'Données projet'!$E$18+1,1))-AVERAGE(OFFSET($H$3,0,0,'Données projet'!$E$18+1,1))</f>
        <v>381.00532469288714</v>
      </c>
      <c r="HA37" s="57">
        <f t="shared" si="52"/>
        <v>314.875259641757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>
        <f>EXP(-LN(2)/35)*HG36+(1-EXP(-LN(2)/35))/(LN(2)/35)*HC37*HD37*VLOOKUP('Données projet'!$B$18,Paramètres!$A$1:$I$89,3,0)*0.475*44/12</f>
        <v>16.550450547521066</v>
      </c>
      <c r="HH37" s="21">
        <f>EXP(-LN(2)/25)*HH36+(1-EXP(-LN(2)/25))/(LN(2)/25)*Calculateur!HC37*Calculateur!HE37*VLOOKUP('Données projet'!$B$18,Paramètres!$A$1:$I$89,3,0)*0.475*44/12</f>
        <v>17.937014885763762</v>
      </c>
      <c r="HI37" s="21">
        <f>EXP(-LN(2)/2)*HI36+(1-EXP(-LN(2)/2))/(LN(2)/2)*HC37*HF37*VLOOKUP('Données projet'!$B$18,Paramètres!$A$1:$I$89,3,0)*0.475*44/12</f>
        <v>2.111660654082701</v>
      </c>
      <c r="HJ37" s="22">
        <f t="shared" si="30"/>
        <v>36.599126087367523</v>
      </c>
    </row>
    <row r="38" spans="1:218" x14ac:dyDescent="0.2">
      <c r="A38" s="10">
        <f t="shared" si="31"/>
        <v>35</v>
      </c>
      <c r="B38" s="71">
        <f>'Scénario référence'!$B$16*5+'Scénario référence'!$B$17*0+'Scénario référence'!$B$18*5</f>
        <v>3.3000000000000003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12.100000000000001</v>
      </c>
      <c r="H38" s="65">
        <f t="shared" si="1"/>
        <v>208.26666666666665</v>
      </c>
      <c r="I38" s="6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61.057095890423412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79</v>
      </c>
      <c r="L38" s="12">
        <f>VLOOKUP(A38,'Données projet'!$A$35:$I$55,9,0)</f>
        <v>5</v>
      </c>
      <c r="M38" s="12">
        <f t="array" ref="M38">INDEX(L:L,MIN(IF(ISNUMBER(L38:L234),ROW(L38:L234),"")))</f>
        <v>5</v>
      </c>
      <c r="N38" s="13">
        <f>IF('Données projet'!$A$36&gt;35,N37+M38-V37,IF(A38&lt;'Données projet'!$A$36,$K$205^A38,IF(A38='Données projet'!$A$36,'Données projet'!$B$36,N37+M38-V37)))</f>
        <v>78.999999999999986</v>
      </c>
      <c r="O38" s="13">
        <f>N38*VLOOKUP('Données projet'!$B$9,Paramètres!$A$1:$I$89,3,0)*VLOOKUP('Données projet'!$B$9,Paramètres!$A$1:$I$89,5,0)</f>
        <v>80.105999999999995</v>
      </c>
      <c r="P38" s="13">
        <f t="shared" si="33"/>
        <v>22.163099682076496</v>
      </c>
      <c r="Q38" s="20">
        <f t="shared" si="53"/>
        <v>178.11868194628323</v>
      </c>
      <c r="R38" s="57">
        <f t="shared" si="0"/>
        <v>438.66136687783575</v>
      </c>
      <c r="S38" s="57">
        <f ca="1">AVERAGE(OFFSET($R$3,0,0,'Données projet'!$E$9+1,1))-AVERAGE(OFFSET($H$3,0,0,'Données projet'!$E$9+1,1))</f>
        <v>332.70145542047612</v>
      </c>
      <c r="T38" s="57">
        <f t="shared" si="34"/>
        <v>172.22433737900428</v>
      </c>
      <c r="U38" s="15">
        <f>IF(ISNA(VLOOKUP(A38,'Données projet'!$A$35:$I$55,3,0)),0,VLOOKUP(A38,'Données projet'!$A$35:$I$55,3,0))</f>
        <v>3</v>
      </c>
      <c r="V38" s="15">
        <f>IF(ISNA(VLOOKUP(A38,'Données projet'!$A$35:$I$55,4,0)),0,VLOOKUP(A38,'Données projet'!$A$35:$I$55,4,0))</f>
        <v>13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61.057095890423412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4.3352272727272725</v>
      </c>
      <c r="AI38" s="13">
        <f>IF('Données projet'!$A$62&gt;35,AI37+AH38-AQ37,IF(A38&lt;'Données projet'!$A$62,$AF$205^A38,IF(A38='Données projet'!$A$62,'Données projet'!$B$62,AI37+AH38-AQ37)))</f>
        <v>151.7329545454545</v>
      </c>
      <c r="AJ38" s="13">
        <f>AI38*VLOOKUP('Données projet'!$B$10,Paramètres!$A$1:$I$89,3,0)*VLOOKUP('Données projet'!$B$10,Paramètres!$A$1:$I$89,5,0)</f>
        <v>137.28797727272723</v>
      </c>
      <c r="AK38" s="13">
        <f t="shared" si="35"/>
        <v>35.675013615107098</v>
      </c>
      <c r="AL38" s="20">
        <f t="shared" si="4"/>
        <v>301.24387579631144</v>
      </c>
      <c r="AM38" s="57">
        <f t="shared" si="5"/>
        <v>561.78656072786396</v>
      </c>
      <c r="AN38" s="57">
        <f ca="1">AVERAGE(OFFSET($AM$3,0,0,'Données projet'!$E$10+1,1))-AVERAGE(OFFSET($H$3,0,0,'Données projet'!$E$10+1,1))</f>
        <v>469.4210143164521</v>
      </c>
      <c r="AO38" s="57">
        <f t="shared" si="36"/>
        <v>308.4508386530556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61.057095890423412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206</v>
      </c>
      <c r="BB38" s="12">
        <f>VLOOKUP(A38,'Données projet'!$A$87:$I$107,9,0)</f>
        <v>12.8</v>
      </c>
      <c r="BC38" s="12">
        <f t="array" ref="BC38">INDEX(BB:BB,MIN(IF(ISNUMBER(BB38:BB234),ROW(BB38:BB234),"")))</f>
        <v>12.8</v>
      </c>
      <c r="BD38" s="12">
        <f>IF('Données projet'!$A$88&gt;35,BD37+BC38-BL37,IF(A38&lt;'Données projet'!$A$88,$BA$205^A38,IF(A38='Données projet'!$A$88,'Données projet'!$B$88,BD37+BC38-BL37)))</f>
        <v>205.99999999999997</v>
      </c>
      <c r="BE38" s="13">
        <f>BD38*VLOOKUP('Données projet'!$B$11,Paramètres!$A$1:$I$89,3,0)*VLOOKUP('Données projet'!$B$11,Paramètres!$A$1:$I$89,5,0)</f>
        <v>151.03919999999997</v>
      </c>
      <c r="BF38" s="13">
        <f t="shared" si="37"/>
        <v>38.814652571726079</v>
      </c>
      <c r="BG38" s="20">
        <f t="shared" si="7"/>
        <v>330.66212656242288</v>
      </c>
      <c r="BH38" s="57">
        <f t="shared" si="8"/>
        <v>591.2048114939754</v>
      </c>
      <c r="BI38" s="57">
        <f ca="1">AVERAGE(OFFSET($BH$3,0,0,'Données projet'!$E$11+1,1))-AVERAGE(OFFSET($H$3,0,0,'Données projet'!$E$11+1,1))</f>
        <v>344.32981377462971</v>
      </c>
      <c r="BJ38" s="57">
        <f t="shared" si="38"/>
        <v>334.42512656625763</v>
      </c>
      <c r="BK38" s="15">
        <f>IF(ISNA(VLOOKUP(A38,'Données projet'!$A$87:$I$107,3,0)),0,VLOOKUP(A38,'Données projet'!$A$87:$I$107,3,0))</f>
        <v>6</v>
      </c>
      <c r="BL38" s="15">
        <f>IF(ISNA(VLOOKUP(A38,'Données projet'!$A$87:$I$107,4,0)),0,VLOOKUP(A38,'Données projet'!$A$87:$I$107,4,0))</f>
        <v>35</v>
      </c>
      <c r="BM38" s="16">
        <f>IF(ISNA(VLOOKUP(A38,'Données projet'!$A$87:$I$107,5,0)),0%,VLOOKUP(A38,'Données projet'!$A$87:$I$107,5,0)*VLOOKUP('Données projet'!$B$11,Paramètres!$A$1:$I$89,7,0))</f>
        <v>0.17200000000000001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14.509748211280925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14.509748211280925</v>
      </c>
      <c r="BT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61.057095890423412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200</v>
      </c>
      <c r="BW38" s="12">
        <f>VLOOKUP(A38,'Données projet'!$A$113:$I$133,9,0)</f>
        <v>12</v>
      </c>
      <c r="BX38" s="12">
        <f t="array" ref="BX38">INDEX(BW:BW,MIN(IF(ISNUMBER(BW38:BW234),ROW(BW38:BW234),"")))</f>
        <v>12</v>
      </c>
      <c r="BY38" s="12">
        <f>IF('Données projet'!$A$114&gt;35,BY37+BX38-CG37,IF(A38&lt;'Données projet'!$A$114,$BV$205^A38,IF(A38='Données projet'!$A$114,'Données projet'!$B$114,BY37+BX38-CG37)))</f>
        <v>199.99999999999997</v>
      </c>
      <c r="BZ38" s="13">
        <f>BY38*VLOOKUP('Données projet'!$B$12,Paramètres!$A$1:$I$89,3,0)*VLOOKUP('Données projet'!$B$12,Paramètres!$A$1:$I$89,5,0)</f>
        <v>190.32</v>
      </c>
      <c r="CA38" s="13">
        <f t="shared" si="39"/>
        <v>47.61069337740188</v>
      </c>
      <c r="CB38" s="20">
        <f t="shared" si="10"/>
        <v>414.39595763230818</v>
      </c>
      <c r="CC38" s="57">
        <f t="shared" si="11"/>
        <v>674.93864256386064</v>
      </c>
      <c r="CD38" s="57">
        <f ca="1">AVERAGE(OFFSET($CC$3,0,0,'Données projet'!$E$12+1,1))-AVERAGE(OFFSET($H$3,0,0,'Données projet'!$E$12+1,1))</f>
        <v>498.77732039282807</v>
      </c>
      <c r="CE38" s="57">
        <f t="shared" si="40"/>
        <v>384.57317421826531</v>
      </c>
      <c r="CF38" s="15">
        <f>IF(ISNA(VLOOKUP(A38,'Données projet'!$A$113:$I$133,3,0)),0,VLOOKUP(A38,'Données projet'!$A$113:$I$133,3,0))</f>
        <v>3</v>
      </c>
      <c r="CG38" s="15">
        <f>IF(ISNA(VLOOKUP(A38,'Données projet'!$A$113:$I$133,4,0)),0,VLOOKUP(A38,'Données projet'!$A$113:$I$133,4,0))</f>
        <v>26</v>
      </c>
      <c r="CH38" s="16">
        <f>IF(ISNA(VLOOKUP(A38,'Données projet'!$A$113:$I$133,5,0)),0%,VLOOKUP(A38,'Données projet'!$A$113:$I$133,5,0)*VLOOKUP('Données projet'!$B$12,Paramètres!$A$1:$I$89,7,0))</f>
        <v>8.6000000000000007E-2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2.3521951110337103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2.3521951110337103</v>
      </c>
      <c r="CO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61.057095890423412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4.3352272727272725</v>
      </c>
      <c r="CT38" s="12">
        <f>IF('Données projet'!$A$140&gt;35,CT37+CS38-DB37,IF(A38&lt;'Données projet'!$A$140,$CQ$205^A38,IF(A38='Données projet'!$A$140,'Données projet'!$B$140,CT37+CS38-DB37)))</f>
        <v>151.7329545454545</v>
      </c>
      <c r="CU38" s="17">
        <f>CT38*VLOOKUP('Données projet'!$B$13,Paramètres!$A$1:$I$89,3,0)*VLOOKUP('Données projet'!$B$13,Paramètres!$A$1:$I$89,5,0)</f>
        <v>101.78246590909087</v>
      </c>
      <c r="CV38" s="13">
        <f t="shared" si="41"/>
        <v>27.386207838718622</v>
      </c>
      <c r="CW38" s="20">
        <f t="shared" si="13"/>
        <v>224.96877344410152</v>
      </c>
      <c r="CX38" s="57">
        <f t="shared" si="14"/>
        <v>485.511458375654</v>
      </c>
      <c r="CY38" s="57">
        <f ca="1">AVERAGE(OFFSET($CX$3,0,0,'Données projet'!$E$13+1,1))-AVERAGE(OFFSET($H$3,0,0,'Données projet'!$E$13+1,1))</f>
        <v>365.99625753737246</v>
      </c>
      <c r="CZ38" s="57">
        <f t="shared" si="42"/>
        <v>242.84814712692287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61.057095890423412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208</v>
      </c>
      <c r="DM38" s="12">
        <f>VLOOKUP(A38,'Données projet'!$A$165:$I$185,9,0)</f>
        <v>9.6</v>
      </c>
      <c r="DN38" s="12">
        <f t="array" ref="DN38">INDEX(DM:DM,MIN(IF(ISNUMBER(DM38:DM234),ROW(DM38:DM234),"")))</f>
        <v>9.6</v>
      </c>
      <c r="DO38" s="12">
        <f>IF('Données projet'!$A$166&gt;35,DO37+DN38-DW37,IF(A38&lt;'Données projet'!$A$166,$DL$205^A38,IF(A38='Données projet'!$A$166,'Données projet'!$B$166,DO37+DN38-DW37)))</f>
        <v>207.99999999999997</v>
      </c>
      <c r="DP38" s="17">
        <f>DO38*VLOOKUP('Données projet'!$B$14,Paramètres!$A$1:$I$89,3,0)*VLOOKUP('Données projet'!$B$14,Paramètres!$A$1:$I$89,5,0)</f>
        <v>136.28159999999997</v>
      </c>
      <c r="DQ38" s="13">
        <f t="shared" si="43"/>
        <v>35.443842312892279</v>
      </c>
      <c r="DR38" s="20">
        <f t="shared" si="16"/>
        <v>299.08847869495401</v>
      </c>
      <c r="DS38" s="57">
        <f t="shared" si="17"/>
        <v>559.63116362650658</v>
      </c>
      <c r="DT38" s="57">
        <f ca="1">AVERAGE(OFFSET($DS$3,0,0,'Données projet'!$E$14+1,1))-AVERAGE(OFFSET($H$3,0,0,'Données projet'!$E$14+1,1))</f>
        <v>313.79279628660527</v>
      </c>
      <c r="DU38" s="57">
        <f t="shared" si="44"/>
        <v>317.45469955216254</v>
      </c>
      <c r="DV38" s="15">
        <f>IF(ISNA(VLOOKUP(A38,'Données projet'!$A$165:$I$185,3,0)),0,VLOOKUP(A38,'Données projet'!$A$165:$I$185,3,0))</f>
        <v>6</v>
      </c>
      <c r="DW38" s="15">
        <f>IF(ISNA(VLOOKUP(A38,'Données projet'!$A$165:$I$185,4,0)),0,VLOOKUP(A38,'Données projet'!$A$165:$I$185,4,0))</f>
        <v>28</v>
      </c>
      <c r="DX38" s="16">
        <f>IF(ISNA(VLOOKUP(A38,'Données projet'!$A$165:$I$185,5,0)),0%,VLOOKUP(A38,'Données projet'!$A$165:$I$185,5,0)*VLOOKUP('Données projet'!$B$14,Paramètres!$A$1:$I$89,7,0))</f>
        <v>8.6000000000000007E-2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3.2109839803955977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3.2109839803955977</v>
      </c>
      <c r="EE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61.057095890423412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24.333333333333332</v>
      </c>
      <c r="EJ38" s="12">
        <f>IF('Données projet'!$A$192&gt;35,EJ37+EI38-ER37,IF(A38&lt;'Données projet'!$A$192,$EG$205^A38,IF(A38='Données projet'!$A$192,'Données projet'!$B$192,EJ37+EI38-ER37)))</f>
        <v>301.66666666666674</v>
      </c>
      <c r="EK38" s="17">
        <f>EJ38*VLOOKUP('Données projet'!$B$15,Paramètres!$A$1:$I$89,3,0)*VLOOKUP('Données projet'!$B$15,Paramètres!$A$1:$I$89,5,0)</f>
        <v>258.8300000000001</v>
      </c>
      <c r="EL38" s="13">
        <f t="shared" si="45"/>
        <v>62.472915810291624</v>
      </c>
      <c r="EM38" s="20">
        <f t="shared" si="19"/>
        <v>559.60257836959147</v>
      </c>
      <c r="EN38" s="57">
        <f t="shared" si="20"/>
        <v>820.14526330114404</v>
      </c>
      <c r="EO38" s="57">
        <f ca="1">AVERAGE(OFFSET($EN$3,0,0,'Données projet'!$E$15+1,1))-AVERAGE(OFFSET($H$3,0,0,'Données projet'!$E$15+1,1))</f>
        <v>643.04899298561475</v>
      </c>
      <c r="EP38" s="57">
        <f t="shared" si="46"/>
        <v>474.94999304483031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6.5564457917110053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6.5564457917110053</v>
      </c>
      <c r="EZ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61.057095890423412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206</v>
      </c>
      <c r="FC38" s="12">
        <f>VLOOKUP(A38,'Données projet'!$A$217:$I$237,9,0)</f>
        <v>12.8</v>
      </c>
      <c r="FD38" s="12">
        <f t="array" ref="FD38">INDEX(FC:FC,MIN(IF(ISNUMBER(FC38:FC234),ROW(FC38:FC234),"")))</f>
        <v>12.8</v>
      </c>
      <c r="FE38" s="12">
        <f>IF('Données projet'!$A$218&gt;35,FE37+FD38-FM37,IF(A38&lt;'Données projet'!$A$218,$FB$205^A38,IF(A38='Données projet'!$A$218,'Données projet'!$B$218,FE37+FD38-FM37)))</f>
        <v>205.99999999999997</v>
      </c>
      <c r="FF38" s="17">
        <f>FE38*VLOOKUP('Données projet'!$B$16,Paramètres!$A$1:$I$89,3,0)*VLOOKUP('Données projet'!$B$16,Paramètres!$A$1:$I$89,5,0)</f>
        <v>167.10719999999998</v>
      </c>
      <c r="FG38" s="13">
        <f t="shared" si="47"/>
        <v>42.44148687166966</v>
      </c>
      <c r="FH38" s="20">
        <f t="shared" si="22"/>
        <v>364.96396296815789</v>
      </c>
      <c r="FI38" s="57">
        <f t="shared" si="23"/>
        <v>625.5066478997104</v>
      </c>
      <c r="FJ38" s="57">
        <f ca="1">AVERAGE(OFFSET($FI$3,0,0,'Données projet'!$E$16+1,1))-AVERAGE(OFFSET($H$3,0,0,'Données projet'!$E$16+1,1))</f>
        <v>375.34603719604439</v>
      </c>
      <c r="FK38" s="57">
        <f t="shared" si="48"/>
        <v>363.99476973672211</v>
      </c>
      <c r="FL38" s="15">
        <f>IF(ISNA(VLOOKUP(A38,'Données projet'!$A$217:$I$237,3,0)),0,VLOOKUP(A38,'Données projet'!$A$217:$I$237,3,0))</f>
        <v>6</v>
      </c>
      <c r="FM38" s="15">
        <f>IF(ISNA(VLOOKUP(A38,'Données projet'!$A$217:$I$237,4,0)),0,VLOOKUP(A38,'Données projet'!$A$217:$I$237,4,0))</f>
        <v>35</v>
      </c>
      <c r="FN38" s="16">
        <f>IF(ISNA(VLOOKUP(A38,'Données projet'!$A$217:$I$237,5,0)),0%,VLOOKUP(A38,'Données projet'!$A$217:$I$237,5,0)*VLOOKUP('Données projet'!$B$16,Paramètres!$A$1:$I$89,7,0))</f>
        <v>0.21200000000000002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19.786672968970919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19.786672968970919</v>
      </c>
      <c r="FU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61.057095890423412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28.636666666666667</v>
      </c>
      <c r="FZ38" s="12">
        <f>IF('Données projet'!$A$244&gt;35,FZ37+FY38-GH37,IF(A38&lt;'Données projet'!$A$244,$FW$205^A38,IF(A38='Données projet'!$A$244,'Données projet'!$B$244,FZ37+FY38-GH37)))</f>
        <v>472.77333333333331</v>
      </c>
      <c r="GA38" s="17">
        <f>FZ38*VLOOKUP('Données projet'!$B$17,Paramètres!$A$1:$I$89,3,0)*VLOOKUP('Données projet'!$B$17,Paramètres!$A$1:$I$89,5,0)</f>
        <v>264.2802933333333</v>
      </c>
      <c r="GB38" s="13">
        <f t="shared" si="49"/>
        <v>63.633894652157629</v>
      </c>
      <c r="GC38" s="20">
        <f t="shared" si="25"/>
        <v>571.11721074139666</v>
      </c>
      <c r="GD38" s="57">
        <f t="shared" si="26"/>
        <v>831.65989567294923</v>
      </c>
      <c r="GE38" s="57">
        <f ca="1">AVERAGE(OFFSET($GD$3,0,0,'Données projet'!$E$17+1,1))-AVERAGE(OFFSET($H$3,0,0,'Données projet'!$E$17+1,1))</f>
        <v>414.47327143450701</v>
      </c>
      <c r="GF38" s="57">
        <f t="shared" si="50"/>
        <v>546.83385887302961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21.379666736377825</v>
      </c>
      <c r="GM38" s="21">
        <f>EXP(-LN(2)/25)*GM37+(1-EXP(-LN(2)/25))/(LN(2)/25)*Calculateur!GH38*Calculateur!GJ38*VLOOKUP('Données projet'!$B$17,Paramètres!$A$1:$I$89,3,0)*0.475*44/12</f>
        <v>24.275182524923036</v>
      </c>
      <c r="GN38" s="21">
        <f>EXP(-LN(2)/2)*GN37+(1-EXP(-LN(2)/2))/(LN(2)/2)*GH38*GK38*VLOOKUP('Données projet'!$B$17,Paramètres!$A$1:$I$89,3,0)*0.475*44/12</f>
        <v>2.6240121565498105</v>
      </c>
      <c r="GO38" s="21">
        <f t="shared" si="27"/>
        <v>48.278861417850671</v>
      </c>
      <c r="GP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61.057095890423412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>
        <f>VLOOKUP(A38,'Données projet'!$A$269:$I$289,2,0)</f>
        <v>257</v>
      </c>
      <c r="GS38" s="12">
        <f>VLOOKUP(A38,'Données projet'!$A$269:$I$289,9,0)</f>
        <v>15.6</v>
      </c>
      <c r="GT38" s="12">
        <f t="array" ref="GT38">INDEX(GS:GS,MIN(IF(ISNUMBER(GS38:GS234),ROW(GS38:GS234),"")))</f>
        <v>15.6</v>
      </c>
      <c r="GU38" s="12">
        <f>IF('Données projet'!$A$270&gt;35,GU37+GT38-HC37,IF(A38&lt;'Données projet'!$A$270,$GR$205^A38,IF(A38='Données projet'!$A$270,'Données projet'!$B$270,GU37+GT38-HC37)))</f>
        <v>257</v>
      </c>
      <c r="GV38" s="17">
        <f>GU38*VLOOKUP('Données projet'!$B$18,Paramètres!$A$1:$I$89,3,0)*VLOOKUP('Données projet'!$B$18,Paramètres!$A$1:$I$89,5,0)</f>
        <v>140.322</v>
      </c>
      <c r="GW38" s="13">
        <f t="shared" si="51"/>
        <v>36.370761307502868</v>
      </c>
      <c r="GX38" s="20">
        <f t="shared" si="28"/>
        <v>307.73989261056749</v>
      </c>
      <c r="GY38" s="57">
        <f t="shared" si="29"/>
        <v>568.28257754211995</v>
      </c>
      <c r="GZ38" s="57">
        <f ca="1">AVERAGE(OFFSET($GY$3,0,0,'Données projet'!$E$18+1,1))-AVERAGE(OFFSET($H$3,0,0,'Données projet'!$E$18+1,1))</f>
        <v>381.00532469288714</v>
      </c>
      <c r="HA38" s="57">
        <f t="shared" si="52"/>
        <v>314.875259641757</v>
      </c>
      <c r="HB38" s="15">
        <f>IF(ISNA(VLOOKUP(A38,'Données projet'!$A$269:$I$289,3,0)),0,VLOOKUP(A38,'Données projet'!$A$269:$I$289,3,0))</f>
        <v>6</v>
      </c>
      <c r="HC38" s="15">
        <f>IF(ISNA(VLOOKUP(A38,'Données projet'!$A$269:$I$289,4,0)),0,VLOOKUP(A38,'Données projet'!$A$269:$I$289,4,0))</f>
        <v>42</v>
      </c>
      <c r="HD38" s="16">
        <f>IF(ISNA(VLOOKUP(A38,'Données projet'!$A$269:$I$289,5,0)),0%,VLOOKUP(A38,'Données projet'!$A$269:$I$289,5,0)*VLOOKUP('Données projet'!$B$18,Paramètres!$A$1:$I$89,7,0))</f>
        <v>0.24</v>
      </c>
      <c r="HE38" s="16">
        <f>IF(ISNA(VLOOKUP(A38,'Données projet'!$A$269:$I$289,6,0)),0%,VLOOKUP(A38,'Données projet'!$A$269:$I$289,6,0)*VLOOKUP('Données projet'!$B$18,Paramètres!$A$1:$I$89,7,0))</f>
        <v>0.20400000000000001</v>
      </c>
      <c r="HF38" s="16">
        <f>IF(ISNA(VLOOKUP(A38,'Données projet'!$A$269:$I$289,7,0)),0%,VLOOKUP(A38,'Données projet'!$A$269:$I$289,7,0))</f>
        <v>0.26</v>
      </c>
      <c r="HG38" s="21">
        <f>EXP(-LN(2)/35)*HG37+(1-EXP(-LN(2)/35))/(LN(2)/35)*HC38*HD38*VLOOKUP('Données projet'!$B$18,Paramètres!$A$1:$I$89,3,0)*0.475*44/12</f>
        <v>23.526892569175722</v>
      </c>
      <c r="HH38" s="21">
        <f>EXP(-LN(2)/25)*HH37+(1-EXP(-LN(2)/25))/(LN(2)/25)*Calculateur!HC38*Calculateur!HE38*VLOOKUP('Données projet'!$B$18,Paramètres!$A$1:$I$89,3,0)*0.475*44/12</f>
        <v>23.627929843155769</v>
      </c>
      <c r="HI38" s="21">
        <f>EXP(-LN(2)/2)*HI37+(1-EXP(-LN(2)/2))/(LN(2)/2)*HC38*HF38*VLOOKUP('Données projet'!$B$18,Paramètres!$A$1:$I$89,3,0)*0.475*44/12</f>
        <v>8.243900840254696</v>
      </c>
      <c r="HJ38" s="22">
        <f t="shared" si="30"/>
        <v>55.398723252586187</v>
      </c>
    </row>
    <row r="39" spans="1:218" x14ac:dyDescent="0.2">
      <c r="A39" s="10">
        <f t="shared" si="31"/>
        <v>36</v>
      </c>
      <c r="B39" s="71">
        <f>'Scénario référence'!$B$16*5+'Scénario référence'!$B$17*0+'Scénario référence'!$B$18*5</f>
        <v>3.3000000000000003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12.100000000000001</v>
      </c>
      <c r="H39" s="65">
        <f t="shared" si="1"/>
        <v>208.26666666666665</v>
      </c>
      <c r="I39" s="6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61.212235283386192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5.4</v>
      </c>
      <c r="N39" s="13">
        <f>IF('Données projet'!$A$36&gt;35,N38+M39-V38,IF(A39&lt;'Données projet'!$A$36,$K$205^A39,IF(A39='Données projet'!$A$36,'Données projet'!$B$36,N38+M39-V38)))</f>
        <v>71.399999999999991</v>
      </c>
      <c r="O39" s="13">
        <f>N39*VLOOKUP('Données projet'!$B$9,Paramètres!$A$1:$I$89,3,0)*VLOOKUP('Données projet'!$B$9,Paramètres!$A$1:$I$89,5,0)</f>
        <v>72.399599999999992</v>
      </c>
      <c r="P39" s="13">
        <f t="shared" si="33"/>
        <v>20.268188832715463</v>
      </c>
      <c r="Q39" s="20">
        <f t="shared" si="53"/>
        <v>161.3963988836461</v>
      </c>
      <c r="R39" s="57">
        <f t="shared" si="0"/>
        <v>422.50792825606214</v>
      </c>
      <c r="S39" s="57">
        <f ca="1">AVERAGE(OFFSET($R$3,0,0,'Données projet'!$E$9+1,1))-AVERAGE(OFFSET($H$3,0,0,'Données projet'!$E$9+1,1))</f>
        <v>332.70145542047612</v>
      </c>
      <c r="T39" s="57">
        <f t="shared" si="34"/>
        <v>172.22433737900428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61.212235283386192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4.3352272727272725</v>
      </c>
      <c r="AI39" s="13">
        <f>IF('Données projet'!$A$62&gt;35,AI38+AH39-AQ38,IF(A39&lt;'Données projet'!$A$62,$AF$205^A39,IF(A39='Données projet'!$A$62,'Données projet'!$B$62,AI38+AH39-AQ38)))</f>
        <v>156.06818181818178</v>
      </c>
      <c r="AJ39" s="13">
        <f>AI39*VLOOKUP('Données projet'!$B$10,Paramètres!$A$1:$I$89,3,0)*VLOOKUP('Données projet'!$B$10,Paramètres!$A$1:$I$89,5,0)</f>
        <v>141.21049090909085</v>
      </c>
      <c r="AK39" s="13">
        <f t="shared" si="35"/>
        <v>36.574172865260337</v>
      </c>
      <c r="AL39" s="20">
        <f t="shared" si="4"/>
        <v>309.64162274032839</v>
      </c>
      <c r="AM39" s="57">
        <f t="shared" si="5"/>
        <v>570.75315211274437</v>
      </c>
      <c r="AN39" s="57">
        <f ca="1">AVERAGE(OFFSET($AM$3,0,0,'Données projet'!$E$10+1,1))-AVERAGE(OFFSET($H$3,0,0,'Données projet'!$E$10+1,1))</f>
        <v>469.4210143164521</v>
      </c>
      <c r="AO39" s="57">
        <f t="shared" si="36"/>
        <v>308.4508386530556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61.212235283386192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11.4</v>
      </c>
      <c r="BD39" s="12">
        <f>IF('Données projet'!$A$88&gt;35,BD38+BC39-BL38,IF(A39&lt;'Données projet'!$A$88,$BA$205^A39,IF(A39='Données projet'!$A$88,'Données projet'!$B$88,BD38+BC39-BL38)))</f>
        <v>182.39999999999998</v>
      </c>
      <c r="BE39" s="13">
        <f>BD39*VLOOKUP('Données projet'!$B$11,Paramètres!$A$1:$I$89,3,0)*VLOOKUP('Données projet'!$B$11,Paramètres!$A$1:$I$89,5,0)</f>
        <v>133.73567999999997</v>
      </c>
      <c r="BF39" s="13">
        <f t="shared" si="37"/>
        <v>34.858136849359212</v>
      </c>
      <c r="BG39" s="20">
        <f t="shared" si="7"/>
        <v>293.6342310126339</v>
      </c>
      <c r="BH39" s="57">
        <f t="shared" si="8"/>
        <v>554.74576038504995</v>
      </c>
      <c r="BI39" s="57">
        <f ca="1">AVERAGE(OFFSET($BH$3,0,0,'Données projet'!$E$11+1,1))-AVERAGE(OFFSET($H$3,0,0,'Données projet'!$E$11+1,1))</f>
        <v>344.32981377462971</v>
      </c>
      <c r="BJ39" s="57">
        <f t="shared" si="38"/>
        <v>334.42512656625763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14.225220898930242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14.225220898930242</v>
      </c>
      <c r="BT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61.212235283386192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10.6</v>
      </c>
      <c r="BY39" s="12">
        <f>IF('Données projet'!$A$114&gt;35,BY38+BX39-CG38,IF(A39&lt;'Données projet'!$A$114,$BV$205^A39,IF(A39='Données projet'!$A$114,'Données projet'!$B$114,BY38+BX39-CG38)))</f>
        <v>184.59999999999997</v>
      </c>
      <c r="BZ39" s="13">
        <f>BY39*VLOOKUP('Données projet'!$B$12,Paramètres!$A$1:$I$89,3,0)*VLOOKUP('Données projet'!$B$12,Paramètres!$A$1:$I$89,5,0)</f>
        <v>175.66535999999996</v>
      </c>
      <c r="CA39" s="13">
        <f t="shared" si="39"/>
        <v>44.356444750972884</v>
      </c>
      <c r="CB39" s="20">
        <f t="shared" si="10"/>
        <v>383.20464327461104</v>
      </c>
      <c r="CC39" s="57">
        <f t="shared" si="11"/>
        <v>644.31617264702709</v>
      </c>
      <c r="CD39" s="57">
        <f ca="1">AVERAGE(OFFSET($CC$3,0,0,'Données projet'!$E$12+1,1))-AVERAGE(OFFSET($H$3,0,0,'Données projet'!$E$12+1,1))</f>
        <v>498.77732039282807</v>
      </c>
      <c r="CE39" s="57">
        <f t="shared" si="40"/>
        <v>384.57317421826531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2.3060699996036922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2.3060699996036922</v>
      </c>
      <c r="CO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61.212235283386192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4.3352272727272725</v>
      </c>
      <c r="CT39" s="12">
        <f>IF('Données projet'!$A$140&gt;35,CT38+CS39-DB38,IF(A39&lt;'Données projet'!$A$140,$CQ$205^A39,IF(A39='Données projet'!$A$140,'Données projet'!$B$140,CT38+CS39-DB38)))</f>
        <v>156.06818181818178</v>
      </c>
      <c r="CU39" s="17">
        <f>CT39*VLOOKUP('Données projet'!$B$13,Paramètres!$A$1:$I$89,3,0)*VLOOKUP('Données projet'!$B$13,Paramètres!$A$1:$I$89,5,0)</f>
        <v>104.69053636363634</v>
      </c>
      <c r="CV39" s="13">
        <f t="shared" si="41"/>
        <v>28.07645458593716</v>
      </c>
      <c r="CW39" s="20">
        <f t="shared" si="13"/>
        <v>231.2358425705072</v>
      </c>
      <c r="CX39" s="57">
        <f t="shared" si="14"/>
        <v>492.34737194292325</v>
      </c>
      <c r="CY39" s="57">
        <f ca="1">AVERAGE(OFFSET($CX$3,0,0,'Données projet'!$E$13+1,1))-AVERAGE(OFFSET($H$3,0,0,'Données projet'!$E$13+1,1))</f>
        <v>365.99625753737246</v>
      </c>
      <c r="CZ39" s="57">
        <f t="shared" si="42"/>
        <v>242.84814712692287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61.212235283386192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8.8000000000000007</v>
      </c>
      <c r="DO39" s="12">
        <f>IF('Données projet'!$A$166&gt;35,DO38+DN39-DW38,IF(A39&lt;'Données projet'!$A$166,$DL$205^A39,IF(A39='Données projet'!$A$166,'Données projet'!$B$166,DO38+DN39-DW38)))</f>
        <v>188.79999999999998</v>
      </c>
      <c r="DP39" s="17">
        <f>DO39*VLOOKUP('Données projet'!$B$14,Paramètres!$A$1:$I$89,3,0)*VLOOKUP('Données projet'!$B$14,Paramètres!$A$1:$I$89,5,0)</f>
        <v>123.70175999999999</v>
      </c>
      <c r="DQ39" s="13">
        <f t="shared" si="43"/>
        <v>32.536841470486884</v>
      </c>
      <c r="DR39" s="20">
        <f t="shared" si="16"/>
        <v>272.11556422776465</v>
      </c>
      <c r="DS39" s="57">
        <f t="shared" si="17"/>
        <v>533.22709360018075</v>
      </c>
      <c r="DT39" s="57">
        <f ca="1">AVERAGE(OFFSET($DS$3,0,0,'Données projet'!$E$14+1,1))-AVERAGE(OFFSET($H$3,0,0,'Données projet'!$E$14+1,1))</f>
        <v>313.79279628660527</v>
      </c>
      <c r="DU39" s="57">
        <f t="shared" si="44"/>
        <v>317.45469955216254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3.1480185430468817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3.1480185430468817</v>
      </c>
      <c r="EE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61.212235283386192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>
        <f>VLOOKUP(A39,'Données projet'!$A$191:$I$211,2,0)</f>
        <v>326</v>
      </c>
      <c r="EH39" s="12">
        <f>VLOOKUP(A39,'Données projet'!$A$191:$I$211,9,0)</f>
        <v>24.333333333333332</v>
      </c>
      <c r="EI39" s="12">
        <f t="array" ref="EI39">INDEX(EH:EH,MIN(IF(ISNUMBER(EH39:EH235),ROW(EH39:EH235),"")))</f>
        <v>24.333333333333332</v>
      </c>
      <c r="EJ39" s="12">
        <f>IF('Données projet'!$A$192&gt;35,EJ38+EI39-ER38,IF(A39&lt;'Données projet'!$A$192,$EG$205^A39,IF(A39='Données projet'!$A$192,'Données projet'!$B$192,EJ38+EI39-ER38)))</f>
        <v>326.00000000000006</v>
      </c>
      <c r="EK39" s="17">
        <f>EJ39*VLOOKUP('Données projet'!$B$15,Paramètres!$A$1:$I$89,3,0)*VLOOKUP('Données projet'!$B$15,Paramètres!$A$1:$I$89,5,0)</f>
        <v>279.70800000000008</v>
      </c>
      <c r="EL39" s="13">
        <f t="shared" si="45"/>
        <v>66.905297140324564</v>
      </c>
      <c r="EM39" s="20">
        <f t="shared" si="19"/>
        <v>603.68482585273216</v>
      </c>
      <c r="EN39" s="57">
        <f t="shared" si="20"/>
        <v>864.7963552251482</v>
      </c>
      <c r="EO39" s="57">
        <f ca="1">AVERAGE(OFFSET($EN$3,0,0,'Données projet'!$E$15+1,1))-AVERAGE(OFFSET($H$3,0,0,'Données projet'!$E$15+1,1))</f>
        <v>643.04899298561475</v>
      </c>
      <c r="EP39" s="57">
        <f t="shared" si="46"/>
        <v>474.94999304483031</v>
      </c>
      <c r="EQ39" s="15">
        <f>IF(ISNA(VLOOKUP(A39,'Données projet'!$A$191:$I$211,3,0)),0,VLOOKUP(A39,'Données projet'!$A$191:$I$211,3,0))</f>
        <v>7</v>
      </c>
      <c r="ER39" s="15">
        <f>IF(ISNA(VLOOKUP(A39,'Données projet'!$A$191:$I$211,4,0)),0,VLOOKUP(A39,'Données projet'!$A$191:$I$211,4,0))</f>
        <v>92</v>
      </c>
      <c r="ES39" s="16">
        <f>IF(ISNA(VLOOKUP(A39,'Données projet'!$A$191:$I$211,5,0)),0%,VLOOKUP(A39,'Données projet'!$A$191:$I$211,5,0)*VLOOKUP('Données projet'!$B$15,Paramètres!$A$1:$I$89,7,0))</f>
        <v>0.21200000000000002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24.927296783080966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24.927296783080966</v>
      </c>
      <c r="EZ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61.212235283386192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11.4</v>
      </c>
      <c r="FE39" s="12">
        <f>IF('Données projet'!$A$218&gt;35,FE38+FD39-FM38,IF(A39&lt;'Données projet'!$A$218,$FB$205^A39,IF(A39='Données projet'!$A$218,'Données projet'!$B$218,FE38+FD39-FM38)))</f>
        <v>182.39999999999998</v>
      </c>
      <c r="FF39" s="17">
        <f>FE39*VLOOKUP('Données projet'!$B$16,Paramètres!$A$1:$I$89,3,0)*VLOOKUP('Données projet'!$B$16,Paramètres!$A$1:$I$89,5,0)</f>
        <v>147.96287999999998</v>
      </c>
      <c r="FG39" s="13">
        <f t="shared" si="47"/>
        <v>38.115275017059226</v>
      </c>
      <c r="FH39" s="20">
        <f t="shared" si="22"/>
        <v>324.08611998804474</v>
      </c>
      <c r="FI39" s="57">
        <f t="shared" si="23"/>
        <v>585.19764936046079</v>
      </c>
      <c r="FJ39" s="57">
        <f ca="1">AVERAGE(OFFSET($FI$3,0,0,'Données projet'!$E$16+1,1))-AVERAGE(OFFSET($H$3,0,0,'Données projet'!$E$16+1,1))</f>
        <v>375.34603719604439</v>
      </c>
      <c r="FK39" s="57">
        <f t="shared" si="48"/>
        <v>363.99476973672211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19.398668380728228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19.398668380728228</v>
      </c>
      <c r="FU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61.212235283386192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>
        <f>VLOOKUP(A39,'Données projet'!$A$243:$I$263,2,0)</f>
        <v>501.41</v>
      </c>
      <c r="FX39" s="12">
        <f>VLOOKUP(A39,'Données projet'!$A$243:$I$263,9,0)</f>
        <v>28.636666666666667</v>
      </c>
      <c r="FY39" s="12">
        <f t="array" ref="FY39">INDEX(FX:FX,MIN(IF(ISNUMBER(FX39:FX235),ROW(FX39:FX235),"")))</f>
        <v>28.636666666666667</v>
      </c>
      <c r="FZ39" s="12">
        <f>IF('Données projet'!$A$244&gt;35,FZ38+FY39-GH38,IF(A39&lt;'Données projet'!$A$244,$FW$205^A39,IF(A39='Données projet'!$A$244,'Données projet'!$B$244,FZ38+FY39-GH38)))</f>
        <v>501.40999999999997</v>
      </c>
      <c r="GA39" s="17">
        <f>FZ39*VLOOKUP('Données projet'!$B$17,Paramètres!$A$1:$I$89,3,0)*VLOOKUP('Données projet'!$B$17,Paramètres!$A$1:$I$89,5,0)</f>
        <v>280.28818999999999</v>
      </c>
      <c r="GB39" s="13">
        <f t="shared" si="49"/>
        <v>67.027908065763796</v>
      </c>
      <c r="GC39" s="20">
        <f t="shared" si="25"/>
        <v>604.90887079787183</v>
      </c>
      <c r="GD39" s="57">
        <f t="shared" si="26"/>
        <v>866.02040017028787</v>
      </c>
      <c r="GE39" s="57">
        <f ca="1">AVERAGE(OFFSET($GD$3,0,0,'Données projet'!$E$17+1,1))-AVERAGE(OFFSET($H$3,0,0,'Données projet'!$E$17+1,1))</f>
        <v>414.47327143450701</v>
      </c>
      <c r="GF39" s="57">
        <f t="shared" si="50"/>
        <v>546.83385887302961</v>
      </c>
      <c r="GG39" s="15">
        <f>IF(ISNA(VLOOKUP(A39,'Données projet'!$A$243:$I$263,3,0)),0,VLOOKUP(A39,'Données projet'!$A$243:$I$263,3,0))</f>
        <v>4</v>
      </c>
      <c r="GH39" s="15">
        <f>IF(ISNA(VLOOKUP(A39,'Données projet'!$A$243:$I$263,4,0)),0,VLOOKUP(A39,'Données projet'!$A$243:$I$263,4,0))</f>
        <v>85.88</v>
      </c>
      <c r="GI39" s="16">
        <f>IF(ISNA(VLOOKUP(A39,'Données projet'!$A$243:$I$263,5,0)),0%,VLOOKUP(A39,'Données projet'!$A$243:$I$263,5,0)*VLOOKUP('Données projet'!$B$17,Paramètres!$A$1:$I$89,7,0))</f>
        <v>0.27500000000000002</v>
      </c>
      <c r="GJ39" s="16">
        <f>IF(ISNA(VLOOKUP(A39,'Données projet'!$A$243:$I$263,6,0)),0%,VLOOKUP(A39,'Données projet'!$A$243:$I$263,6,0)*VLOOKUP('Données projet'!$B$17,Paramètres!$A$1:$I$89,7,0))</f>
        <v>0.15400000000000003</v>
      </c>
      <c r="GK39" s="16">
        <f>IF(ISNA(VLOOKUP(A39,'Données projet'!$A$243:$I$263,7,0)),0%,VLOOKUP(A39,'Données projet'!$A$243:$I$263,7,0))</f>
        <v>0.22</v>
      </c>
      <c r="GL39" s="21">
        <f>EXP(-LN(2)/35)*GL38+(1-EXP(-LN(2)/35))/(LN(2)/35)*GH39*GI39*VLOOKUP('Données projet'!$B$17,Paramètres!$A$1:$I$89,3,0)*0.475*44/12</f>
        <v>38.473599775947179</v>
      </c>
      <c r="GM39" s="21">
        <f>EXP(-LN(2)/25)*GM38+(1-EXP(-LN(2)/25))/(LN(2)/25)*Calculateur!GH39*Calculateur!GJ39*VLOOKUP('Données projet'!$B$17,Paramètres!$A$1:$I$89,3,0)*0.475*44/12</f>
        <v>33.3801391453486</v>
      </c>
      <c r="GN39" s="21">
        <f>EXP(-LN(2)/2)*GN38+(1-EXP(-LN(2)/2))/(LN(2)/2)*GH39*GK39*VLOOKUP('Données projet'!$B$17,Paramètres!$A$1:$I$89,3,0)*0.475*44/12</f>
        <v>13.813553562141541</v>
      </c>
      <c r="GO39" s="21">
        <f t="shared" si="27"/>
        <v>85.667292483437322</v>
      </c>
      <c r="GP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61.212235283386192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14.6</v>
      </c>
      <c r="GU39" s="12">
        <f>IF('Données projet'!$A$270&gt;35,GU38+GT39-HC38,IF(A39&lt;'Données projet'!$A$270,$GR$205^A39,IF(A39='Données projet'!$A$270,'Données projet'!$B$270,GU38+GT39-HC38)))</f>
        <v>229.60000000000002</v>
      </c>
      <c r="GV39" s="17">
        <f>GU39*VLOOKUP('Données projet'!$B$18,Paramètres!$A$1:$I$89,3,0)*VLOOKUP('Données projet'!$B$18,Paramètres!$A$1:$I$89,5,0)</f>
        <v>125.36160000000001</v>
      </c>
      <c r="GW39" s="13">
        <f t="shared" si="51"/>
        <v>32.922305486586325</v>
      </c>
      <c r="GX39" s="20">
        <f t="shared" si="28"/>
        <v>275.67780205580448</v>
      </c>
      <c r="GY39" s="57">
        <f t="shared" si="29"/>
        <v>536.78933142822052</v>
      </c>
      <c r="GZ39" s="57">
        <f ca="1">AVERAGE(OFFSET($GY$3,0,0,'Données projet'!$E$18+1,1))-AVERAGE(OFFSET($H$3,0,0,'Données projet'!$E$18+1,1))</f>
        <v>381.00532469288714</v>
      </c>
      <c r="HA39" s="57">
        <f t="shared" si="52"/>
        <v>314.875259641757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>
        <f>EXP(-LN(2)/35)*HG38+(1-EXP(-LN(2)/35))/(LN(2)/35)*HC39*HD39*VLOOKUP('Données projet'!$B$18,Paramètres!$A$1:$I$89,3,0)*0.475*44/12</f>
        <v>23.065544555881708</v>
      </c>
      <c r="HH39" s="21">
        <f>EXP(-LN(2)/25)*HH38+(1-EXP(-LN(2)/25))/(LN(2)/25)*Calculateur!HC39*Calculateur!HE39*VLOOKUP('Données projet'!$B$18,Paramètres!$A$1:$I$89,3,0)*0.475*44/12</f>
        <v>22.981822859055846</v>
      </c>
      <c r="HI39" s="21">
        <f>EXP(-LN(2)/2)*HI38+(1-EXP(-LN(2)/2))/(LN(2)/2)*HC39*HF39*VLOOKUP('Données projet'!$B$18,Paramètres!$A$1:$I$89,3,0)*0.475*44/12</f>
        <v>5.8293181875735733</v>
      </c>
      <c r="HJ39" s="22">
        <f t="shared" si="30"/>
        <v>51.876685602511131</v>
      </c>
    </row>
    <row r="40" spans="1:218" x14ac:dyDescent="0.2">
      <c r="A40" s="10">
        <f t="shared" si="31"/>
        <v>37</v>
      </c>
      <c r="B40" s="71">
        <f>'Scénario référence'!$B$16*5+'Scénario référence'!$B$17*0+'Scénario référence'!$B$18*5</f>
        <v>3.3000000000000003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12.100000000000001</v>
      </c>
      <c r="H40" s="65">
        <f t="shared" si="1"/>
        <v>208.26666666666665</v>
      </c>
      <c r="I40" s="6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61.364683354720796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5.4</v>
      </c>
      <c r="N40" s="13">
        <f>IF('Données projet'!$A$36&gt;35,N39+M40-V39,IF(A40&lt;'Données projet'!$A$36,$K$205^A40,IF(A40='Données projet'!$A$36,'Données projet'!$B$36,N39+M40-V39)))</f>
        <v>76.8</v>
      </c>
      <c r="O40" s="13">
        <f>N40*VLOOKUP('Données projet'!$B$9,Paramètres!$A$1:$I$89,3,0)*VLOOKUP('Données projet'!$B$9,Paramètres!$A$1:$I$89,5,0)</f>
        <v>77.875200000000007</v>
      </c>
      <c r="P40" s="13">
        <f t="shared" si="33"/>
        <v>21.616848354491538</v>
      </c>
      <c r="Q40" s="20">
        <f t="shared" si="53"/>
        <v>173.28198421740612</v>
      </c>
      <c r="R40" s="57">
        <f t="shared" si="0"/>
        <v>434.95248985138232</v>
      </c>
      <c r="S40" s="57">
        <f ca="1">AVERAGE(OFFSET($R$3,0,0,'Données projet'!$E$9+1,1))-AVERAGE(OFFSET($H$3,0,0,'Données projet'!$E$9+1,1))</f>
        <v>332.70145542047612</v>
      </c>
      <c r="T40" s="57">
        <f t="shared" si="34"/>
        <v>172.22433737900428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61.364683354720796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4.3352272727272725</v>
      </c>
      <c r="AI40" s="13">
        <f>IF('Données projet'!$A$62&gt;35,AI39+AH40-AQ39,IF(A40&lt;'Données projet'!$A$62,$AF$205^A40,IF(A40='Données projet'!$A$62,'Données projet'!$B$62,AI39+AH40-AQ39)))</f>
        <v>160.40340909090907</v>
      </c>
      <c r="AJ40" s="13">
        <f>AI40*VLOOKUP('Données projet'!$B$10,Paramètres!$A$1:$I$89,3,0)*VLOOKUP('Données projet'!$B$10,Paramètres!$A$1:$I$89,5,0)</f>
        <v>145.13300454545453</v>
      </c>
      <c r="AK40" s="13">
        <f t="shared" si="35"/>
        <v>37.470429134392994</v>
      </c>
      <c r="AL40" s="20">
        <f t="shared" si="4"/>
        <v>318.03431365906772</v>
      </c>
      <c r="AM40" s="57">
        <f t="shared" si="5"/>
        <v>579.70481929304401</v>
      </c>
      <c r="AN40" s="57">
        <f ca="1">AVERAGE(OFFSET($AM$3,0,0,'Données projet'!$E$10+1,1))-AVERAGE(OFFSET($H$3,0,0,'Données projet'!$E$10+1,1))</f>
        <v>469.4210143164521</v>
      </c>
      <c r="AO40" s="57">
        <f t="shared" si="36"/>
        <v>308.4508386530556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61.364683354720796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11.4</v>
      </c>
      <c r="BD40" s="12">
        <f>IF('Données projet'!$A$88&gt;35,BD39+BC40-BL39,IF(A40&lt;'Données projet'!$A$88,$BA$205^A40,IF(A40='Données projet'!$A$88,'Données projet'!$B$88,BD39+BC40-BL39)))</f>
        <v>193.79999999999998</v>
      </c>
      <c r="BE40" s="13">
        <f>BD40*VLOOKUP('Données projet'!$B$11,Paramètres!$A$1:$I$89,3,0)*VLOOKUP('Données projet'!$B$11,Paramètres!$A$1:$I$89,5,0)</f>
        <v>142.09415999999999</v>
      </c>
      <c r="BF40" s="13">
        <f t="shared" si="37"/>
        <v>36.77633279983236</v>
      </c>
      <c r="BG40" s="20">
        <f t="shared" si="7"/>
        <v>311.53277495970798</v>
      </c>
      <c r="BH40" s="57">
        <f t="shared" si="8"/>
        <v>573.20328059368421</v>
      </c>
      <c r="BI40" s="57">
        <f ca="1">AVERAGE(OFFSET($BH$3,0,0,'Données projet'!$E$11+1,1))-AVERAGE(OFFSET($H$3,0,0,'Données projet'!$E$11+1,1))</f>
        <v>344.32981377462971</v>
      </c>
      <c r="BJ40" s="57">
        <f t="shared" si="38"/>
        <v>334.42512656625763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13.946272993630233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13.946272993630233</v>
      </c>
      <c r="BT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61.364683354720796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10.6</v>
      </c>
      <c r="BY40" s="12">
        <f>IF('Données projet'!$A$114&gt;35,BY39+BX40-CG39,IF(A40&lt;'Données projet'!$A$114,$BV$205^A40,IF(A40='Données projet'!$A$114,'Données projet'!$B$114,BY39+BX40-CG39)))</f>
        <v>195.19999999999996</v>
      </c>
      <c r="BZ40" s="13">
        <f>BY40*VLOOKUP('Données projet'!$B$12,Paramètres!$A$1:$I$89,3,0)*VLOOKUP('Données projet'!$B$12,Paramètres!$A$1:$I$89,5,0)</f>
        <v>185.75231999999997</v>
      </c>
      <c r="CA40" s="13">
        <f t="shared" si="39"/>
        <v>46.599618930398798</v>
      </c>
      <c r="CB40" s="20">
        <f t="shared" si="10"/>
        <v>404.67962697044453</v>
      </c>
      <c r="CC40" s="57">
        <f t="shared" si="11"/>
        <v>666.35013260442076</v>
      </c>
      <c r="CD40" s="57">
        <f ca="1">AVERAGE(OFFSET($CC$3,0,0,'Données projet'!$E$12+1,1))-AVERAGE(OFFSET($H$3,0,0,'Données projet'!$E$12+1,1))</f>
        <v>498.77732039282807</v>
      </c>
      <c r="CE40" s="57">
        <f t="shared" si="40"/>
        <v>384.57317421826531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2.2608493734752768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2.2608493734752768</v>
      </c>
      <c r="CO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61.364683354720796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4.3352272727272725</v>
      </c>
      <c r="CT40" s="12">
        <f>IF('Données projet'!$A$140&gt;35,CT39+CS40-DB39,IF(A40&lt;'Données projet'!$A$140,$CQ$205^A40,IF(A40='Données projet'!$A$140,'Données projet'!$B$140,CT39+CS40-DB39)))</f>
        <v>160.40340909090907</v>
      </c>
      <c r="CU40" s="17">
        <f>CT40*VLOOKUP('Données projet'!$B$13,Paramètres!$A$1:$I$89,3,0)*VLOOKUP('Données projet'!$B$13,Paramètres!$A$1:$I$89,5,0)</f>
        <v>107.59860681818179</v>
      </c>
      <c r="CV40" s="13">
        <f t="shared" si="41"/>
        <v>28.764472836694765</v>
      </c>
      <c r="CW40" s="20">
        <f t="shared" si="13"/>
        <v>237.49903039891001</v>
      </c>
      <c r="CX40" s="57">
        <f t="shared" si="14"/>
        <v>499.16953603288624</v>
      </c>
      <c r="CY40" s="57">
        <f ca="1">AVERAGE(OFFSET($CX$3,0,0,'Données projet'!$E$13+1,1))-AVERAGE(OFFSET($H$3,0,0,'Données projet'!$E$13+1,1))</f>
        <v>365.99625753737246</v>
      </c>
      <c r="CZ40" s="57">
        <f t="shared" si="42"/>
        <v>242.84814712692287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61.364683354720796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8.8000000000000007</v>
      </c>
      <c r="DO40" s="12">
        <f>IF('Données projet'!$A$166&gt;35,DO39+DN40-DW39,IF(A40&lt;'Données projet'!$A$166,$DL$205^A40,IF(A40='Données projet'!$A$166,'Données projet'!$B$166,DO39+DN40-DW39)))</f>
        <v>197.6</v>
      </c>
      <c r="DP40" s="17">
        <f>DO40*VLOOKUP('Données projet'!$B$14,Paramètres!$A$1:$I$89,3,0)*VLOOKUP('Données projet'!$B$14,Paramètres!$A$1:$I$89,5,0)</f>
        <v>129.46751999999998</v>
      </c>
      <c r="DQ40" s="13">
        <f t="shared" si="43"/>
        <v>33.873289462262882</v>
      </c>
      <c r="DR40" s="20">
        <f t="shared" si="16"/>
        <v>284.48524314677445</v>
      </c>
      <c r="DS40" s="57">
        <f t="shared" si="17"/>
        <v>546.15574878075063</v>
      </c>
      <c r="DT40" s="57">
        <f ca="1">AVERAGE(OFFSET($DS$3,0,0,'Données projet'!$E$14+1,1))-AVERAGE(OFFSET($H$3,0,0,'Données projet'!$E$14+1,1))</f>
        <v>313.79279628660527</v>
      </c>
      <c r="DU40" s="57">
        <f t="shared" si="44"/>
        <v>317.45469955216254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3.0862878195194492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3.0862878195194492</v>
      </c>
      <c r="EE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61.364683354720796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22.166666666666668</v>
      </c>
      <c r="EJ40" s="12">
        <f>IF('Données projet'!$A$192&gt;35,EJ39+EI40-ER39,IF(A40&lt;'Données projet'!$A$192,$EG$205^A40,IF(A40='Données projet'!$A$192,'Données projet'!$B$192,EJ39+EI40-ER39)))</f>
        <v>256.16666666666674</v>
      </c>
      <c r="EK40" s="17">
        <f>EJ40*VLOOKUP('Données projet'!$B$15,Paramètres!$A$1:$I$89,3,0)*VLOOKUP('Données projet'!$B$15,Paramètres!$A$1:$I$89,5,0)</f>
        <v>219.79100000000008</v>
      </c>
      <c r="EL40" s="13">
        <f t="shared" si="45"/>
        <v>54.069458090781318</v>
      </c>
      <c r="EM40" s="20">
        <f t="shared" si="19"/>
        <v>476.97363117477761</v>
      </c>
      <c r="EN40" s="57">
        <f t="shared" si="20"/>
        <v>738.64413680875384</v>
      </c>
      <c r="EO40" s="57">
        <f ca="1">AVERAGE(OFFSET($EN$3,0,0,'Données projet'!$E$15+1,1))-AVERAGE(OFFSET($H$3,0,0,'Données projet'!$E$15+1,1))</f>
        <v>643.04899298561475</v>
      </c>
      <c r="EP40" s="57">
        <f t="shared" si="46"/>
        <v>474.94999304483031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24.4384876973145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24.4384876973145</v>
      </c>
      <c r="EZ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61.364683354720796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11.4</v>
      </c>
      <c r="FE40" s="12">
        <f>IF('Données projet'!$A$218&gt;35,FE39+FD40-FM39,IF(A40&lt;'Données projet'!$A$218,$FB$205^A40,IF(A40='Données projet'!$A$218,'Données projet'!$B$218,FE39+FD40-FM39)))</f>
        <v>193.79999999999998</v>
      </c>
      <c r="FF40" s="17">
        <f>FE40*VLOOKUP('Données projet'!$B$16,Paramètres!$A$1:$I$89,3,0)*VLOOKUP('Données projet'!$B$16,Paramètres!$A$1:$I$89,5,0)</f>
        <v>157.21055999999999</v>
      </c>
      <c r="FG40" s="13">
        <f t="shared" si="47"/>
        <v>40.212706859296013</v>
      </c>
      <c r="FH40" s="20">
        <f t="shared" si="22"/>
        <v>343.84552311327383</v>
      </c>
      <c r="FI40" s="57">
        <f t="shared" si="23"/>
        <v>605.51602874725006</v>
      </c>
      <c r="FJ40" s="57">
        <f ca="1">AVERAGE(OFFSET($FI$3,0,0,'Données projet'!$E$16+1,1))-AVERAGE(OFFSET($H$3,0,0,'Données projet'!$E$16+1,1))</f>
        <v>375.34603719604439</v>
      </c>
      <c r="FK40" s="57">
        <f t="shared" si="48"/>
        <v>363.99476973672211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19.018272325801544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19.018272325801544</v>
      </c>
      <c r="FU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61.364683354720796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28.059999999999992</v>
      </c>
      <c r="FZ40" s="12">
        <f>IF('Données projet'!$A$244&gt;35,FZ39+FY40-GH39,IF(A40&lt;'Données projet'!$A$244,$FW$205^A40,IF(A40='Données projet'!$A$244,'Données projet'!$B$244,FZ39+FY40-GH39)))</f>
        <v>443.58999999999992</v>
      </c>
      <c r="GA40" s="17">
        <f>FZ40*VLOOKUP('Données projet'!$B$17,Paramètres!$A$1:$I$89,3,0)*VLOOKUP('Données projet'!$B$17,Paramètres!$A$1:$I$89,5,0)</f>
        <v>247.96680999999995</v>
      </c>
      <c r="GB40" s="13">
        <f t="shared" si="49"/>
        <v>60.150357112752843</v>
      </c>
      <c r="GC40" s="20">
        <f t="shared" si="25"/>
        <v>536.6373993880444</v>
      </c>
      <c r="GD40" s="57">
        <f t="shared" si="26"/>
        <v>798.30790502202058</v>
      </c>
      <c r="GE40" s="57">
        <f ca="1">AVERAGE(OFFSET($GD$3,0,0,'Données projet'!$E$17+1,1))-AVERAGE(OFFSET($H$3,0,0,'Données projet'!$E$17+1,1))</f>
        <v>414.47327143450701</v>
      </c>
      <c r="GF40" s="57">
        <f t="shared" si="50"/>
        <v>546.83385887302961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37.719155950919586</v>
      </c>
      <c r="GM40" s="21">
        <f>EXP(-LN(2)/25)*GM39+(1-EXP(-LN(2)/25))/(LN(2)/25)*Calculateur!GH40*Calculateur!GJ40*VLOOKUP('Données projet'!$B$17,Paramètres!$A$1:$I$89,3,0)*0.475*44/12</f>
        <v>32.467357485033816</v>
      </c>
      <c r="GN40" s="21">
        <f>EXP(-LN(2)/2)*GN39+(1-EXP(-LN(2)/2))/(LN(2)/2)*GH40*GK40*VLOOKUP('Données projet'!$B$17,Paramètres!$A$1:$I$89,3,0)*0.475*44/12</f>
        <v>9.767657396073874</v>
      </c>
      <c r="GO40" s="21">
        <f t="shared" si="27"/>
        <v>79.954170832027273</v>
      </c>
      <c r="GP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61.364683354720796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14.6</v>
      </c>
      <c r="GU40" s="12">
        <f>IF('Données projet'!$A$270&gt;35,GU39+GT40-HC39,IF(A40&lt;'Données projet'!$A$270,$GR$205^A40,IF(A40='Données projet'!$A$270,'Données projet'!$B$270,GU39+GT40-HC39)))</f>
        <v>244.20000000000002</v>
      </c>
      <c r="GV40" s="17">
        <f>GU40*VLOOKUP('Données projet'!$B$18,Paramètres!$A$1:$I$89,3,0)*VLOOKUP('Données projet'!$B$18,Paramètres!$A$1:$I$89,5,0)</f>
        <v>133.33320000000001</v>
      </c>
      <c r="GW40" s="13">
        <f t="shared" si="51"/>
        <v>34.765425470789815</v>
      </c>
      <c r="GX40" s="20">
        <f t="shared" si="28"/>
        <v>292.77177269495894</v>
      </c>
      <c r="GY40" s="57">
        <f t="shared" si="29"/>
        <v>554.44227832893512</v>
      </c>
      <c r="GZ40" s="57">
        <f ca="1">AVERAGE(OFFSET($GY$3,0,0,'Données projet'!$E$18+1,1))-AVERAGE(OFFSET($H$3,0,0,'Données projet'!$E$18+1,1))</f>
        <v>381.00532469288714</v>
      </c>
      <c r="HA40" s="57">
        <f t="shared" si="52"/>
        <v>314.875259641757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>
        <f>EXP(-LN(2)/35)*HG39+(1-EXP(-LN(2)/35))/(LN(2)/35)*HC40*HD40*VLOOKUP('Données projet'!$B$18,Paramètres!$A$1:$I$89,3,0)*0.475*44/12</f>
        <v>22.613243295733888</v>
      </c>
      <c r="HH40" s="21">
        <f>EXP(-LN(2)/25)*HH39+(1-EXP(-LN(2)/25))/(LN(2)/25)*Calculateur!HC40*Calculateur!HE40*VLOOKUP('Données projet'!$B$18,Paramètres!$A$1:$I$89,3,0)*0.475*44/12</f>
        <v>22.353383704413424</v>
      </c>
      <c r="HI40" s="21">
        <f>EXP(-LN(2)/2)*HI39+(1-EXP(-LN(2)/2))/(LN(2)/2)*HC40*HF40*VLOOKUP('Données projet'!$B$18,Paramètres!$A$1:$I$89,3,0)*0.475*44/12</f>
        <v>4.1219504201273489</v>
      </c>
      <c r="HJ40" s="22">
        <f t="shared" si="30"/>
        <v>49.08857742027466</v>
      </c>
    </row>
    <row r="41" spans="1:218" x14ac:dyDescent="0.2">
      <c r="A41" s="10">
        <f t="shared" si="31"/>
        <v>38</v>
      </c>
      <c r="B41" s="71">
        <f>'Scénario référence'!$B$16*5+'Scénario référence'!$B$17*0+'Scénario référence'!$B$18*5</f>
        <v>3.3000000000000003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12.100000000000001</v>
      </c>
      <c r="H41" s="65">
        <f t="shared" si="1"/>
        <v>208.26666666666665</v>
      </c>
      <c r="I41" s="6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61.514486792840572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5.4</v>
      </c>
      <c r="N41" s="13">
        <f>IF('Données projet'!$A$36&gt;35,N40+M41-V40,IF(A41&lt;'Données projet'!$A$36,$K$205^A41,IF(A41='Données projet'!$A$36,'Données projet'!$B$36,N40+M41-V40)))</f>
        <v>82.2</v>
      </c>
      <c r="O41" s="13">
        <f>N41*VLOOKUP('Données projet'!$B$9,Paramètres!$A$1:$I$89,3,0)*VLOOKUP('Données projet'!$B$9,Paramètres!$A$1:$I$89,5,0)</f>
        <v>83.350800000000007</v>
      </c>
      <c r="P41" s="13">
        <f t="shared" si="33"/>
        <v>22.954505421678146</v>
      </c>
      <c r="Q41" s="20">
        <f t="shared" si="53"/>
        <v>185.14840694275611</v>
      </c>
      <c r="R41" s="57">
        <f t="shared" si="0"/>
        <v>447.36819184983824</v>
      </c>
      <c r="S41" s="57">
        <f ca="1">AVERAGE(OFFSET($R$3,0,0,'Données projet'!$E$9+1,1))-AVERAGE(OFFSET($H$3,0,0,'Données projet'!$E$9+1,1))</f>
        <v>332.70145542047612</v>
      </c>
      <c r="T41" s="57">
        <f t="shared" si="34"/>
        <v>172.22433737900428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61.514486792840572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4.3352272727272725</v>
      </c>
      <c r="AI41" s="13">
        <f>IF('Données projet'!$A$62&gt;35,AI40+AH41-AQ40,IF(A41&lt;'Données projet'!$A$62,$AF$205^A41,IF(A41='Données projet'!$A$62,'Données projet'!$B$62,AI40+AH41-AQ40)))</f>
        <v>164.73863636363635</v>
      </c>
      <c r="AJ41" s="13">
        <f>AI41*VLOOKUP('Données projet'!$B$10,Paramètres!$A$1:$I$89,3,0)*VLOOKUP('Données projet'!$B$10,Paramètres!$A$1:$I$89,5,0)</f>
        <v>149.05551818181817</v>
      </c>
      <c r="AK41" s="13">
        <f t="shared" si="35"/>
        <v>38.36386989800318</v>
      </c>
      <c r="AL41" s="20">
        <f t="shared" si="4"/>
        <v>326.42210090568886</v>
      </c>
      <c r="AM41" s="57">
        <f t="shared" si="5"/>
        <v>588.64188581277097</v>
      </c>
      <c r="AN41" s="57">
        <f ca="1">AVERAGE(OFFSET($AM$3,0,0,'Données projet'!$E$10+1,1))-AVERAGE(OFFSET($H$3,0,0,'Données projet'!$E$10+1,1))</f>
        <v>469.4210143164521</v>
      </c>
      <c r="AO41" s="57">
        <f t="shared" si="36"/>
        <v>308.4508386530556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61.514486792840572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11.4</v>
      </c>
      <c r="BD41" s="12">
        <f>IF('Données projet'!$A$88&gt;35,BD40+BC41-BL40,IF(A41&lt;'Données projet'!$A$88,$BA$205^A41,IF(A41='Données projet'!$A$88,'Données projet'!$B$88,BD40+BC41-BL40)))</f>
        <v>205.2</v>
      </c>
      <c r="BE41" s="13">
        <f>BD41*VLOOKUP('Données projet'!$B$11,Paramètres!$A$1:$I$89,3,0)*VLOOKUP('Données projet'!$B$11,Paramètres!$A$1:$I$89,5,0)</f>
        <v>150.45263999999997</v>
      </c>
      <c r="BF41" s="13">
        <f t="shared" si="37"/>
        <v>38.681431639913605</v>
      </c>
      <c r="BG41" s="20">
        <f t="shared" si="7"/>
        <v>329.40850810618275</v>
      </c>
      <c r="BH41" s="57">
        <f t="shared" si="8"/>
        <v>591.62829301326485</v>
      </c>
      <c r="BI41" s="57">
        <f ca="1">AVERAGE(OFFSET($BH$3,0,0,'Données projet'!$E$11+1,1))-AVERAGE(OFFSET($H$3,0,0,'Données projet'!$E$11+1,1))</f>
        <v>344.32981377462971</v>
      </c>
      <c r="BJ41" s="57">
        <f t="shared" si="38"/>
        <v>334.42512656625763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13.672795086611734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13.672795086611734</v>
      </c>
      <c r="BT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61.514486792840572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10.6</v>
      </c>
      <c r="BY41" s="12">
        <f>IF('Données projet'!$A$114&gt;35,BY40+BX41-CG40,IF(A41&lt;'Données projet'!$A$114,$BV$205^A41,IF(A41='Données projet'!$A$114,'Données projet'!$B$114,BY40+BX41-CG40)))</f>
        <v>205.79999999999995</v>
      </c>
      <c r="BZ41" s="13">
        <f>BY41*VLOOKUP('Données projet'!$B$12,Paramètres!$A$1:$I$89,3,0)*VLOOKUP('Données projet'!$B$12,Paramètres!$A$1:$I$89,5,0)</f>
        <v>195.83927999999995</v>
      </c>
      <c r="CA41" s="13">
        <f t="shared" si="39"/>
        <v>48.828651607158001</v>
      </c>
      <c r="CB41" s="20">
        <f t="shared" si="10"/>
        <v>426.12998088246673</v>
      </c>
      <c r="CC41" s="57">
        <f t="shared" si="11"/>
        <v>688.34976578954888</v>
      </c>
      <c r="CD41" s="57">
        <f ca="1">AVERAGE(OFFSET($CC$3,0,0,'Données projet'!$E$12+1,1))-AVERAGE(OFFSET($H$3,0,0,'Données projet'!$E$12+1,1))</f>
        <v>498.77732039282807</v>
      </c>
      <c r="CE41" s="57">
        <f t="shared" si="40"/>
        <v>384.57317421826531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2.2165154962433813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2.2165154962433813</v>
      </c>
      <c r="CO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61.514486792840572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4.3352272727272725</v>
      </c>
      <c r="CT41" s="12">
        <f>IF('Données projet'!$A$140&gt;35,CT40+CS41-DB40,IF(A41&lt;'Données projet'!$A$140,$CQ$205^A41,IF(A41='Données projet'!$A$140,'Données projet'!$B$140,CT40+CS41-DB40)))</f>
        <v>164.73863636363635</v>
      </c>
      <c r="CU41" s="17">
        <f>CT41*VLOOKUP('Données projet'!$B$13,Paramètres!$A$1:$I$89,3,0)*VLOOKUP('Données projet'!$B$13,Paramètres!$A$1:$I$89,5,0)</f>
        <v>110.50667727272726</v>
      </c>
      <c r="CV41" s="13">
        <f t="shared" si="41"/>
        <v>29.450329742253217</v>
      </c>
      <c r="CW41" s="20">
        <f t="shared" si="13"/>
        <v>243.75845388442437</v>
      </c>
      <c r="CX41" s="57">
        <f t="shared" si="14"/>
        <v>505.97823879150644</v>
      </c>
      <c r="CY41" s="57">
        <f ca="1">AVERAGE(OFFSET($CX$3,0,0,'Données projet'!$E$13+1,1))-AVERAGE(OFFSET($H$3,0,0,'Données projet'!$E$13+1,1))</f>
        <v>365.99625753737246</v>
      </c>
      <c r="CZ41" s="57">
        <f t="shared" si="42"/>
        <v>242.84814712692287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61.514486792840572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8.8000000000000007</v>
      </c>
      <c r="DO41" s="12">
        <f>IF('Données projet'!$A$166&gt;35,DO40+DN41-DW40,IF(A41&lt;'Données projet'!$A$166,$DL$205^A41,IF(A41='Données projet'!$A$166,'Données projet'!$B$166,DO40+DN41-DW40)))</f>
        <v>206.4</v>
      </c>
      <c r="DP41" s="17">
        <f>DO41*VLOOKUP('Données projet'!$B$14,Paramètres!$A$1:$I$89,3,0)*VLOOKUP('Données projet'!$B$14,Paramètres!$A$1:$I$89,5,0)</f>
        <v>135.23328000000001</v>
      </c>
      <c r="DQ41" s="13">
        <f t="shared" si="43"/>
        <v>35.202825080004438</v>
      </c>
      <c r="DR41" s="20">
        <f t="shared" si="16"/>
        <v>296.842883014341</v>
      </c>
      <c r="DS41" s="57">
        <f t="shared" si="17"/>
        <v>559.0626679214231</v>
      </c>
      <c r="DT41" s="57">
        <f ca="1">AVERAGE(OFFSET($DS$3,0,0,'Données projet'!$E$14+1,1))-AVERAGE(OFFSET($H$3,0,0,'Données projet'!$E$14+1,1))</f>
        <v>313.79279628660527</v>
      </c>
      <c r="DU41" s="57">
        <f t="shared" si="44"/>
        <v>317.45469955216254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3.025767597828366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3.025767597828366</v>
      </c>
      <c r="EE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61.514486792840572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22.166666666666668</v>
      </c>
      <c r="EJ41" s="12">
        <f>IF('Données projet'!$A$192&gt;35,EJ40+EI41-ER40,IF(A41&lt;'Données projet'!$A$192,$EG$205^A41,IF(A41='Données projet'!$A$192,'Données projet'!$B$192,EJ40+EI41-ER40)))</f>
        <v>278.33333333333343</v>
      </c>
      <c r="EK41" s="17">
        <f>EJ41*VLOOKUP('Données projet'!$B$15,Paramètres!$A$1:$I$89,3,0)*VLOOKUP('Données projet'!$B$15,Paramètres!$A$1:$I$89,5,0)</f>
        <v>238.81000000000012</v>
      </c>
      <c r="EL41" s="13">
        <f t="shared" si="45"/>
        <v>58.183422163472152</v>
      </c>
      <c r="EM41" s="20">
        <f t="shared" si="19"/>
        <v>517.26354360138077</v>
      </c>
      <c r="EN41" s="57">
        <f t="shared" si="20"/>
        <v>779.48332850846282</v>
      </c>
      <c r="EO41" s="57">
        <f ca="1">AVERAGE(OFFSET($EN$3,0,0,'Données projet'!$E$15+1,1))-AVERAGE(OFFSET($H$3,0,0,'Données projet'!$E$15+1,1))</f>
        <v>643.04899298561475</v>
      </c>
      <c r="EP41" s="57">
        <f t="shared" si="46"/>
        <v>474.94999304483031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23.959263859575813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23.959263859575813</v>
      </c>
      <c r="EZ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61.514486792840572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11.4</v>
      </c>
      <c r="FE41" s="12">
        <f>IF('Données projet'!$A$218&gt;35,FE40+FD41-FM40,IF(A41&lt;'Données projet'!$A$218,$FB$205^A41,IF(A41='Données projet'!$A$218,'Données projet'!$B$218,FE40+FD41-FM40)))</f>
        <v>205.2</v>
      </c>
      <c r="FF41" s="17">
        <f>FE41*VLOOKUP('Données projet'!$B$16,Paramètres!$A$1:$I$89,3,0)*VLOOKUP('Données projet'!$B$16,Paramètres!$A$1:$I$89,5,0)</f>
        <v>166.45823999999999</v>
      </c>
      <c r="FG41" s="13">
        <f t="shared" si="47"/>
        <v>42.295817799452642</v>
      </c>
      <c r="FH41" s="20">
        <f t="shared" si="22"/>
        <v>363.5799840007133</v>
      </c>
      <c r="FI41" s="57">
        <f t="shared" si="23"/>
        <v>625.7997689077954</v>
      </c>
      <c r="FJ41" s="57">
        <f ca="1">AVERAGE(OFFSET($FI$3,0,0,'Données projet'!$E$16+1,1))-AVERAGE(OFFSET($H$3,0,0,'Données projet'!$E$16+1,1))</f>
        <v>375.34603719604439</v>
      </c>
      <c r="FK41" s="57">
        <f t="shared" si="48"/>
        <v>363.99476973672211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18.64533560549329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18.64533560549329</v>
      </c>
      <c r="FU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61.514486792840572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28.059999999999992</v>
      </c>
      <c r="FZ41" s="12">
        <f>IF('Données projet'!$A$244&gt;35,FZ40+FY41-GH40,IF(A41&lt;'Données projet'!$A$244,$FW$205^A41,IF(A41='Données projet'!$A$244,'Données projet'!$B$244,FZ40+FY41-GH40)))</f>
        <v>471.64999999999992</v>
      </c>
      <c r="GA41" s="17">
        <f>FZ41*VLOOKUP('Données projet'!$B$17,Paramètres!$A$1:$I$89,3,0)*VLOOKUP('Données projet'!$B$17,Paramètres!$A$1:$I$89,5,0)</f>
        <v>263.65234999999996</v>
      </c>
      <c r="GB41" s="13">
        <f t="shared" si="49"/>
        <v>63.500278182888067</v>
      </c>
      <c r="GC41" s="20">
        <f t="shared" si="25"/>
        <v>569.79082741852994</v>
      </c>
      <c r="GD41" s="57">
        <f t="shared" si="26"/>
        <v>832.0106123256121</v>
      </c>
      <c r="GE41" s="57">
        <f ca="1">AVERAGE(OFFSET($GD$3,0,0,'Données projet'!$E$17+1,1))-AVERAGE(OFFSET($H$3,0,0,'Données projet'!$E$17+1,1))</f>
        <v>414.47327143450701</v>
      </c>
      <c r="GF41" s="57">
        <f t="shared" si="50"/>
        <v>546.83385887302961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36.979506309135488</v>
      </c>
      <c r="GM41" s="21">
        <f>EXP(-LN(2)/25)*GM40+(1-EXP(-LN(2)/25))/(LN(2)/25)*Calculateur!GH41*Calculateur!GJ41*VLOOKUP('Données projet'!$B$17,Paramètres!$A$1:$I$89,3,0)*0.475*44/12</f>
        <v>31.579535887221439</v>
      </c>
      <c r="GN41" s="21">
        <f>EXP(-LN(2)/2)*GN40+(1-EXP(-LN(2)/2))/(LN(2)/2)*GH41*GK41*VLOOKUP('Données projet'!$B$17,Paramètres!$A$1:$I$89,3,0)*0.475*44/12</f>
        <v>6.9067767810707714</v>
      </c>
      <c r="GO41" s="21">
        <f t="shared" si="27"/>
        <v>75.465818977427702</v>
      </c>
      <c r="GP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61.514486792840572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14.6</v>
      </c>
      <c r="GU41" s="12">
        <f>IF('Données projet'!$A$270&gt;35,GU40+GT41-HC40,IF(A41&lt;'Données projet'!$A$270,$GR$205^A41,IF(A41='Données projet'!$A$270,'Données projet'!$B$270,GU40+GT41-HC40)))</f>
        <v>258.8</v>
      </c>
      <c r="GV41" s="17">
        <f>GU41*VLOOKUP('Données projet'!$B$18,Paramètres!$A$1:$I$89,3,0)*VLOOKUP('Données projet'!$B$18,Paramètres!$A$1:$I$89,5,0)</f>
        <v>141.3048</v>
      </c>
      <c r="GW41" s="13">
        <f t="shared" si="51"/>
        <v>36.595755275288994</v>
      </c>
      <c r="GX41" s="20">
        <f t="shared" si="28"/>
        <v>309.84346710446158</v>
      </c>
      <c r="GY41" s="57">
        <f t="shared" si="29"/>
        <v>572.06325201154368</v>
      </c>
      <c r="GZ41" s="57">
        <f ca="1">AVERAGE(OFFSET($GY$3,0,0,'Données projet'!$E$18+1,1))-AVERAGE(OFFSET($H$3,0,0,'Données projet'!$E$18+1,1))</f>
        <v>381.00532469288714</v>
      </c>
      <c r="HA41" s="57">
        <f t="shared" si="52"/>
        <v>314.875259641757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>
        <f>EXP(-LN(2)/35)*HG40+(1-EXP(-LN(2)/35))/(LN(2)/35)*HC41*HD41*VLOOKUP('Données projet'!$B$18,Paramètres!$A$1:$I$89,3,0)*0.475*44/12</f>
        <v>22.169811387421039</v>
      </c>
      <c r="HH41" s="21">
        <f>EXP(-LN(2)/25)*HH40+(1-EXP(-LN(2)/25))/(LN(2)/25)*Calculateur!HC41*Calculateur!HE41*VLOOKUP('Données projet'!$B$18,Paramètres!$A$1:$I$89,3,0)*0.475*44/12</f>
        <v>21.742129251502881</v>
      </c>
      <c r="HI41" s="21">
        <f>EXP(-LN(2)/2)*HI40+(1-EXP(-LN(2)/2))/(LN(2)/2)*HC41*HF41*VLOOKUP('Données projet'!$B$18,Paramètres!$A$1:$I$89,3,0)*0.475*44/12</f>
        <v>2.9146590937867871</v>
      </c>
      <c r="HJ41" s="22">
        <f t="shared" si="30"/>
        <v>46.826599732710712</v>
      </c>
    </row>
    <row r="42" spans="1:218" x14ac:dyDescent="0.2">
      <c r="A42" s="10">
        <f t="shared" si="31"/>
        <v>39</v>
      </c>
      <c r="B42" s="71">
        <f>'Scénario référence'!$B$16*5+'Scénario référence'!$B$17*0+'Scénario référence'!$B$18*5</f>
        <v>3.3000000000000003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12.100000000000001</v>
      </c>
      <c r="H42" s="65">
        <f t="shared" si="1"/>
        <v>208.26666666666665</v>
      </c>
      <c r="I42" s="6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61.661691476219289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5.4</v>
      </c>
      <c r="N42" s="13">
        <f>IF('Données projet'!$A$36&gt;35,N41+M42-V41,IF(A42&lt;'Données projet'!$A$36,$K$205^A42,IF(A42='Données projet'!$A$36,'Données projet'!$B$36,N41+M42-V41)))</f>
        <v>87.600000000000009</v>
      </c>
      <c r="O42" s="13">
        <f>N42*VLOOKUP('Données projet'!$B$9,Paramètres!$A$1:$I$89,3,0)*VLOOKUP('Données projet'!$B$9,Paramètres!$A$1:$I$89,5,0)</f>
        <v>88.826400000000007</v>
      </c>
      <c r="P42" s="13">
        <f t="shared" si="33"/>
        <v>24.28196507443278</v>
      </c>
      <c r="Q42" s="20">
        <f t="shared" si="53"/>
        <v>196.99706917130376</v>
      </c>
      <c r="R42" s="57">
        <f t="shared" si="0"/>
        <v>459.75660458410778</v>
      </c>
      <c r="S42" s="57">
        <f ca="1">AVERAGE(OFFSET($R$3,0,0,'Données projet'!$E$9+1,1))-AVERAGE(OFFSET($H$3,0,0,'Données projet'!$E$9+1,1))</f>
        <v>332.70145542047612</v>
      </c>
      <c r="T42" s="57">
        <f t="shared" si="34"/>
        <v>172.22433737900428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61.661691476219289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4.3352272727272725</v>
      </c>
      <c r="AI42" s="13">
        <f>IF('Données projet'!$A$62&gt;35,AI41+AH42-AQ41,IF(A42&lt;'Données projet'!$A$62,$AF$205^A42,IF(A42='Données projet'!$A$62,'Données projet'!$B$62,AI41+AH42-AQ41)))</f>
        <v>169.07386363636363</v>
      </c>
      <c r="AJ42" s="13">
        <f>AI42*VLOOKUP('Données projet'!$B$10,Paramètres!$A$1:$I$89,3,0)*VLOOKUP('Données projet'!$B$10,Paramètres!$A$1:$I$89,5,0)</f>
        <v>152.97803181818179</v>
      </c>
      <c r="AK42" s="13">
        <f t="shared" si="35"/>
        <v>39.254577765422866</v>
      </c>
      <c r="AL42" s="20">
        <f t="shared" si="4"/>
        <v>334.8051283581114</v>
      </c>
      <c r="AM42" s="57">
        <f t="shared" si="5"/>
        <v>597.56466377091544</v>
      </c>
      <c r="AN42" s="57">
        <f ca="1">AVERAGE(OFFSET($AM$3,0,0,'Données projet'!$E$10+1,1))-AVERAGE(OFFSET($H$3,0,0,'Données projet'!$E$10+1,1))</f>
        <v>469.4210143164521</v>
      </c>
      <c r="AO42" s="57">
        <f t="shared" si="36"/>
        <v>308.4508386530556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61.661691476219289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11.4</v>
      </c>
      <c r="BD42" s="12">
        <f>IF('Données projet'!$A$88&gt;35,BD41+BC42-BL41,IF(A42&lt;'Données projet'!$A$88,$BA$205^A42,IF(A42='Données projet'!$A$88,'Données projet'!$B$88,BD41+BC42-BL41)))</f>
        <v>216.6</v>
      </c>
      <c r="BE42" s="13">
        <f>BD42*VLOOKUP('Données projet'!$B$11,Paramètres!$A$1:$I$89,3,0)*VLOOKUP('Données projet'!$B$11,Paramètres!$A$1:$I$89,5,0)</f>
        <v>158.81111999999999</v>
      </c>
      <c r="BF42" s="13">
        <f t="shared" si="37"/>
        <v>40.57424391712447</v>
      </c>
      <c r="BG42" s="20">
        <f t="shared" si="7"/>
        <v>347.26284215565846</v>
      </c>
      <c r="BH42" s="57">
        <f t="shared" si="8"/>
        <v>610.0223775684625</v>
      </c>
      <c r="BI42" s="57">
        <f ca="1">AVERAGE(OFFSET($BH$3,0,0,'Données projet'!$E$11+1,1))-AVERAGE(OFFSET($H$3,0,0,'Données projet'!$E$11+1,1))</f>
        <v>344.32981377462971</v>
      </c>
      <c r="BJ42" s="57">
        <f t="shared" si="38"/>
        <v>334.42512656625763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13.404679914544815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13.404679914544815</v>
      </c>
      <c r="BT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61.661691476219289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10.6</v>
      </c>
      <c r="BY42" s="12">
        <f>IF('Données projet'!$A$114&gt;35,BY41+BX42-CG41,IF(A42&lt;'Données projet'!$A$114,$BV$205^A42,IF(A42='Données projet'!$A$114,'Données projet'!$B$114,BY41+BX42-CG41)))</f>
        <v>216.39999999999995</v>
      </c>
      <c r="BZ42" s="13">
        <f>BY42*VLOOKUP('Données projet'!$B$12,Paramètres!$A$1:$I$89,3,0)*VLOOKUP('Données projet'!$B$12,Paramètres!$A$1:$I$89,5,0)</f>
        <v>205.92623999999995</v>
      </c>
      <c r="CA42" s="13">
        <f t="shared" si="39"/>
        <v>51.044354243735398</v>
      </c>
      <c r="CB42" s="20">
        <f t="shared" si="10"/>
        <v>447.55711830783912</v>
      </c>
      <c r="CC42" s="57">
        <f t="shared" si="11"/>
        <v>710.31665372064322</v>
      </c>
      <c r="CD42" s="57">
        <f ca="1">AVERAGE(OFFSET($CC$3,0,0,'Données projet'!$E$12+1,1))-AVERAGE(OFFSET($H$3,0,0,'Données projet'!$E$12+1,1))</f>
        <v>498.77732039282807</v>
      </c>
      <c r="CE42" s="57">
        <f t="shared" si="40"/>
        <v>384.57317421826531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2.1730509793030084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2.1730509793030084</v>
      </c>
      <c r="CO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61.661691476219289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4.3352272727272725</v>
      </c>
      <c r="CT42" s="12">
        <f>IF('Données projet'!$A$140&gt;35,CT41+CS42-DB41,IF(A42&lt;'Données projet'!$A$140,$CQ$205^A42,IF(A42='Données projet'!$A$140,'Données projet'!$B$140,CT41+CS42-DB41)))</f>
        <v>169.07386363636363</v>
      </c>
      <c r="CU42" s="17">
        <f>CT42*VLOOKUP('Données projet'!$B$13,Paramètres!$A$1:$I$89,3,0)*VLOOKUP('Données projet'!$B$13,Paramètres!$A$1:$I$89,5,0)</f>
        <v>113.41474772727274</v>
      </c>
      <c r="CV42" s="13">
        <f t="shared" si="41"/>
        <v>30.134088718322893</v>
      </c>
      <c r="CW42" s="20">
        <f t="shared" si="13"/>
        <v>250.01422347607908</v>
      </c>
      <c r="CX42" s="57">
        <f t="shared" si="14"/>
        <v>512.77375888888309</v>
      </c>
      <c r="CY42" s="57">
        <f ca="1">AVERAGE(OFFSET($CX$3,0,0,'Données projet'!$E$13+1,1))-AVERAGE(OFFSET($H$3,0,0,'Données projet'!$E$13+1,1))</f>
        <v>365.99625753737246</v>
      </c>
      <c r="CZ42" s="57">
        <f t="shared" si="42"/>
        <v>242.84814712692287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61.661691476219289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8.8000000000000007</v>
      </c>
      <c r="DO42" s="12">
        <f>IF('Données projet'!$A$166&gt;35,DO41+DN42-DW41,IF(A42&lt;'Données projet'!$A$166,$DL$205^A42,IF(A42='Données projet'!$A$166,'Données projet'!$B$166,DO41+DN42-DW41)))</f>
        <v>215.20000000000002</v>
      </c>
      <c r="DP42" s="17">
        <f>DO42*VLOOKUP('Données projet'!$B$14,Paramètres!$A$1:$I$89,3,0)*VLOOKUP('Données projet'!$B$14,Paramètres!$A$1:$I$89,5,0)</f>
        <v>140.99904000000001</v>
      </c>
      <c r="DQ42" s="13">
        <f t="shared" si="43"/>
        <v>36.525776729948824</v>
      </c>
      <c r="DR42" s="20">
        <f t="shared" si="16"/>
        <v>309.18905580466088</v>
      </c>
      <c r="DS42" s="57">
        <f t="shared" si="17"/>
        <v>571.94859121746492</v>
      </c>
      <c r="DT42" s="57">
        <f ca="1">AVERAGE(OFFSET($DS$3,0,0,'Données projet'!$E$14+1,1))-AVERAGE(OFFSET($H$3,0,0,'Données projet'!$E$14+1,1))</f>
        <v>313.79279628660527</v>
      </c>
      <c r="DU42" s="57">
        <f t="shared" si="44"/>
        <v>317.45469955216254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2.9664341407709549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2.9664341407709549</v>
      </c>
      <c r="EE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61.661691476219289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22.166666666666668</v>
      </c>
      <c r="EJ42" s="12">
        <f>IF('Données projet'!$A$192&gt;35,EJ41+EI42-ER41,IF(A42&lt;'Données projet'!$A$192,$EG$205^A42,IF(A42='Données projet'!$A$192,'Données projet'!$B$192,EJ41+EI42-ER41)))</f>
        <v>300.50000000000011</v>
      </c>
      <c r="EK42" s="17">
        <f>EJ42*VLOOKUP('Données projet'!$B$15,Paramètres!$A$1:$I$89,3,0)*VLOOKUP('Données projet'!$B$15,Paramètres!$A$1:$I$89,5,0)</f>
        <v>257.82900000000012</v>
      </c>
      <c r="EL42" s="13">
        <f t="shared" si="45"/>
        <v>62.259382894267475</v>
      </c>
      <c r="EM42" s="20">
        <f t="shared" si="19"/>
        <v>557.48726687418275</v>
      </c>
      <c r="EN42" s="57">
        <f t="shared" si="20"/>
        <v>820.24680228698685</v>
      </c>
      <c r="EO42" s="57">
        <f ca="1">AVERAGE(OFFSET($EN$3,0,0,'Données projet'!$E$15+1,1))-AVERAGE(OFFSET($H$3,0,0,'Données projet'!$E$15+1,1))</f>
        <v>643.04899298561475</v>
      </c>
      <c r="EP42" s="57">
        <f t="shared" si="46"/>
        <v>474.94999304483031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23.489437308997502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23.489437308997502</v>
      </c>
      <c r="EZ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61.661691476219289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11.4</v>
      </c>
      <c r="FE42" s="12">
        <f>IF('Données projet'!$A$218&gt;35,FE41+FD42-FM41,IF(A42&lt;'Données projet'!$A$218,$FB$205^A42,IF(A42='Données projet'!$A$218,'Données projet'!$B$218,FE41+FD42-FM41)))</f>
        <v>216.6</v>
      </c>
      <c r="FF42" s="17">
        <f>FE42*VLOOKUP('Données projet'!$B$16,Paramètres!$A$1:$I$89,3,0)*VLOOKUP('Données projet'!$B$16,Paramètres!$A$1:$I$89,5,0)</f>
        <v>175.70592000000002</v>
      </c>
      <c r="FG42" s="13">
        <f t="shared" si="47"/>
        <v>44.365494122468341</v>
      </c>
      <c r="FH42" s="20">
        <f t="shared" si="22"/>
        <v>383.29104626329899</v>
      </c>
      <c r="FI42" s="57">
        <f t="shared" si="23"/>
        <v>646.05058167610309</v>
      </c>
      <c r="FJ42" s="57">
        <f ca="1">AVERAGE(OFFSET($FI$3,0,0,'Données projet'!$E$16+1,1))-AVERAGE(OFFSET($H$3,0,0,'Données projet'!$E$16+1,1))</f>
        <v>375.34603719604439</v>
      </c>
      <c r="FK42" s="57">
        <f t="shared" si="48"/>
        <v>363.99476973672211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18.279711946801342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18.279711946801342</v>
      </c>
      <c r="FU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61.661691476219289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28.059999999999992</v>
      </c>
      <c r="FZ42" s="12">
        <f>IF('Données projet'!$A$244&gt;35,FZ41+FY42-GH41,IF(A42&lt;'Données projet'!$A$244,$FW$205^A42,IF(A42='Données projet'!$A$244,'Données projet'!$B$244,FZ41+FY42-GH41)))</f>
        <v>499.70999999999992</v>
      </c>
      <c r="GA42" s="17">
        <f>FZ42*VLOOKUP('Données projet'!$B$17,Paramètres!$A$1:$I$89,3,0)*VLOOKUP('Données projet'!$B$17,Paramètres!$A$1:$I$89,5,0)</f>
        <v>279.33788999999996</v>
      </c>
      <c r="GB42" s="13">
        <f t="shared" si="49"/>
        <v>66.827066730944551</v>
      </c>
      <c r="GC42" s="20">
        <f t="shared" si="25"/>
        <v>602.90396630639486</v>
      </c>
      <c r="GD42" s="57">
        <f t="shared" si="26"/>
        <v>865.66350171919885</v>
      </c>
      <c r="GE42" s="57">
        <f ca="1">AVERAGE(OFFSET($GD$3,0,0,'Données projet'!$E$17+1,1))-AVERAGE(OFFSET($H$3,0,0,'Données projet'!$E$17+1,1))</f>
        <v>414.47327143450701</v>
      </c>
      <c r="GF42" s="57">
        <f t="shared" si="50"/>
        <v>546.83385887302961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36.254360745685041</v>
      </c>
      <c r="GM42" s="21">
        <f>EXP(-LN(2)/25)*GM41+(1-EXP(-LN(2)/25))/(LN(2)/25)*Calculateur!GH42*Calculateur!GJ42*VLOOKUP('Données projet'!$B$17,Paramètres!$A$1:$I$89,3,0)*0.475*44/12</f>
        <v>30.715991817689751</v>
      </c>
      <c r="GN42" s="21">
        <f>EXP(-LN(2)/2)*GN41+(1-EXP(-LN(2)/2))/(LN(2)/2)*GH42*GK42*VLOOKUP('Données projet'!$B$17,Paramètres!$A$1:$I$89,3,0)*0.475*44/12</f>
        <v>4.883828698036937</v>
      </c>
      <c r="GO42" s="21">
        <f t="shared" si="27"/>
        <v>71.854181261411725</v>
      </c>
      <c r="GP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61.661691476219289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14.6</v>
      </c>
      <c r="GU42" s="12">
        <f>IF('Données projet'!$A$270&gt;35,GU41+GT42-HC41,IF(A42&lt;'Données projet'!$A$270,$GR$205^A42,IF(A42='Données projet'!$A$270,'Données projet'!$B$270,GU41+GT42-HC41)))</f>
        <v>273.40000000000003</v>
      </c>
      <c r="GV42" s="17">
        <f>GU42*VLOOKUP('Données projet'!$B$18,Paramètres!$A$1:$I$89,3,0)*VLOOKUP('Données projet'!$B$18,Paramètres!$A$1:$I$89,5,0)</f>
        <v>149.27640000000002</v>
      </c>
      <c r="GW42" s="13">
        <f t="shared" si="51"/>
        <v>38.414098673378447</v>
      </c>
      <c r="GX42" s="20">
        <f t="shared" si="28"/>
        <v>326.8942851894675</v>
      </c>
      <c r="GY42" s="57">
        <f t="shared" si="29"/>
        <v>589.65382060227148</v>
      </c>
      <c r="GZ42" s="57">
        <f ca="1">AVERAGE(OFFSET($GY$3,0,0,'Données projet'!$E$18+1,1))-AVERAGE(OFFSET($H$3,0,0,'Données projet'!$E$18+1,1))</f>
        <v>381.00532469288714</v>
      </c>
      <c r="HA42" s="57">
        <f t="shared" si="52"/>
        <v>314.875259641757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>
        <f>EXP(-LN(2)/35)*HG41+(1-EXP(-LN(2)/35))/(LN(2)/35)*HC42*HD42*VLOOKUP('Données projet'!$B$18,Paramètres!$A$1:$I$89,3,0)*0.475*44/12</f>
        <v>21.735074908363448</v>
      </c>
      <c r="HH42" s="21">
        <f>EXP(-LN(2)/25)*HH41+(1-EXP(-LN(2)/25))/(LN(2)/25)*Calculateur!HC42*Calculateur!HE42*VLOOKUP('Données projet'!$B$18,Paramètres!$A$1:$I$89,3,0)*0.475*44/12</f>
        <v>21.14758958375165</v>
      </c>
      <c r="HI42" s="21">
        <f>EXP(-LN(2)/2)*HI41+(1-EXP(-LN(2)/2))/(LN(2)/2)*HC42*HF42*VLOOKUP('Données projet'!$B$18,Paramètres!$A$1:$I$89,3,0)*0.475*44/12</f>
        <v>2.0609752100636749</v>
      </c>
      <c r="HJ42" s="22">
        <f t="shared" si="30"/>
        <v>44.943639702178771</v>
      </c>
    </row>
    <row r="43" spans="1:218" x14ac:dyDescent="0.2">
      <c r="A43" s="10">
        <f t="shared" si="31"/>
        <v>40</v>
      </c>
      <c r="B43" s="71">
        <f>'Scénario référence'!$B$16*5+'Scénario référence'!$B$17*0+'Scénario référence'!$B$18*5</f>
        <v>3.3000000000000003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12.100000000000001</v>
      </c>
      <c r="H43" s="65">
        <f t="shared" si="1"/>
        <v>208.26666666666665</v>
      </c>
      <c r="I43" s="6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61.806342487441754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93</v>
      </c>
      <c r="L43" s="12">
        <f>VLOOKUP(A43,'Données projet'!$A$35:$I$55,9,0)</f>
        <v>5.4</v>
      </c>
      <c r="M43" s="12">
        <f t="array" ref="M43">INDEX(L:L,MIN(IF(ISNUMBER(L43:L239),ROW(L43:L239),"")))</f>
        <v>5.4</v>
      </c>
      <c r="N43" s="13">
        <f>IF('Données projet'!$A$36&gt;35,N42+M43-V42,IF(A43&lt;'Données projet'!$A$36,$K$205^A43,IF(A43='Données projet'!$A$36,'Données projet'!$B$36,N42+M43-V42)))</f>
        <v>93.000000000000014</v>
      </c>
      <c r="O43" s="13">
        <f>N43*VLOOKUP('Données projet'!$B$9,Paramètres!$A$1:$I$89,3,0)*VLOOKUP('Données projet'!$B$9,Paramètres!$A$1:$I$89,5,0)</f>
        <v>94.302000000000021</v>
      </c>
      <c r="P43" s="13">
        <f t="shared" si="33"/>
        <v>25.599927492506424</v>
      </c>
      <c r="Q43" s="20">
        <f t="shared" si="53"/>
        <v>208.82919038278203</v>
      </c>
      <c r="R43" s="57">
        <f t="shared" si="0"/>
        <v>472.11911283673516</v>
      </c>
      <c r="S43" s="57">
        <f ca="1">AVERAGE(OFFSET($R$3,0,0,'Données projet'!$E$9+1,1))-AVERAGE(OFFSET($H$3,0,0,'Données projet'!$E$9+1,1))</f>
        <v>332.70145542047612</v>
      </c>
      <c r="T43" s="57">
        <f t="shared" si="34"/>
        <v>172.22433737900428</v>
      </c>
      <c r="U43" s="15">
        <f>IF(ISNA(VLOOKUP(A43,'Données projet'!$A$35:$I$55,3,0)),0,VLOOKUP(A43,'Données projet'!$A$35:$I$55,3,0))</f>
        <v>4</v>
      </c>
      <c r="V43" s="15">
        <f>IF(ISNA(VLOOKUP(A43,'Données projet'!$A$35:$I$55,4,0)),0,VLOOKUP(A43,'Données projet'!$A$35:$I$55,4,0))</f>
        <v>14</v>
      </c>
      <c r="W43" s="16">
        <f>IF(ISNA(VLOOKUP(A43,'Données projet'!$A$35:$I$55,5,0)),0%,VLOOKUP(A43,'Données projet'!$A$35:$I$55,5,0)*VLOOKUP('Données projet'!$B$9,Paramètres!$A$1:$I$89,7,0))</f>
        <v>8.6000000000000007E-2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1.3496201456750796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1.3496201456750796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61.806342487441754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4.3352272727272725</v>
      </c>
      <c r="AI43" s="13">
        <f>IF('Données projet'!$A$62&gt;35,AI42+AH43-AQ42,IF(A43&lt;'Données projet'!$A$62,$AF$205^A43,IF(A43='Données projet'!$A$62,'Données projet'!$B$62,AI42+AH43-AQ42)))</f>
        <v>173.40909090909091</v>
      </c>
      <c r="AJ43" s="13">
        <f>AI43*VLOOKUP('Données projet'!$B$10,Paramètres!$A$1:$I$89,3,0)*VLOOKUP('Données projet'!$B$10,Paramètres!$A$1:$I$89,5,0)</f>
        <v>156.90054545454544</v>
      </c>
      <c r="AK43" s="13">
        <f t="shared" si="35"/>
        <v>40.142630868254045</v>
      </c>
      <c r="AL43" s="20">
        <f t="shared" si="4"/>
        <v>343.18353209554238</v>
      </c>
      <c r="AM43" s="57">
        <f t="shared" si="5"/>
        <v>606.4734545494955</v>
      </c>
      <c r="AN43" s="57">
        <f ca="1">AVERAGE(OFFSET($AM$3,0,0,'Données projet'!$E$10+1,1))-AVERAGE(OFFSET($H$3,0,0,'Données projet'!$E$10+1,1))</f>
        <v>469.4210143164521</v>
      </c>
      <c r="AO43" s="57">
        <f t="shared" si="36"/>
        <v>308.4508386530556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61.806342487441754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228</v>
      </c>
      <c r="BB43" s="12">
        <f>VLOOKUP(A43,'Données projet'!$A$87:$I$107,9,0)</f>
        <v>11.4</v>
      </c>
      <c r="BC43" s="12">
        <f t="array" ref="BC43">INDEX(BB:BB,MIN(IF(ISNUMBER(BB43:BB239),ROW(BB43:BB239),"")))</f>
        <v>11.4</v>
      </c>
      <c r="BD43" s="12">
        <f>IF('Données projet'!$A$88&gt;35,BD42+BC43-BL42,IF(A43&lt;'Données projet'!$A$88,$BA$205^A43,IF(A43='Données projet'!$A$88,'Données projet'!$B$88,BD42+BC43-BL42)))</f>
        <v>228</v>
      </c>
      <c r="BE43" s="13">
        <f>BD43*VLOOKUP('Données projet'!$B$11,Paramètres!$A$1:$I$89,3,0)*VLOOKUP('Données projet'!$B$11,Paramètres!$A$1:$I$89,5,0)</f>
        <v>167.1696</v>
      </c>
      <c r="BF43" s="13">
        <f t="shared" si="37"/>
        <v>42.455490039298851</v>
      </c>
      <c r="BG43" s="20">
        <f t="shared" si="7"/>
        <v>365.09703181844549</v>
      </c>
      <c r="BH43" s="57">
        <f t="shared" si="8"/>
        <v>628.38695427239861</v>
      </c>
      <c r="BI43" s="57">
        <f ca="1">AVERAGE(OFFSET($BH$3,0,0,'Données projet'!$E$11+1,1))-AVERAGE(OFFSET($H$3,0,0,'Données projet'!$E$11+1,1))</f>
        <v>344.32981377462971</v>
      </c>
      <c r="BJ43" s="57">
        <f t="shared" si="38"/>
        <v>334.42512656625763</v>
      </c>
      <c r="BK43" s="15">
        <f>IF(ISNA(VLOOKUP(A43,'Données projet'!$A$87:$I$107,3,0)),0,VLOOKUP(A43,'Données projet'!$A$87:$I$107,3,0))</f>
        <v>7</v>
      </c>
      <c r="BL43" s="15">
        <f>IF(ISNA(VLOOKUP(A43,'Données projet'!$A$87:$I$107,4,0)),0,VLOOKUP(A43,'Données projet'!$A$87:$I$107,4,0))</f>
        <v>35</v>
      </c>
      <c r="BM43" s="16">
        <f>IF(ISNA(VLOOKUP(A43,'Données projet'!$A$87:$I$107,5,0)),0%,VLOOKUP(A43,'Données projet'!$A$87:$I$107,5,0)*VLOOKUP('Données projet'!$B$11,Paramètres!$A$1:$I$89,7,0))</f>
        <v>0.17200000000000001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18.021218228754847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18.021218228754847</v>
      </c>
      <c r="BT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61.806342487441754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227</v>
      </c>
      <c r="BW43" s="12">
        <f>VLOOKUP(A43,'Données projet'!$A$113:$I$133,9,0)</f>
        <v>10.6</v>
      </c>
      <c r="BX43" s="12">
        <f t="array" ref="BX43">INDEX(BW:BW,MIN(IF(ISNUMBER(BW43:BW239),ROW(BW43:BW239),"")))</f>
        <v>10.6</v>
      </c>
      <c r="BY43" s="12">
        <f>IF('Données projet'!$A$114&gt;35,BY42+BX43-CG42,IF(A43&lt;'Données projet'!$A$114,$BV$205^A43,IF(A43='Données projet'!$A$114,'Données projet'!$B$114,BY42+BX43-CG42)))</f>
        <v>226.99999999999994</v>
      </c>
      <c r="BZ43" s="13">
        <f>BY43*VLOOKUP('Données projet'!$B$12,Paramètres!$A$1:$I$89,3,0)*VLOOKUP('Données projet'!$B$12,Paramètres!$A$1:$I$89,5,0)</f>
        <v>216.01319999999996</v>
      </c>
      <c r="CA43" s="13">
        <f t="shared" si="39"/>
        <v>53.247454315103461</v>
      </c>
      <c r="CB43" s="20">
        <f t="shared" si="10"/>
        <v>468.96230626547168</v>
      </c>
      <c r="CC43" s="57">
        <f t="shared" si="11"/>
        <v>732.25222871942481</v>
      </c>
      <c r="CD43" s="57">
        <f ca="1">AVERAGE(OFFSET($CC$3,0,0,'Données projet'!$E$12+1,1))-AVERAGE(OFFSET($H$3,0,0,'Données projet'!$E$12+1,1))</f>
        <v>498.77732039282807</v>
      </c>
      <c r="CE43" s="57">
        <f t="shared" si="40"/>
        <v>384.57317421826531</v>
      </c>
      <c r="CF43" s="15">
        <f>IF(ISNA(VLOOKUP(A43,'Données projet'!$A$113:$I$133,3,0)),0,VLOOKUP(A43,'Données projet'!$A$113:$I$133,3,0))</f>
        <v>4</v>
      </c>
      <c r="CG43" s="15">
        <f>IF(ISNA(VLOOKUP(A43,'Données projet'!$A$113:$I$133,4,0)),0,VLOOKUP(A43,'Données projet'!$A$113:$I$133,4,0))</f>
        <v>29</v>
      </c>
      <c r="CH43" s="16">
        <f>IF(ISNA(VLOOKUP(A43,'Données projet'!$A$113:$I$133,5,0)),0%,VLOOKUP(A43,'Données projet'!$A$113:$I$133,5,0)*VLOOKUP('Données projet'!$B$12,Paramètres!$A$1:$I$89,7,0))</f>
        <v>8.6000000000000007E-2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4.7540410142590055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4.7540410142590055</v>
      </c>
      <c r="CO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61.806342487441754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4.3352272727272725</v>
      </c>
      <c r="CT43" s="12">
        <f>IF('Données projet'!$A$140&gt;35,CT42+CS43-DB42,IF(A43&lt;'Données projet'!$A$140,$CQ$205^A43,IF(A43='Données projet'!$A$140,'Données projet'!$B$140,CT42+CS43-DB42)))</f>
        <v>173.40909090909091</v>
      </c>
      <c r="CU43" s="17">
        <f>CT43*VLOOKUP('Données projet'!$B$13,Paramètres!$A$1:$I$89,3,0)*VLOOKUP('Données projet'!$B$13,Paramètres!$A$1:$I$89,5,0)</f>
        <v>116.32281818181818</v>
      </c>
      <c r="CV43" s="13">
        <f t="shared" si="41"/>
        <v>30.815809743249307</v>
      </c>
      <c r="CW43" s="20">
        <f t="shared" si="13"/>
        <v>256.26644363615918</v>
      </c>
      <c r="CX43" s="57">
        <f t="shared" si="14"/>
        <v>519.55636609011231</v>
      </c>
      <c r="CY43" s="57">
        <f ca="1">AVERAGE(OFFSET($CX$3,0,0,'Données projet'!$E$13+1,1))-AVERAGE(OFFSET($H$3,0,0,'Données projet'!$E$13+1,1))</f>
        <v>365.99625753737246</v>
      </c>
      <c r="CZ43" s="57">
        <f t="shared" si="42"/>
        <v>242.84814712692287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61.806342487441754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224</v>
      </c>
      <c r="DM43" s="12">
        <f>VLOOKUP(A43,'Données projet'!$A$165:$I$185,9,0)</f>
        <v>8.8000000000000007</v>
      </c>
      <c r="DN43" s="12">
        <f t="array" ref="DN43">INDEX(DM:DM,MIN(IF(ISNUMBER(DM43:DM239),ROW(DM43:DM239),"")))</f>
        <v>8.8000000000000007</v>
      </c>
      <c r="DO43" s="12">
        <f>IF('Données projet'!$A$166&gt;35,DO42+DN43-DW42,IF(A43&lt;'Données projet'!$A$166,$DL$205^A43,IF(A43='Données projet'!$A$166,'Données projet'!$B$166,DO42+DN43-DW42)))</f>
        <v>224.00000000000003</v>
      </c>
      <c r="DP43" s="17">
        <f>DO43*VLOOKUP('Données projet'!$B$14,Paramètres!$A$1:$I$89,3,0)*VLOOKUP('Données projet'!$B$14,Paramètres!$A$1:$I$89,5,0)</f>
        <v>146.76480000000004</v>
      </c>
      <c r="DQ43" s="13">
        <f t="shared" si="43"/>
        <v>37.842444439956665</v>
      </c>
      <c r="DR43" s="20">
        <f t="shared" si="16"/>
        <v>321.52428406625791</v>
      </c>
      <c r="DS43" s="57">
        <f t="shared" si="17"/>
        <v>584.81420652021097</v>
      </c>
      <c r="DT43" s="57">
        <f ca="1">AVERAGE(OFFSET($DS$3,0,0,'Données projet'!$E$14+1,1))-AVERAGE(OFFSET($H$3,0,0,'Données projet'!$E$14+1,1))</f>
        <v>313.79279628660527</v>
      </c>
      <c r="DU43" s="57">
        <f t="shared" si="44"/>
        <v>317.45469955216254</v>
      </c>
      <c r="DV43" s="15">
        <f>IF(ISNA(VLOOKUP(A43,'Données projet'!$A$165:$I$185,3,0)),0,VLOOKUP(A43,'Données projet'!$A$165:$I$185,3,0))</f>
        <v>7</v>
      </c>
      <c r="DW43" s="15">
        <f>IF(ISNA(VLOOKUP(A43,'Données projet'!$A$165:$I$185,4,0)),0,VLOOKUP(A43,'Données projet'!$A$165:$I$185,4,0))</f>
        <v>28</v>
      </c>
      <c r="DX43" s="16">
        <f>IF(ISNA(VLOOKUP(A43,'Données projet'!$A$165:$I$185,5,0)),0%,VLOOKUP(A43,'Données projet'!$A$165:$I$185,5,0)*VLOOKUP('Données projet'!$B$14,Paramètres!$A$1:$I$89,7,0))</f>
        <v>0.129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5.5244509205406045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5.5244509205406045</v>
      </c>
      <c r="EE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61.806342487441754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22.166666666666668</v>
      </c>
      <c r="EJ43" s="12">
        <f>IF('Données projet'!$A$192&gt;35,EJ42+EI43-ER42,IF(A43&lt;'Données projet'!$A$192,$EG$205^A43,IF(A43='Données projet'!$A$192,'Données projet'!$B$192,EJ42+EI43-ER42)))</f>
        <v>322.6666666666668</v>
      </c>
      <c r="EK43" s="17">
        <f>EJ43*VLOOKUP('Données projet'!$B$15,Paramètres!$A$1:$I$89,3,0)*VLOOKUP('Données projet'!$B$15,Paramètres!$A$1:$I$89,5,0)</f>
        <v>276.84800000000013</v>
      </c>
      <c r="EL43" s="13">
        <f t="shared" si="45"/>
        <v>66.300462421409705</v>
      </c>
      <c r="EM43" s="20">
        <f t="shared" si="19"/>
        <v>597.65023871728874</v>
      </c>
      <c r="EN43" s="57">
        <f t="shared" si="20"/>
        <v>860.94016117124193</v>
      </c>
      <c r="EO43" s="57">
        <f ca="1">AVERAGE(OFFSET($EN$3,0,0,'Données projet'!$E$15+1,1))-AVERAGE(OFFSET($H$3,0,0,'Données projet'!$E$15+1,1))</f>
        <v>643.04899298561475</v>
      </c>
      <c r="EP43" s="57">
        <f t="shared" si="46"/>
        <v>474.94999304483031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23.028823770510133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23.028823770510133</v>
      </c>
      <c r="EZ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61.806342487441754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228</v>
      </c>
      <c r="FC43" s="12">
        <f>VLOOKUP(A43,'Données projet'!$A$217:$I$237,9,0)</f>
        <v>11.4</v>
      </c>
      <c r="FD43" s="12">
        <f t="array" ref="FD43">INDEX(FC:FC,MIN(IF(ISNUMBER(FC43:FC239),ROW(FC43:FC239),"")))</f>
        <v>11.4</v>
      </c>
      <c r="FE43" s="12">
        <f>IF('Données projet'!$A$218&gt;35,FE42+FD43-FM42,IF(A43&lt;'Données projet'!$A$218,$FB$205^A43,IF(A43='Données projet'!$A$218,'Données projet'!$B$218,FE42+FD43-FM42)))</f>
        <v>228</v>
      </c>
      <c r="FF43" s="17">
        <f>FE43*VLOOKUP('Données projet'!$B$16,Paramètres!$A$1:$I$89,3,0)*VLOOKUP('Données projet'!$B$16,Paramètres!$A$1:$I$89,5,0)</f>
        <v>184.95360000000002</v>
      </c>
      <c r="FG43" s="13">
        <f t="shared" si="47"/>
        <v>46.42252355095799</v>
      </c>
      <c r="FH43" s="20">
        <f t="shared" si="22"/>
        <v>402.9800818512519</v>
      </c>
      <c r="FI43" s="57">
        <f t="shared" si="23"/>
        <v>666.27000430520502</v>
      </c>
      <c r="FJ43" s="57">
        <f ca="1">AVERAGE(OFFSET($FI$3,0,0,'Données projet'!$E$16+1,1))-AVERAGE(OFFSET($H$3,0,0,'Données projet'!$E$16+1,1))</f>
        <v>375.34603719604439</v>
      </c>
      <c r="FK43" s="57">
        <f t="shared" si="48"/>
        <v>363.99476973672211</v>
      </c>
      <c r="FL43" s="15">
        <f>IF(ISNA(VLOOKUP(A43,'Données projet'!$A$217:$I$237,3,0)),0,VLOOKUP(A43,'Données projet'!$A$217:$I$237,3,0))</f>
        <v>7</v>
      </c>
      <c r="FM43" s="15">
        <f>IF(ISNA(VLOOKUP(A43,'Données projet'!$A$217:$I$237,4,0)),0,VLOOKUP(A43,'Données projet'!$A$217:$I$237,4,0))</f>
        <v>35</v>
      </c>
      <c r="FN43" s="16">
        <f>IF(ISNA(VLOOKUP(A43,'Données projet'!$A$217:$I$237,5,0)),0%,VLOOKUP(A43,'Données projet'!$A$217:$I$237,5,0)*VLOOKUP('Données projet'!$B$16,Paramètres!$A$1:$I$89,7,0))</f>
        <v>0.21200000000000002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24.57519912837623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24.57519912837623</v>
      </c>
      <c r="FU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61.806342487441754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28.059999999999992</v>
      </c>
      <c r="FZ43" s="12">
        <f>IF('Données projet'!$A$244&gt;35,FZ42+FY43-GH42,IF(A43&lt;'Données projet'!$A$244,$FW$205^A43,IF(A43='Données projet'!$A$244,'Données projet'!$B$244,FZ42+FY43-GH42)))</f>
        <v>527.76999999999987</v>
      </c>
      <c r="GA43" s="17">
        <f>FZ43*VLOOKUP('Données projet'!$B$17,Paramètres!$A$1:$I$89,3,0)*VLOOKUP('Données projet'!$B$17,Paramètres!$A$1:$I$89,5,0)</f>
        <v>295.02342999999996</v>
      </c>
      <c r="GB43" s="13">
        <f t="shared" si="49"/>
        <v>70.132169738860085</v>
      </c>
      <c r="GC43" s="20">
        <f t="shared" si="25"/>
        <v>635.97933621184779</v>
      </c>
      <c r="GD43" s="57">
        <f t="shared" si="26"/>
        <v>899.26925866580086</v>
      </c>
      <c r="GE43" s="57">
        <f ca="1">AVERAGE(OFFSET($GD$3,0,0,'Données projet'!$E$17+1,1))-AVERAGE(OFFSET($H$3,0,0,'Données projet'!$E$17+1,1))</f>
        <v>414.47327143450701</v>
      </c>
      <c r="GF43" s="57">
        <f t="shared" si="50"/>
        <v>546.83385887302961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35.543434844438735</v>
      </c>
      <c r="GM43" s="21">
        <f>EXP(-LN(2)/25)*GM42+(1-EXP(-LN(2)/25))/(LN(2)/25)*Calculateur!GH43*Calculateur!GJ43*VLOOKUP('Données projet'!$B$17,Paramètres!$A$1:$I$89,3,0)*0.475*44/12</f>
        <v>29.876061406151219</v>
      </c>
      <c r="GN43" s="21">
        <f>EXP(-LN(2)/2)*GN42+(1-EXP(-LN(2)/2))/(LN(2)/2)*GH43*GK43*VLOOKUP('Données projet'!$B$17,Paramètres!$A$1:$I$89,3,0)*0.475*44/12</f>
        <v>3.4533883905353857</v>
      </c>
      <c r="GO43" s="21">
        <f t="shared" si="27"/>
        <v>68.872884641125339</v>
      </c>
      <c r="GP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61.806342487441754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>
        <f>VLOOKUP(A43,'Données projet'!$A$269:$I$289,2,0)</f>
        <v>288</v>
      </c>
      <c r="GS43" s="12">
        <f>VLOOKUP(A43,'Données projet'!$A$269:$I$289,9,0)</f>
        <v>14.6</v>
      </c>
      <c r="GT43" s="12">
        <f t="array" ref="GT43">INDEX(GS:GS,MIN(IF(ISNUMBER(GS43:GS239),ROW(GS43:GS239),"")))</f>
        <v>14.6</v>
      </c>
      <c r="GU43" s="12">
        <f>IF('Données projet'!$A$270&gt;35,GU42+GT43-HC42,IF(A43&lt;'Données projet'!$A$270,$GR$205^A43,IF(A43='Données projet'!$A$270,'Données projet'!$B$270,GU42+GT43-HC42)))</f>
        <v>288.00000000000006</v>
      </c>
      <c r="GV43" s="17">
        <f>GU43*VLOOKUP('Données projet'!$B$18,Paramètres!$A$1:$I$89,3,0)*VLOOKUP('Données projet'!$B$18,Paramètres!$A$1:$I$89,5,0)</f>
        <v>157.24800000000005</v>
      </c>
      <c r="GW43" s="13">
        <f t="shared" si="51"/>
        <v>40.221168744348645</v>
      </c>
      <c r="GX43" s="20">
        <f t="shared" si="28"/>
        <v>343.92546889640727</v>
      </c>
      <c r="GY43" s="57">
        <f t="shared" si="29"/>
        <v>607.21539135036039</v>
      </c>
      <c r="GZ43" s="57">
        <f ca="1">AVERAGE(OFFSET($GY$3,0,0,'Données projet'!$E$18+1,1))-AVERAGE(OFFSET($H$3,0,0,'Données projet'!$E$18+1,1))</f>
        <v>381.00532469288714</v>
      </c>
      <c r="HA43" s="57">
        <f t="shared" si="52"/>
        <v>314.875259641757</v>
      </c>
      <c r="HB43" s="15">
        <f>IF(ISNA(VLOOKUP(A43,'Données projet'!$A$269:$I$289,3,0)),0,VLOOKUP(A43,'Données projet'!$A$269:$I$289,3,0))</f>
        <v>7</v>
      </c>
      <c r="HC43" s="15">
        <f>IF(ISNA(VLOOKUP(A43,'Données projet'!$A$269:$I$289,4,0)),0,VLOOKUP(A43,'Données projet'!$A$269:$I$289,4,0))</f>
        <v>40</v>
      </c>
      <c r="HD43" s="16">
        <f>IF(ISNA(VLOOKUP(A43,'Données projet'!$A$269:$I$289,5,0)),0%,VLOOKUP(A43,'Données projet'!$A$269:$I$289,5,0)*VLOOKUP('Données projet'!$B$18,Paramètres!$A$1:$I$89,7,0))</f>
        <v>0.3</v>
      </c>
      <c r="HE43" s="16">
        <f>IF(ISNA(VLOOKUP(A43,'Données projet'!$A$269:$I$289,6,0)),0%,VLOOKUP(A43,'Données projet'!$A$269:$I$289,6,0)*VLOOKUP('Données projet'!$B$18,Paramètres!$A$1:$I$89,7,0))</f>
        <v>0.16800000000000001</v>
      </c>
      <c r="HF43" s="16">
        <f>IF(ISNA(VLOOKUP(A43,'Données projet'!$A$269:$I$289,7,0)),0%,VLOOKUP(A43,'Données projet'!$A$269:$I$289,7,0))</f>
        <v>0.22</v>
      </c>
      <c r="HG43" s="21">
        <f>EXP(-LN(2)/35)*HG42+(1-EXP(-LN(2)/35))/(LN(2)/35)*HC43*HD43*VLOOKUP('Données projet'!$B$18,Paramètres!$A$1:$I$89,3,0)*0.475*44/12</f>
        <v>30.000513658536974</v>
      </c>
      <c r="HH43" s="21">
        <f>EXP(-LN(2)/25)*HH42+(1-EXP(-LN(2)/25))/(LN(2)/25)*Calculateur!HC43*Calculateur!HE43*VLOOKUP('Données projet'!$B$18,Paramètres!$A$1:$I$89,3,0)*0.475*44/12</f>
        <v>25.417467299351017</v>
      </c>
      <c r="HI43" s="21">
        <f>EXP(-LN(2)/2)*HI42+(1-EXP(-LN(2)/2))/(LN(2)/2)*HC43*HF43*VLOOKUP('Données projet'!$B$18,Paramètres!$A$1:$I$89,3,0)*0.475*44/12</f>
        <v>6.8974792900485564</v>
      </c>
      <c r="HJ43" s="22">
        <f t="shared" si="30"/>
        <v>62.315460247936549</v>
      </c>
    </row>
    <row r="44" spans="1:218" x14ac:dyDescent="0.2">
      <c r="A44" s="10">
        <f t="shared" si="31"/>
        <v>41</v>
      </c>
      <c r="B44" s="71">
        <f>'Scénario référence'!$B$16*5+'Scénario référence'!$B$17*0+'Scénario référence'!$B$18*5</f>
        <v>3.3000000000000003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12.100000000000001</v>
      </c>
      <c r="H44" s="65">
        <f t="shared" si="1"/>
        <v>208.26666666666665</v>
      </c>
      <c r="I44" s="6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61.948484127010715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5.6</v>
      </c>
      <c r="N44" s="13">
        <f>IF('Données projet'!$A$36&gt;35,N43+M44-V43,IF(A44&lt;'Données projet'!$A$36,$K$205^A44,IF(A44='Données projet'!$A$36,'Données projet'!$B$36,N43+M44-V43)))</f>
        <v>84.600000000000009</v>
      </c>
      <c r="O44" s="13">
        <f>N44*VLOOKUP('Données projet'!$B$9,Paramètres!$A$1:$I$89,3,0)*VLOOKUP('Données projet'!$B$9,Paramètres!$A$1:$I$89,5,0)</f>
        <v>85.784400000000019</v>
      </c>
      <c r="P44" s="13">
        <f t="shared" si="33"/>
        <v>23.545702623664209</v>
      </c>
      <c r="Q44" s="20">
        <f t="shared" si="53"/>
        <v>190.41659540288185</v>
      </c>
      <c r="R44" s="57">
        <f t="shared" si="0"/>
        <v>454.22770386858781</v>
      </c>
      <c r="S44" s="57">
        <f ca="1">AVERAGE(OFFSET($R$3,0,0,'Données projet'!$E$9+1,1))-AVERAGE(OFFSET($H$3,0,0,'Données projet'!$E$9+1,1))</f>
        <v>332.70145542047612</v>
      </c>
      <c r="T44" s="57">
        <f t="shared" si="34"/>
        <v>172.22433737900428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1.3231549178053972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1.3231549178053972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61.948484127010715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4.3352272727272725</v>
      </c>
      <c r="AI44" s="13">
        <f>IF('Données projet'!$A$62&gt;35,AI43+AH44-AQ43,IF(A44&lt;'Données projet'!$A$62,$AF$205^A44,IF(A44='Données projet'!$A$62,'Données projet'!$B$62,AI43+AH44-AQ43)))</f>
        <v>177.74431818181819</v>
      </c>
      <c r="AJ44" s="13">
        <f>AI44*VLOOKUP('Données projet'!$B$10,Paramètres!$A$1:$I$89,3,0)*VLOOKUP('Données projet'!$B$10,Paramètres!$A$1:$I$89,5,0)</f>
        <v>160.82305909090911</v>
      </c>
      <c r="AK44" s="13">
        <f t="shared" si="35"/>
        <v>41.02810320886806</v>
      </c>
      <c r="AL44" s="20">
        <f t="shared" si="4"/>
        <v>351.55744100544524</v>
      </c>
      <c r="AM44" s="57">
        <f t="shared" si="5"/>
        <v>615.36854947115125</v>
      </c>
      <c r="AN44" s="57">
        <f ca="1">AVERAGE(OFFSET($AM$3,0,0,'Données projet'!$E$10+1,1))-AVERAGE(OFFSET($H$3,0,0,'Données projet'!$E$10+1,1))</f>
        <v>469.4210143164521</v>
      </c>
      <c r="AO44" s="57">
        <f t="shared" si="36"/>
        <v>308.4508386530556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61.948484127010715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9.8000000000000007</v>
      </c>
      <c r="BD44" s="12">
        <f>IF('Données projet'!$A$88&gt;35,BD43+BC44-BL43,IF(A44&lt;'Données projet'!$A$88,$BA$205^A44,IF(A44='Données projet'!$A$88,'Données projet'!$B$88,BD43+BC44-BL43)))</f>
        <v>202.8</v>
      </c>
      <c r="BE44" s="13">
        <f>BD44*VLOOKUP('Données projet'!$B$11,Paramètres!$A$1:$I$89,3,0)*VLOOKUP('Données projet'!$B$11,Paramètres!$A$1:$I$89,5,0)</f>
        <v>148.69296</v>
      </c>
      <c r="BF44" s="13">
        <f t="shared" si="37"/>
        <v>38.281404966971365</v>
      </c>
      <c r="BG44" s="20">
        <f t="shared" si="7"/>
        <v>325.64701898414177</v>
      </c>
      <c r="BH44" s="57">
        <f t="shared" si="8"/>
        <v>589.45812744984778</v>
      </c>
      <c r="BI44" s="57">
        <f ca="1">AVERAGE(OFFSET($BH$3,0,0,'Données projet'!$E$11+1,1))-AVERAGE(OFFSET($H$3,0,0,'Données projet'!$E$11+1,1))</f>
        <v>344.32981377462971</v>
      </c>
      <c r="BJ44" s="57">
        <f t="shared" si="38"/>
        <v>334.42512656625763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17.667833131146729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17.667833131146729</v>
      </c>
      <c r="BT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61.948484127010715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9.8000000000000007</v>
      </c>
      <c r="BY44" s="12">
        <f>IF('Données projet'!$A$114&gt;35,BY43+BX44-CG43,IF(A44&lt;'Données projet'!$A$114,$BV$205^A44,IF(A44='Données projet'!$A$114,'Données projet'!$B$114,BY43+BX44-CG43)))</f>
        <v>207.79999999999995</v>
      </c>
      <c r="BZ44" s="13">
        <f>BY44*VLOOKUP('Données projet'!$B$12,Paramètres!$A$1:$I$89,3,0)*VLOOKUP('Données projet'!$B$12,Paramètres!$A$1:$I$89,5,0)</f>
        <v>197.74247999999994</v>
      </c>
      <c r="CA44" s="13">
        <f t="shared" si="39"/>
        <v>49.247705850607339</v>
      </c>
      <c r="CB44" s="20">
        <f t="shared" si="10"/>
        <v>430.17457368980763</v>
      </c>
      <c r="CC44" s="57">
        <f t="shared" si="11"/>
        <v>693.98568215551359</v>
      </c>
      <c r="CD44" s="57">
        <f ca="1">AVERAGE(OFFSET($CC$3,0,0,'Données projet'!$E$12+1,1))-AVERAGE(OFFSET($H$3,0,0,'Données projet'!$E$12+1,1))</f>
        <v>498.77732039282807</v>
      </c>
      <c r="CE44" s="57">
        <f t="shared" si="40"/>
        <v>384.57317421826531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4.6608171696480856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4.6608171696480856</v>
      </c>
      <c r="CO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61.948484127010715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4.3352272727272725</v>
      </c>
      <c r="CT44" s="12">
        <f>IF('Données projet'!$A$140&gt;35,CT43+CS44-DB43,IF(A44&lt;'Données projet'!$A$140,$CQ$205^A44,IF(A44='Données projet'!$A$140,'Données projet'!$B$140,CT43+CS44-DB43)))</f>
        <v>177.74431818181819</v>
      </c>
      <c r="CU44" s="17">
        <f>CT44*VLOOKUP('Données projet'!$B$13,Paramètres!$A$1:$I$89,3,0)*VLOOKUP('Données projet'!$B$13,Paramètres!$A$1:$I$89,5,0)</f>
        <v>119.23088863636364</v>
      </c>
      <c r="CV44" s="13">
        <f t="shared" si="41"/>
        <v>31.495549625541077</v>
      </c>
      <c r="CW44" s="20">
        <f t="shared" si="13"/>
        <v>262.51521330615071</v>
      </c>
      <c r="CX44" s="57">
        <f t="shared" si="14"/>
        <v>526.32632177185667</v>
      </c>
      <c r="CY44" s="57">
        <f ca="1">AVERAGE(OFFSET($CX$3,0,0,'Données projet'!$E$13+1,1))-AVERAGE(OFFSET($H$3,0,0,'Données projet'!$E$13+1,1))</f>
        <v>365.99625753737246</v>
      </c>
      <c r="CZ44" s="57">
        <f t="shared" si="42"/>
        <v>242.84814712692287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61.948484127010715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8.1999999999999993</v>
      </c>
      <c r="DO44" s="12">
        <f>IF('Données projet'!$A$166&gt;35,DO43+DN44-DW43,IF(A44&lt;'Données projet'!$A$166,$DL$205^A44,IF(A44='Données projet'!$A$166,'Données projet'!$B$166,DO43+DN44-DW43)))</f>
        <v>204.20000000000002</v>
      </c>
      <c r="DP44" s="17">
        <f>DO44*VLOOKUP('Données projet'!$B$14,Paramètres!$A$1:$I$89,3,0)*VLOOKUP('Données projet'!$B$14,Paramètres!$A$1:$I$89,5,0)</f>
        <v>133.79184000000001</v>
      </c>
      <c r="DQ44" s="13">
        <f t="shared" si="43"/>
        <v>34.87107073670542</v>
      </c>
      <c r="DR44" s="20">
        <f t="shared" si="16"/>
        <v>293.75456953309532</v>
      </c>
      <c r="DS44" s="57">
        <f t="shared" si="17"/>
        <v>557.56567799880122</v>
      </c>
      <c r="DT44" s="57">
        <f ca="1">AVERAGE(OFFSET($DS$3,0,0,'Données projet'!$E$14+1,1))-AVERAGE(OFFSET($H$3,0,0,'Données projet'!$E$14+1,1))</f>
        <v>313.79279628660527</v>
      </c>
      <c r="DU44" s="57">
        <f t="shared" si="44"/>
        <v>317.45469955216254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5.4161198075711461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5.4161198075711461</v>
      </c>
      <c r="EE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61.948484127010715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22.166666666666668</v>
      </c>
      <c r="EJ44" s="12">
        <f>IF('Données projet'!$A$192&gt;35,EJ43+EI44-ER43,IF(A44&lt;'Données projet'!$A$192,$EG$205^A44,IF(A44='Données projet'!$A$192,'Données projet'!$B$192,EJ43+EI44-ER43)))</f>
        <v>344.83333333333348</v>
      </c>
      <c r="EK44" s="17">
        <f>EJ44*VLOOKUP('Données projet'!$B$15,Paramètres!$A$1:$I$89,3,0)*VLOOKUP('Données projet'!$B$15,Paramètres!$A$1:$I$89,5,0)</f>
        <v>295.86700000000019</v>
      </c>
      <c r="EL44" s="13">
        <f t="shared" si="45"/>
        <v>70.30932962785549</v>
      </c>
      <c r="EM44" s="20">
        <f t="shared" si="19"/>
        <v>637.75710743518198</v>
      </c>
      <c r="EN44" s="57">
        <f t="shared" si="20"/>
        <v>901.56821590088794</v>
      </c>
      <c r="EO44" s="57">
        <f ca="1">AVERAGE(OFFSET($EN$3,0,0,'Données projet'!$E$15+1,1))-AVERAGE(OFFSET($H$3,0,0,'Données projet'!$E$15+1,1))</f>
        <v>643.04899298561475</v>
      </c>
      <c r="EP44" s="57">
        <f t="shared" si="46"/>
        <v>474.94999304483031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22.577242582565983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22.577242582565983</v>
      </c>
      <c r="EZ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61.948484127010715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9.8000000000000007</v>
      </c>
      <c r="FE44" s="12">
        <f>IF('Données projet'!$A$218&gt;35,FE43+FD44-FM43,IF(A44&lt;'Données projet'!$A$218,$FB$205^A44,IF(A44='Données projet'!$A$218,'Données projet'!$B$218,FE43+FD44-FM43)))</f>
        <v>202.8</v>
      </c>
      <c r="FF44" s="17">
        <f>FE44*VLOOKUP('Données projet'!$B$16,Paramètres!$A$1:$I$89,3,0)*VLOOKUP('Données projet'!$B$16,Paramètres!$A$1:$I$89,5,0)</f>
        <v>164.51136</v>
      </c>
      <c r="FG44" s="13">
        <f t="shared" si="47"/>
        <v>41.858412704646653</v>
      </c>
      <c r="FH44" s="20">
        <f t="shared" si="22"/>
        <v>359.4273541272596</v>
      </c>
      <c r="FI44" s="57">
        <f t="shared" si="23"/>
        <v>623.23846259296556</v>
      </c>
      <c r="FJ44" s="57">
        <f ca="1">AVERAGE(OFFSET($FI$3,0,0,'Données projet'!$E$16+1,1))-AVERAGE(OFFSET($H$3,0,0,'Données projet'!$E$16+1,1))</f>
        <v>375.34603719604439</v>
      </c>
      <c r="FK44" s="57">
        <f t="shared" si="48"/>
        <v>363.99476973672211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24.093294462860161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24.093294462860161</v>
      </c>
      <c r="FU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61.948484127010715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28.059999999999992</v>
      </c>
      <c r="FZ44" s="12">
        <f>IF('Données projet'!$A$244&gt;35,FZ43+FY44-GH43,IF(A44&lt;'Données projet'!$A$244,$FW$205^A44,IF(A44='Données projet'!$A$244,'Données projet'!$B$244,FZ43+FY44-GH43)))</f>
        <v>555.82999999999981</v>
      </c>
      <c r="GA44" s="17">
        <f>FZ44*VLOOKUP('Données projet'!$B$17,Paramètres!$A$1:$I$89,3,0)*VLOOKUP('Données projet'!$B$17,Paramètres!$A$1:$I$89,5,0)</f>
        <v>310.70896999999991</v>
      </c>
      <c r="GB44" s="13">
        <f t="shared" si="49"/>
        <v>73.41687163487299</v>
      </c>
      <c r="GC44" s="20">
        <f t="shared" si="25"/>
        <v>669.01917418073697</v>
      </c>
      <c r="GD44" s="57">
        <f t="shared" si="26"/>
        <v>932.83028264644292</v>
      </c>
      <c r="GE44" s="57">
        <f ca="1">AVERAGE(OFFSET($GD$3,0,0,'Données projet'!$E$17+1,1))-AVERAGE(OFFSET($H$3,0,0,'Données projet'!$E$17+1,1))</f>
        <v>414.47327143450701</v>
      </c>
      <c r="GF44" s="57">
        <f t="shared" si="50"/>
        <v>546.83385887302961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34.84644976649389</v>
      </c>
      <c r="GM44" s="21">
        <f>EXP(-LN(2)/25)*GM43+(1-EXP(-LN(2)/25))/(LN(2)/25)*Calculateur!GH44*Calculateur!GJ44*VLOOKUP('Données projet'!$B$17,Paramètres!$A$1:$I$89,3,0)*0.475*44/12</f>
        <v>29.059098935886226</v>
      </c>
      <c r="GN44" s="21">
        <f>EXP(-LN(2)/2)*GN43+(1-EXP(-LN(2)/2))/(LN(2)/2)*GH44*GK44*VLOOKUP('Données projet'!$B$17,Paramètres!$A$1:$I$89,3,0)*0.475*44/12</f>
        <v>2.4419143490184685</v>
      </c>
      <c r="GO44" s="21">
        <f t="shared" si="27"/>
        <v>66.347463051398591</v>
      </c>
      <c r="GP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61.948484127010715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13.2</v>
      </c>
      <c r="GU44" s="12">
        <f>IF('Données projet'!$A$270&gt;35,GU43+GT44-HC43,IF(A44&lt;'Données projet'!$A$270,$GR$205^A44,IF(A44='Données projet'!$A$270,'Données projet'!$B$270,GU43+GT44-HC43)))</f>
        <v>261.20000000000005</v>
      </c>
      <c r="GV44" s="17">
        <f>GU44*VLOOKUP('Données projet'!$B$18,Paramètres!$A$1:$I$89,3,0)*VLOOKUP('Données projet'!$B$18,Paramètres!$A$1:$I$89,5,0)</f>
        <v>142.61520000000004</v>
      </c>
      <c r="GW44" s="13">
        <f t="shared" si="51"/>
        <v>36.89546424141227</v>
      </c>
      <c r="GX44" s="20">
        <f t="shared" si="28"/>
        <v>312.64774022045975</v>
      </c>
      <c r="GY44" s="57">
        <f t="shared" si="29"/>
        <v>576.45884868616577</v>
      </c>
      <c r="GZ44" s="57">
        <f ca="1">AVERAGE(OFFSET($GY$3,0,0,'Données projet'!$E$18+1,1))-AVERAGE(OFFSET($H$3,0,0,'Données projet'!$E$18+1,1))</f>
        <v>381.00532469288714</v>
      </c>
      <c r="HA44" s="57">
        <f t="shared" si="52"/>
        <v>314.875259641757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>
        <f>EXP(-LN(2)/35)*HG43+(1-EXP(-LN(2)/35))/(LN(2)/35)*HC44*HD44*VLOOKUP('Données projet'!$B$18,Paramètres!$A$1:$I$89,3,0)*0.475*44/12</f>
        <v>29.412221884199568</v>
      </c>
      <c r="HH44" s="21">
        <f>EXP(-LN(2)/25)*HH43+(1-EXP(-LN(2)/25))/(LN(2)/25)*Calculateur!HC44*Calculateur!HE44*VLOOKUP('Données projet'!$B$18,Paramètres!$A$1:$I$89,3,0)*0.475*44/12</f>
        <v>24.722425319403751</v>
      </c>
      <c r="HI44" s="21">
        <f>EXP(-LN(2)/2)*HI43+(1-EXP(-LN(2)/2))/(LN(2)/2)*HC44*HF44*VLOOKUP('Données projet'!$B$18,Paramètres!$A$1:$I$89,3,0)*0.475*44/12</f>
        <v>4.8772543790871081</v>
      </c>
      <c r="HJ44" s="22">
        <f t="shared" si="30"/>
        <v>59.011901582690427</v>
      </c>
    </row>
    <row r="45" spans="1:218" x14ac:dyDescent="0.2">
      <c r="A45" s="10">
        <f t="shared" si="31"/>
        <v>42</v>
      </c>
      <c r="B45" s="71">
        <f>'Scénario référence'!$B$16*5+'Scénario référence'!$B$17*0+'Scénario référence'!$B$18*5</f>
        <v>3.3000000000000003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12.100000000000001</v>
      </c>
      <c r="H45" s="65">
        <f t="shared" si="1"/>
        <v>208.26666666666665</v>
      </c>
      <c r="I45" s="6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62.088159926914244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5.6</v>
      </c>
      <c r="N45" s="13">
        <f>IF('Données projet'!$A$36&gt;35,N44+M45-V44,IF(A45&lt;'Données projet'!$A$36,$K$205^A45,IF(A45='Données projet'!$A$36,'Données projet'!$B$36,N44+M45-V44)))</f>
        <v>90.2</v>
      </c>
      <c r="O45" s="13">
        <f>N45*VLOOKUP('Données projet'!$B$9,Paramètres!$A$1:$I$89,3,0)*VLOOKUP('Données projet'!$B$9,Paramètres!$A$1:$I$89,5,0)</f>
        <v>91.462800000000001</v>
      </c>
      <c r="P45" s="13">
        <f t="shared" si="33"/>
        <v>24.917685409456144</v>
      </c>
      <c r="Q45" s="20">
        <f t="shared" si="53"/>
        <v>202.69601208813609</v>
      </c>
      <c r="R45" s="57">
        <f t="shared" si="0"/>
        <v>467.01926515348828</v>
      </c>
      <c r="S45" s="57">
        <f ca="1">AVERAGE(OFFSET($R$3,0,0,'Données projet'!$E$9+1,1))-AVERAGE(OFFSET($H$3,0,0,'Données projet'!$E$9+1,1))</f>
        <v>332.70145542047612</v>
      </c>
      <c r="T45" s="57">
        <f t="shared" si="34"/>
        <v>172.22433737900428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1.2972086569120442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1.2972086569120442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62.088159926914244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4.3352272727272725</v>
      </c>
      <c r="AI45" s="13">
        <f>IF('Données projet'!$A$62&gt;35,AI44+AH45-AQ44,IF(A45&lt;'Données projet'!$A$62,$AF$205^A45,IF(A45='Données projet'!$A$62,'Données projet'!$B$62,AI44+AH45-AQ44)))</f>
        <v>182.07954545454547</v>
      </c>
      <c r="AJ45" s="13">
        <f>AI45*VLOOKUP('Données projet'!$B$10,Paramètres!$A$1:$I$89,3,0)*VLOOKUP('Données projet'!$B$10,Paramètres!$A$1:$I$89,5,0)</f>
        <v>164.74557272727273</v>
      </c>
      <c r="AK45" s="13">
        <f t="shared" si="35"/>
        <v>41.911064973947369</v>
      </c>
      <c r="AL45" s="20">
        <f t="shared" si="4"/>
        <v>359.926977329625</v>
      </c>
      <c r="AM45" s="57">
        <f t="shared" si="5"/>
        <v>624.25023039497728</v>
      </c>
      <c r="AN45" s="57">
        <f ca="1">AVERAGE(OFFSET($AM$3,0,0,'Données projet'!$E$10+1,1))-AVERAGE(OFFSET($H$3,0,0,'Données projet'!$E$10+1,1))</f>
        <v>469.4210143164521</v>
      </c>
      <c r="AO45" s="57">
        <f t="shared" si="36"/>
        <v>308.4508386530556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62.088159926914244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9.8000000000000007</v>
      </c>
      <c r="BD45" s="12">
        <f>IF('Données projet'!$A$88&gt;35,BD44+BC45-BL44,IF(A45&lt;'Données projet'!$A$88,$BA$205^A45,IF(A45='Données projet'!$A$88,'Données projet'!$B$88,BD44+BC45-BL44)))</f>
        <v>212.60000000000002</v>
      </c>
      <c r="BE45" s="13">
        <f>BD45*VLOOKUP('Données projet'!$B$11,Paramètres!$A$1:$I$89,3,0)*VLOOKUP('Données projet'!$B$11,Paramètres!$A$1:$I$89,5,0)</f>
        <v>155.87832000000003</v>
      </c>
      <c r="BF45" s="13">
        <f t="shared" si="37"/>
        <v>39.911451633481022</v>
      </c>
      <c r="BG45" s="20">
        <f t="shared" si="7"/>
        <v>341.00051892831283</v>
      </c>
      <c r="BH45" s="57">
        <f t="shared" si="8"/>
        <v>605.3237719936651</v>
      </c>
      <c r="BI45" s="57">
        <f ca="1">AVERAGE(OFFSET($BH$3,0,0,'Données projet'!$E$11+1,1))-AVERAGE(OFFSET($H$3,0,0,'Données projet'!$E$11+1,1))</f>
        <v>344.32981377462971</v>
      </c>
      <c r="BJ45" s="57">
        <f t="shared" si="38"/>
        <v>334.42512656625763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17.321377699759079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17.321377699759079</v>
      </c>
      <c r="BT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62.088159926914244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9.8000000000000007</v>
      </c>
      <c r="BY45" s="12">
        <f>IF('Données projet'!$A$114&gt;35,BY44+BX45-CG44,IF(A45&lt;'Données projet'!$A$114,$BV$205^A45,IF(A45='Données projet'!$A$114,'Données projet'!$B$114,BY44+BX45-CG44)))</f>
        <v>217.59999999999997</v>
      </c>
      <c r="BZ45" s="13">
        <f>BY45*VLOOKUP('Données projet'!$B$12,Paramètres!$A$1:$I$89,3,0)*VLOOKUP('Données projet'!$B$12,Paramètres!$A$1:$I$89,5,0)</f>
        <v>207.06815999999998</v>
      </c>
      <c r="CA45" s="13">
        <f t="shared" si="39"/>
        <v>51.294381591685067</v>
      </c>
      <c r="CB45" s="20">
        <f t="shared" si="10"/>
        <v>449.98142660551815</v>
      </c>
      <c r="CC45" s="57">
        <f t="shared" si="11"/>
        <v>714.30467967087043</v>
      </c>
      <c r="CD45" s="57">
        <f ca="1">AVERAGE(OFFSET($CC$3,0,0,'Données projet'!$E$12+1,1))-AVERAGE(OFFSET($H$3,0,0,'Données projet'!$E$12+1,1))</f>
        <v>498.77732039282807</v>
      </c>
      <c r="CE45" s="57">
        <f t="shared" si="40"/>
        <v>384.57317421826531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4.5694213877690553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4.5694213877690553</v>
      </c>
      <c r="CO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62.088159926914244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4.3352272727272725</v>
      </c>
      <c r="CT45" s="12">
        <f>IF('Données projet'!$A$140&gt;35,CT44+CS45-DB44,IF(A45&lt;'Données projet'!$A$140,$CQ$205^A45,IF(A45='Données projet'!$A$140,'Données projet'!$B$140,CT44+CS45-DB44)))</f>
        <v>182.07954545454547</v>
      </c>
      <c r="CU45" s="17">
        <f>CT45*VLOOKUP('Données projet'!$B$13,Paramètres!$A$1:$I$89,3,0)*VLOOKUP('Données projet'!$B$13,Paramètres!$A$1:$I$89,5,0)</f>
        <v>122.1389590909091</v>
      </c>
      <c r="CV45" s="13">
        <f t="shared" si="41"/>
        <v>32.173362244563172</v>
      </c>
      <c r="CW45" s="20">
        <f t="shared" si="13"/>
        <v>268.7606263259475</v>
      </c>
      <c r="CX45" s="57">
        <f t="shared" si="14"/>
        <v>533.08387939129966</v>
      </c>
      <c r="CY45" s="57">
        <f ca="1">AVERAGE(OFFSET($CX$3,0,0,'Données projet'!$E$13+1,1))-AVERAGE(OFFSET($H$3,0,0,'Données projet'!$E$13+1,1))</f>
        <v>365.99625753737246</v>
      </c>
      <c r="CZ45" s="57">
        <f t="shared" si="42"/>
        <v>242.84814712692287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62.088159926914244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8.1999999999999993</v>
      </c>
      <c r="DO45" s="12">
        <f>IF('Données projet'!$A$166&gt;35,DO44+DN45-DW44,IF(A45&lt;'Données projet'!$A$166,$DL$205^A45,IF(A45='Données projet'!$A$166,'Données projet'!$B$166,DO44+DN45-DW44)))</f>
        <v>212.4</v>
      </c>
      <c r="DP45" s="17">
        <f>DO45*VLOOKUP('Données projet'!$B$14,Paramètres!$A$1:$I$89,3,0)*VLOOKUP('Données projet'!$B$14,Paramètres!$A$1:$I$89,5,0)</f>
        <v>139.16448</v>
      </c>
      <c r="DQ45" s="13">
        <f t="shared" si="43"/>
        <v>36.105532965181432</v>
      </c>
      <c r="DR45" s="20">
        <f t="shared" si="16"/>
        <v>305.26193924769092</v>
      </c>
      <c r="DS45" s="57">
        <f t="shared" si="17"/>
        <v>569.58519231304308</v>
      </c>
      <c r="DT45" s="57">
        <f ca="1">AVERAGE(OFFSET($DS$3,0,0,'Données projet'!$E$14+1,1))-AVERAGE(OFFSET($H$3,0,0,'Données projet'!$E$14+1,1))</f>
        <v>313.79279628660527</v>
      </c>
      <c r="DU45" s="57">
        <f t="shared" si="44"/>
        <v>317.45469955216254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5.3099130016515641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5.3099130016515641</v>
      </c>
      <c r="EE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62.088159926914244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>
        <f>VLOOKUP(A45,'Données projet'!$A$191:$I$211,2,0)</f>
        <v>367</v>
      </c>
      <c r="EH45" s="12">
        <f>VLOOKUP(A45,'Données projet'!$A$191:$I$211,9,0)</f>
        <v>22.166666666666668</v>
      </c>
      <c r="EI45" s="12">
        <f t="array" ref="EI45">INDEX(EH:EH,MIN(IF(ISNUMBER(EH45:EH241),ROW(EH45:EH241),"")))</f>
        <v>22.166666666666668</v>
      </c>
      <c r="EJ45" s="12">
        <f>IF('Données projet'!$A$192&gt;35,EJ44+EI45-ER44,IF(A45&lt;'Données projet'!$A$192,$EG$205^A45,IF(A45='Données projet'!$A$192,'Données projet'!$B$192,EJ44+EI45-ER44)))</f>
        <v>367.00000000000017</v>
      </c>
      <c r="EK45" s="17">
        <f>EJ45*VLOOKUP('Données projet'!$B$15,Paramètres!$A$1:$I$89,3,0)*VLOOKUP('Données projet'!$B$15,Paramètres!$A$1:$I$89,5,0)</f>
        <v>314.88600000000019</v>
      </c>
      <c r="EL45" s="13">
        <f t="shared" si="45"/>
        <v>74.288290872440228</v>
      </c>
      <c r="EM45" s="20">
        <f t="shared" si="19"/>
        <v>677.81188993616718</v>
      </c>
      <c r="EN45" s="57">
        <f t="shared" si="20"/>
        <v>942.1351430015194</v>
      </c>
      <c r="EO45" s="57">
        <f ca="1">AVERAGE(OFFSET($EN$3,0,0,'Données projet'!$E$15+1,1))-AVERAGE(OFFSET($H$3,0,0,'Données projet'!$E$15+1,1))</f>
        <v>643.04899298561475</v>
      </c>
      <c r="EP45" s="57">
        <f t="shared" si="46"/>
        <v>474.94999304483031</v>
      </c>
      <c r="EQ45" s="15">
        <f>IF(ISNA(VLOOKUP(A45,'Données projet'!$A$191:$I$211,3,0)),0,VLOOKUP(A45,'Données projet'!$A$191:$I$211,3,0))</f>
        <v>8</v>
      </c>
      <c r="ER45" s="15">
        <f>IF(ISNA(VLOOKUP(A45,'Données projet'!$A$191:$I$211,4,0)),0,VLOOKUP(A45,'Données projet'!$A$191:$I$211,4,0))</f>
        <v>90</v>
      </c>
      <c r="ES45" s="16">
        <f>IF(ISNA(VLOOKUP(A45,'Données projet'!$A$191:$I$211,5,0)),0%,VLOOKUP(A45,'Données projet'!$A$191:$I$211,5,0)*VLOOKUP('Données projet'!$B$15,Paramètres!$A$1:$I$89,7,0))</f>
        <v>0.26500000000000001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44.756088643776707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44.756088643776707</v>
      </c>
      <c r="EZ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62.088159926914244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9.8000000000000007</v>
      </c>
      <c r="FE45" s="12">
        <f>IF('Données projet'!$A$218&gt;35,FE44+FD45-FM44,IF(A45&lt;'Données projet'!$A$218,$FB$205^A45,IF(A45='Données projet'!$A$218,'Données projet'!$B$218,FE44+FD45-FM44)))</f>
        <v>212.60000000000002</v>
      </c>
      <c r="FF45" s="17">
        <f>FE45*VLOOKUP('Données projet'!$B$16,Paramètres!$A$1:$I$89,3,0)*VLOOKUP('Données projet'!$B$16,Paramètres!$A$1:$I$89,5,0)</f>
        <v>172.46112000000005</v>
      </c>
      <c r="FG45" s="13">
        <f t="shared" si="47"/>
        <v>43.640770644577643</v>
      </c>
      <c r="FH45" s="20">
        <f t="shared" si="22"/>
        <v>376.37745953930607</v>
      </c>
      <c r="FI45" s="57">
        <f t="shared" si="23"/>
        <v>640.70071260465829</v>
      </c>
      <c r="FJ45" s="57">
        <f ca="1">AVERAGE(OFFSET($FI$3,0,0,'Données projet'!$E$16+1,1))-AVERAGE(OFFSET($H$3,0,0,'Données projet'!$E$16+1,1))</f>
        <v>375.34603719604439</v>
      </c>
      <c r="FK45" s="57">
        <f t="shared" si="48"/>
        <v>363.99476973672211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23.620839653902038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23.620839653902038</v>
      </c>
      <c r="FU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62.088159926914244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>
        <f>VLOOKUP(A45,'Données projet'!$A$243:$I$263,2,0)</f>
        <v>583.89</v>
      </c>
      <c r="FX45" s="12">
        <f>VLOOKUP(A45,'Données projet'!$A$243:$I$263,9,0)</f>
        <v>28.059999999999992</v>
      </c>
      <c r="FY45" s="12">
        <f t="array" ref="FY45">INDEX(FX:FX,MIN(IF(ISNUMBER(FX45:FX241),ROW(FX45:FX241),"")))</f>
        <v>28.059999999999992</v>
      </c>
      <c r="FZ45" s="12">
        <f>IF('Données projet'!$A$244&gt;35,FZ44+FY45-GH44,IF(A45&lt;'Données projet'!$A$244,$FW$205^A45,IF(A45='Données projet'!$A$244,'Données projet'!$B$244,FZ44+FY45-GH44)))</f>
        <v>583.88999999999976</v>
      </c>
      <c r="GA45" s="17">
        <f>FZ45*VLOOKUP('Données projet'!$B$17,Paramètres!$A$1:$I$89,3,0)*VLOOKUP('Données projet'!$B$17,Paramètres!$A$1:$I$89,5,0)</f>
        <v>326.39450999999985</v>
      </c>
      <c r="GB45" s="13">
        <f t="shared" si="49"/>
        <v>76.68231983802859</v>
      </c>
      <c r="GC45" s="20">
        <f t="shared" si="25"/>
        <v>702.02547863456618</v>
      </c>
      <c r="GD45" s="57">
        <f t="shared" si="26"/>
        <v>966.3487316999184</v>
      </c>
      <c r="GE45" s="57">
        <f ca="1">AVERAGE(OFFSET($GD$3,0,0,'Données projet'!$E$17+1,1))-AVERAGE(OFFSET($H$3,0,0,'Données projet'!$E$17+1,1))</f>
        <v>414.47327143450701</v>
      </c>
      <c r="GF45" s="57">
        <f t="shared" si="50"/>
        <v>546.83385887302961</v>
      </c>
      <c r="GG45" s="15">
        <f>IF(ISNA(VLOOKUP(A45,'Données projet'!$A$243:$I$263,3,0)),0,VLOOKUP(A45,'Données projet'!$A$243:$I$263,3,0))</f>
        <v>5</v>
      </c>
      <c r="GH45" s="15">
        <f>IF(ISNA(VLOOKUP(A45,'Données projet'!$A$243:$I$263,4,0)),0,VLOOKUP(A45,'Données projet'!$A$243:$I$263,4,0))</f>
        <v>91.25</v>
      </c>
      <c r="GI45" s="16">
        <f>IF(ISNA(VLOOKUP(A45,'Données projet'!$A$243:$I$263,5,0)),0%,VLOOKUP(A45,'Données projet'!$A$243:$I$263,5,0)*VLOOKUP('Données projet'!$B$17,Paramètres!$A$1:$I$89,7,0))</f>
        <v>0.33</v>
      </c>
      <c r="GJ45" s="16">
        <f>IF(ISNA(VLOOKUP(A45,'Données projet'!$A$243:$I$263,6,0)),0%,VLOOKUP(A45,'Données projet'!$A$243:$I$263,6,0)*VLOOKUP('Données projet'!$B$17,Paramètres!$A$1:$I$89,7,0))</f>
        <v>0.12100000000000001</v>
      </c>
      <c r="GK45" s="16">
        <f>IF(ISNA(VLOOKUP(A45,'Données projet'!$A$243:$I$263,7,0)),0%,VLOOKUP(A45,'Données projet'!$A$243:$I$263,7,0))</f>
        <v>0.18</v>
      </c>
      <c r="GL45" s="21">
        <f>EXP(-LN(2)/35)*GL44+(1-EXP(-LN(2)/35))/(LN(2)/35)*GH45*GI45*VLOOKUP('Données projet'!$B$17,Paramètres!$A$1:$I$89,3,0)*0.475*44/12</f>
        <v>56.493042380721164</v>
      </c>
      <c r="GM45" s="21">
        <f>EXP(-LN(2)/25)*GM44+(1-EXP(-LN(2)/25))/(LN(2)/25)*Calculateur!GH45*Calculateur!GJ45*VLOOKUP('Données projet'!$B$17,Paramètres!$A$1:$I$89,3,0)*0.475*44/12</f>
        <v>36.419872268142385</v>
      </c>
      <c r="GN45" s="21">
        <f>EXP(-LN(2)/2)*GN44+(1-EXP(-LN(2)/2))/(LN(2)/2)*GH45*GK45*VLOOKUP('Données projet'!$B$17,Paramètres!$A$1:$I$89,3,0)*0.475*44/12</f>
        <v>12.122369952429253</v>
      </c>
      <c r="GO45" s="21">
        <f t="shared" si="27"/>
        <v>105.0352846012928</v>
      </c>
      <c r="GP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62.088159926914244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13.2</v>
      </c>
      <c r="GU45" s="12">
        <f>IF('Données projet'!$A$270&gt;35,GU44+GT45-HC44,IF(A45&lt;'Données projet'!$A$270,$GR$205^A45,IF(A45='Données projet'!$A$270,'Données projet'!$B$270,GU44+GT45-HC44)))</f>
        <v>274.40000000000003</v>
      </c>
      <c r="GV45" s="17">
        <f>GU45*VLOOKUP('Données projet'!$B$18,Paramètres!$A$1:$I$89,3,0)*VLOOKUP('Données projet'!$B$18,Paramètres!$A$1:$I$89,5,0)</f>
        <v>149.82240000000002</v>
      </c>
      <c r="GW45" s="13">
        <f t="shared" si="51"/>
        <v>38.538222601158559</v>
      </c>
      <c r="GX45" s="20">
        <f t="shared" si="28"/>
        <v>328.06141769701787</v>
      </c>
      <c r="GY45" s="57">
        <f t="shared" si="29"/>
        <v>592.38467076237009</v>
      </c>
      <c r="GZ45" s="57">
        <f ca="1">AVERAGE(OFFSET($GY$3,0,0,'Données projet'!$E$18+1,1))-AVERAGE(OFFSET($H$3,0,0,'Données projet'!$E$18+1,1))</f>
        <v>381.00532469288714</v>
      </c>
      <c r="HA45" s="57">
        <f t="shared" si="52"/>
        <v>314.875259641757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>
        <f>EXP(-LN(2)/35)*HG44+(1-EXP(-LN(2)/35))/(LN(2)/35)*HC45*HD45*VLOOKUP('Données projet'!$B$18,Paramètres!$A$1:$I$89,3,0)*0.475*44/12</f>
        <v>28.835466152734366</v>
      </c>
      <c r="HH45" s="21">
        <f>EXP(-LN(2)/25)*HH44+(1-EXP(-LN(2)/25))/(LN(2)/25)*Calculateur!HC45*Calculateur!HE45*VLOOKUP('Données projet'!$B$18,Paramètres!$A$1:$I$89,3,0)*0.475*44/12</f>
        <v>24.04638929894881</v>
      </c>
      <c r="HI45" s="21">
        <f>EXP(-LN(2)/2)*HI44+(1-EXP(-LN(2)/2))/(LN(2)/2)*HC45*HF45*VLOOKUP('Données projet'!$B$18,Paramètres!$A$1:$I$89,3,0)*0.475*44/12</f>
        <v>3.4487396450242787</v>
      </c>
      <c r="HJ45" s="22">
        <f t="shared" si="30"/>
        <v>56.330595096707455</v>
      </c>
    </row>
    <row r="46" spans="1:218" x14ac:dyDescent="0.2">
      <c r="A46" s="10">
        <f t="shared" si="31"/>
        <v>43</v>
      </c>
      <c r="B46" s="71">
        <f>'Scénario référence'!$B$16*5+'Scénario référence'!$B$17*0+'Scénario référence'!$B$18*5</f>
        <v>3.3000000000000003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12.100000000000001</v>
      </c>
      <c r="H46" s="65">
        <f t="shared" si="1"/>
        <v>208.26666666666665</v>
      </c>
      <c r="I46" s="6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62.225412663957769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5.6</v>
      </c>
      <c r="N46" s="13">
        <f>IF('Données projet'!$A$36&gt;35,N45+M46-V45,IF(A46&lt;'Données projet'!$A$36,$K$205^A46,IF(A46='Données projet'!$A$36,'Données projet'!$B$36,N45+M46-V45)))</f>
        <v>95.8</v>
      </c>
      <c r="O46" s="13">
        <f>N46*VLOOKUP('Données projet'!$B$9,Paramètres!$A$1:$I$89,3,0)*VLOOKUP('Données projet'!$B$9,Paramètres!$A$1:$I$89,5,0)</f>
        <v>97.141200000000012</v>
      </c>
      <c r="P46" s="13">
        <f t="shared" si="33"/>
        <v>26.279782450761708</v>
      </c>
      <c r="Q46" s="20">
        <f t="shared" si="53"/>
        <v>214.95821110174333</v>
      </c>
      <c r="R46" s="57">
        <f t="shared" si="0"/>
        <v>479.78472420292178</v>
      </c>
      <c r="S46" s="57">
        <f ca="1">AVERAGE(OFFSET($R$3,0,0,'Données projet'!$E$9+1,1))-AVERAGE(OFFSET($H$3,0,0,'Données projet'!$E$9+1,1))</f>
        <v>332.70145542047612</v>
      </c>
      <c r="T46" s="57">
        <f t="shared" si="34"/>
        <v>172.22433737900428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1.2717711863691534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1.2717711863691534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62.225412663957769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4.3352272727272725</v>
      </c>
      <c r="AI46" s="13">
        <f>IF('Données projet'!$A$62&gt;35,AI45+AH46-AQ45,IF(A46&lt;'Données projet'!$A$62,$AF$205^A46,IF(A46='Données projet'!$A$62,'Données projet'!$B$62,AI45+AH46-AQ45)))</f>
        <v>186.41477272727275</v>
      </c>
      <c r="AJ46" s="13">
        <f>AI46*VLOOKUP('Données projet'!$B$10,Paramètres!$A$1:$I$89,3,0)*VLOOKUP('Données projet'!$B$10,Paramètres!$A$1:$I$89,5,0)</f>
        <v>168.66808636363638</v>
      </c>
      <c r="AK46" s="13">
        <f t="shared" si="35"/>
        <v>42.791582817325541</v>
      </c>
      <c r="AL46" s="20">
        <f t="shared" si="4"/>
        <v>368.29225715684197</v>
      </c>
      <c r="AM46" s="57">
        <f t="shared" si="5"/>
        <v>633.1187702580205</v>
      </c>
      <c r="AN46" s="57">
        <f ca="1">AVERAGE(OFFSET($AM$3,0,0,'Données projet'!$E$10+1,1))-AVERAGE(OFFSET($H$3,0,0,'Données projet'!$E$10+1,1))</f>
        <v>469.4210143164521</v>
      </c>
      <c r="AO46" s="57">
        <f t="shared" si="36"/>
        <v>308.4508386530556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62.225412663957769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9.8000000000000007</v>
      </c>
      <c r="BD46" s="12">
        <f>IF('Données projet'!$A$88&gt;35,BD45+BC46-BL45,IF(A46&lt;'Données projet'!$A$88,$BA$205^A46,IF(A46='Données projet'!$A$88,'Données projet'!$B$88,BD45+BC46-BL45)))</f>
        <v>222.40000000000003</v>
      </c>
      <c r="BE46" s="13">
        <f>BD46*VLOOKUP('Données projet'!$B$11,Paramètres!$A$1:$I$89,3,0)*VLOOKUP('Données projet'!$B$11,Paramètres!$A$1:$I$89,5,0)</f>
        <v>163.06368000000001</v>
      </c>
      <c r="BF46" s="13">
        <f t="shared" si="37"/>
        <v>41.532772330984628</v>
      </c>
      <c r="BG46" s="20">
        <f t="shared" si="7"/>
        <v>356.33882114313155</v>
      </c>
      <c r="BH46" s="57">
        <f t="shared" si="8"/>
        <v>621.16533424431009</v>
      </c>
      <c r="BI46" s="57">
        <f ca="1">AVERAGE(OFFSET($BH$3,0,0,'Données projet'!$E$11+1,1))-AVERAGE(OFFSET($H$3,0,0,'Données projet'!$E$11+1,1))</f>
        <v>344.32981377462971</v>
      </c>
      <c r="BJ46" s="57">
        <f t="shared" si="38"/>
        <v>334.42512656625763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16.981716048063994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16.981716048063994</v>
      </c>
      <c r="BT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62.225412663957769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9.8000000000000007</v>
      </c>
      <c r="BY46" s="12">
        <f>IF('Données projet'!$A$114&gt;35,BY45+BX46-CG45,IF(A46&lt;'Données projet'!$A$114,$BV$205^A46,IF(A46='Données projet'!$A$114,'Données projet'!$B$114,BY45+BX46-CG45)))</f>
        <v>227.39999999999998</v>
      </c>
      <c r="BZ46" s="13">
        <f>BY46*VLOOKUP('Données projet'!$B$12,Paramètres!$A$1:$I$89,3,0)*VLOOKUP('Données projet'!$B$12,Paramètres!$A$1:$I$89,5,0)</f>
        <v>216.39383999999995</v>
      </c>
      <c r="CA46" s="13">
        <f t="shared" si="39"/>
        <v>53.330352339128872</v>
      </c>
      <c r="CB46" s="20">
        <f t="shared" si="10"/>
        <v>469.76963499064937</v>
      </c>
      <c r="CC46" s="57">
        <f t="shared" si="11"/>
        <v>734.5961480918279</v>
      </c>
      <c r="CD46" s="57">
        <f ca="1">AVERAGE(OFFSET($CC$3,0,0,'Données projet'!$E$12+1,1))-AVERAGE(OFFSET($H$3,0,0,'Données projet'!$E$12+1,1))</f>
        <v>498.77732039282807</v>
      </c>
      <c r="CE46" s="57">
        <f t="shared" si="40"/>
        <v>384.57317421826531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4.4798178214267503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4.4798178214267503</v>
      </c>
      <c r="CO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62.225412663957769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4.3352272727272725</v>
      </c>
      <c r="CT46" s="12">
        <f>IF('Données projet'!$A$140&gt;35,CT45+CS46-DB45,IF(A46&lt;'Données projet'!$A$140,$CQ$205^A46,IF(A46='Données projet'!$A$140,'Données projet'!$B$140,CT45+CS46-DB45)))</f>
        <v>186.41477272727275</v>
      </c>
      <c r="CU46" s="17">
        <f>CT46*VLOOKUP('Données projet'!$B$13,Paramètres!$A$1:$I$89,3,0)*VLOOKUP('Données projet'!$B$13,Paramètres!$A$1:$I$89,5,0)</f>
        <v>125.04702954545456</v>
      </c>
      <c r="CV46" s="13">
        <f t="shared" si="41"/>
        <v>32.849298767660777</v>
      </c>
      <c r="CW46" s="20">
        <f t="shared" si="13"/>
        <v>275.00277181200914</v>
      </c>
      <c r="CX46" s="57">
        <f t="shared" si="14"/>
        <v>539.82928491318762</v>
      </c>
      <c r="CY46" s="57">
        <f ca="1">AVERAGE(OFFSET($CX$3,0,0,'Données projet'!$E$13+1,1))-AVERAGE(OFFSET($H$3,0,0,'Données projet'!$E$13+1,1))</f>
        <v>365.99625753737246</v>
      </c>
      <c r="CZ46" s="57">
        <f t="shared" si="42"/>
        <v>242.84814712692287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62.225412663957769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8.1999999999999993</v>
      </c>
      <c r="DO46" s="12">
        <f>IF('Données projet'!$A$166&gt;35,DO45+DN46-DW45,IF(A46&lt;'Données projet'!$A$166,$DL$205^A46,IF(A46='Données projet'!$A$166,'Données projet'!$B$166,DO45+DN46-DW45)))</f>
        <v>220.6</v>
      </c>
      <c r="DP46" s="17">
        <f>DO46*VLOOKUP('Données projet'!$B$14,Paramètres!$A$1:$I$89,3,0)*VLOOKUP('Données projet'!$B$14,Paramètres!$A$1:$I$89,5,0)</f>
        <v>144.53712000000002</v>
      </c>
      <c r="DQ46" s="13">
        <f t="shared" si="43"/>
        <v>37.334458778614163</v>
      </c>
      <c r="DR46" s="20">
        <f t="shared" si="16"/>
        <v>316.75966637275303</v>
      </c>
      <c r="DS46" s="57">
        <f t="shared" si="17"/>
        <v>581.58617947393145</v>
      </c>
      <c r="DT46" s="57">
        <f ca="1">AVERAGE(OFFSET($DS$3,0,0,'Données projet'!$E$14+1,1))-AVERAGE(OFFSET($H$3,0,0,'Données projet'!$E$14+1,1))</f>
        <v>313.79279628660527</v>
      </c>
      <c r="DU46" s="57">
        <f t="shared" si="44"/>
        <v>317.45469955216254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5.2057888464163105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5.2057888464163105</v>
      </c>
      <c r="EE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62.225412663957769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19.777777777777779</v>
      </c>
      <c r="EJ46" s="12">
        <f>IF('Données projet'!$A$192&gt;35,EJ45+EI46-ER45,IF(A46&lt;'Données projet'!$A$192,$EG$205^A46,IF(A46='Données projet'!$A$192,'Données projet'!$B$192,EJ45+EI46-ER45)))</f>
        <v>296.77777777777794</v>
      </c>
      <c r="EK46" s="17">
        <f>EJ46*VLOOKUP('Données projet'!$B$15,Paramètres!$A$1:$I$89,3,0)*VLOOKUP('Données projet'!$B$15,Paramètres!$A$1:$I$89,5,0)</f>
        <v>254.63533333333351</v>
      </c>
      <c r="EL46" s="13">
        <f t="shared" si="45"/>
        <v>61.577463933637681</v>
      </c>
      <c r="EM46" s="20">
        <f t="shared" si="19"/>
        <v>550.73728857330809</v>
      </c>
      <c r="EN46" s="57">
        <f t="shared" si="20"/>
        <v>815.56380167448651</v>
      </c>
      <c r="EO46" s="57">
        <f ca="1">AVERAGE(OFFSET($EN$3,0,0,'Données projet'!$E$15+1,1))-AVERAGE(OFFSET($H$3,0,0,'Données projet'!$E$15+1,1))</f>
        <v>643.04899298561475</v>
      </c>
      <c r="EP46" s="57">
        <f t="shared" si="46"/>
        <v>474.94999304483031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43.878449043990813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43.878449043990813</v>
      </c>
      <c r="EZ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62.225412663957769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9.8000000000000007</v>
      </c>
      <c r="FE46" s="12">
        <f>IF('Données projet'!$A$218&gt;35,FE45+FD46-FM45,IF(A46&lt;'Données projet'!$A$218,$FB$205^A46,IF(A46='Données projet'!$A$218,'Données projet'!$B$218,FE45+FD46-FM45)))</f>
        <v>222.40000000000003</v>
      </c>
      <c r="FF46" s="17">
        <f>FE46*VLOOKUP('Données projet'!$B$16,Paramètres!$A$1:$I$89,3,0)*VLOOKUP('Données projet'!$B$16,Paramètres!$A$1:$I$89,5,0)</f>
        <v>180.41088000000005</v>
      </c>
      <c r="FG46" s="13">
        <f t="shared" si="47"/>
        <v>45.413587262495575</v>
      </c>
      <c r="FH46" s="20">
        <f t="shared" si="22"/>
        <v>393.31094714884654</v>
      </c>
      <c r="FI46" s="57">
        <f t="shared" si="23"/>
        <v>658.13746025002501</v>
      </c>
      <c r="FJ46" s="57">
        <f ca="1">AVERAGE(OFFSET($FI$3,0,0,'Données projet'!$E$16+1,1))-AVERAGE(OFFSET($H$3,0,0,'Données projet'!$E$16+1,1))</f>
        <v>375.34603719604439</v>
      </c>
      <c r="FK46" s="57">
        <f t="shared" si="48"/>
        <v>363.99476973672211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23.157649395578606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23.157649395578606</v>
      </c>
      <c r="FU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62.225412663957769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26.623333333333335</v>
      </c>
      <c r="FZ46" s="12">
        <f>IF('Données projet'!$A$244&gt;35,FZ45+FY46-GH45,IF(A46&lt;'Données projet'!$A$244,$FW$205^A46,IF(A46='Données projet'!$A$244,'Données projet'!$B$244,FZ45+FY46-GH45)))</f>
        <v>519.26333333333309</v>
      </c>
      <c r="GA46" s="17">
        <f>FZ46*VLOOKUP('Données projet'!$B$17,Paramètres!$A$1:$I$89,3,0)*VLOOKUP('Données projet'!$B$17,Paramètres!$A$1:$I$89,5,0)</f>
        <v>290.26820333333319</v>
      </c>
      <c r="GB46" s="13">
        <f t="shared" si="49"/>
        <v>69.132406025045938</v>
      </c>
      <c r="GC46" s="20">
        <f t="shared" si="25"/>
        <v>625.95606129917701</v>
      </c>
      <c r="GD46" s="57">
        <f t="shared" si="26"/>
        <v>890.78257440035554</v>
      </c>
      <c r="GE46" s="57">
        <f ca="1">AVERAGE(OFFSET($GD$3,0,0,'Données projet'!$E$17+1,1))-AVERAGE(OFFSET($H$3,0,0,'Données projet'!$E$17+1,1))</f>
        <v>414.47327143450701</v>
      </c>
      <c r="GF46" s="57">
        <f t="shared" si="50"/>
        <v>546.83385887302961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55.38524827698869</v>
      </c>
      <c r="GM46" s="21">
        <f>EXP(-LN(2)/25)*GM45+(1-EXP(-LN(2)/25))/(LN(2)/25)*Calculateur!GH46*Calculateur!GJ46*VLOOKUP('Données projet'!$B$17,Paramètres!$A$1:$I$89,3,0)*0.475*44/12</f>
        <v>35.423968945732184</v>
      </c>
      <c r="GN46" s="21">
        <f>EXP(-LN(2)/2)*GN45+(1-EXP(-LN(2)/2))/(LN(2)/2)*GH46*GK46*VLOOKUP('Données projet'!$B$17,Paramètres!$A$1:$I$89,3,0)*0.475*44/12</f>
        <v>8.5718099974147712</v>
      </c>
      <c r="GO46" s="21">
        <f t="shared" si="27"/>
        <v>99.38102722013565</v>
      </c>
      <c r="GP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62.225412663957769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13.2</v>
      </c>
      <c r="GU46" s="12">
        <f>IF('Données projet'!$A$270&gt;35,GU45+GT46-HC45,IF(A46&lt;'Données projet'!$A$270,$GR$205^A46,IF(A46='Données projet'!$A$270,'Données projet'!$B$270,GU45+GT46-HC45)))</f>
        <v>287.60000000000002</v>
      </c>
      <c r="GV46" s="17">
        <f>GU46*VLOOKUP('Données projet'!$B$18,Paramètres!$A$1:$I$89,3,0)*VLOOKUP('Données projet'!$B$18,Paramètres!$A$1:$I$89,5,0)</f>
        <v>157.02960000000002</v>
      </c>
      <c r="GW46" s="13">
        <f t="shared" si="51"/>
        <v>40.171804440239498</v>
      </c>
      <c r="GX46" s="20">
        <f t="shared" si="28"/>
        <v>343.45911273341716</v>
      </c>
      <c r="GY46" s="57">
        <f t="shared" si="29"/>
        <v>608.28562583459563</v>
      </c>
      <c r="GZ46" s="57">
        <f ca="1">AVERAGE(OFFSET($GY$3,0,0,'Données projet'!$E$18+1,1))-AVERAGE(OFFSET($H$3,0,0,'Données projet'!$E$18+1,1))</f>
        <v>381.00532469288714</v>
      </c>
      <c r="HA46" s="57">
        <f t="shared" si="52"/>
        <v>314.875259641757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>
        <f>EXP(-LN(2)/35)*HG45+(1-EXP(-LN(2)/35))/(LN(2)/35)*HC46*HD46*VLOOKUP('Données projet'!$B$18,Paramètres!$A$1:$I$89,3,0)*0.475*44/12</f>
        <v>28.270020249376937</v>
      </c>
      <c r="HH46" s="21">
        <f>EXP(-LN(2)/25)*HH45+(1-EXP(-LN(2)/25))/(LN(2)/25)*Calculateur!HC46*Calculateur!HE46*VLOOKUP('Données projet'!$B$18,Paramètres!$A$1:$I$89,3,0)*0.475*44/12</f>
        <v>23.388839519024401</v>
      </c>
      <c r="HI46" s="21">
        <f>EXP(-LN(2)/2)*HI45+(1-EXP(-LN(2)/2))/(LN(2)/2)*HC46*HF46*VLOOKUP('Données projet'!$B$18,Paramètres!$A$1:$I$89,3,0)*0.475*44/12</f>
        <v>2.4386271895435545</v>
      </c>
      <c r="HJ46" s="22">
        <f t="shared" si="30"/>
        <v>54.097486957944895</v>
      </c>
    </row>
    <row r="47" spans="1:218" x14ac:dyDescent="0.2">
      <c r="A47" s="10">
        <f t="shared" si="31"/>
        <v>44</v>
      </c>
      <c r="B47" s="71">
        <f>'Scénario référence'!$B$16*5+'Scénario référence'!$B$17*0+'Scénario référence'!$B$18*5</f>
        <v>3.3000000000000003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12.100000000000001</v>
      </c>
      <c r="H47" s="65">
        <f t="shared" si="1"/>
        <v>208.26666666666665</v>
      </c>
      <c r="I47" s="6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62.36028437286474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5.6</v>
      </c>
      <c r="N47" s="13">
        <f>IF('Données projet'!$A$36&gt;35,N46+M47-V46,IF(A47&lt;'Données projet'!$A$36,$K$205^A47,IF(A47='Données projet'!$A$36,'Données projet'!$B$36,N46+M47-V46)))</f>
        <v>101.39999999999999</v>
      </c>
      <c r="O47" s="13">
        <f>N47*VLOOKUP('Données projet'!$B$9,Paramètres!$A$1:$I$89,3,0)*VLOOKUP('Données projet'!$B$9,Paramètres!$A$1:$I$89,5,0)</f>
        <v>102.81959999999999</v>
      </c>
      <c r="P47" s="13">
        <f t="shared" si="33"/>
        <v>27.632637448562328</v>
      </c>
      <c r="Q47" s="20">
        <f t="shared" si="53"/>
        <v>227.20431355624603</v>
      </c>
      <c r="R47" s="57">
        <f t="shared" si="0"/>
        <v>492.52535625675011</v>
      </c>
      <c r="S47" s="57">
        <f ca="1">AVERAGE(OFFSET($R$3,0,0,'Données projet'!$E$9+1,1))-AVERAGE(OFFSET($H$3,0,0,'Données projet'!$E$9+1,1))</f>
        <v>332.70145542047612</v>
      </c>
      <c r="T47" s="57">
        <f t="shared" si="34"/>
        <v>172.22433737900428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1.2468325291082836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1.2468325291082836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62.36028437286474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>
        <f>VLOOKUP(A47,'Données projet'!$A$61:$I$81,2,0)</f>
        <v>190.75</v>
      </c>
      <c r="AG47" s="12">
        <f>VLOOKUP(A47,'Données projet'!$A$61:$I$81,9,0)</f>
        <v>4.3352272727272725</v>
      </c>
      <c r="AH47" s="12">
        <f t="array" ref="AH47">INDEX(AG:AG,MIN(IF(ISNUMBER(AG47:AG243),ROW(AG47:AG243),"")))</f>
        <v>4.3352272727272725</v>
      </c>
      <c r="AI47" s="13">
        <f>IF('Données projet'!$A$62&gt;35,AI46+AH47-AQ46,IF(A47&lt;'Données projet'!$A$62,$AF$205^A47,IF(A47='Données projet'!$A$62,'Données projet'!$B$62,AI46+AH47-AQ46)))</f>
        <v>190.75000000000003</v>
      </c>
      <c r="AJ47" s="13">
        <f>AI47*VLOOKUP('Données projet'!$B$10,Paramètres!$A$1:$I$89,3,0)*VLOOKUP('Données projet'!$B$10,Paramètres!$A$1:$I$89,5,0)</f>
        <v>172.59060000000002</v>
      </c>
      <c r="AK47" s="13">
        <f t="shared" si="35"/>
        <v>43.669720115774744</v>
      </c>
      <c r="AL47" s="20">
        <f t="shared" si="4"/>
        <v>376.65339086830772</v>
      </c>
      <c r="AM47" s="57">
        <f t="shared" si="5"/>
        <v>641.97443356881172</v>
      </c>
      <c r="AN47" s="57">
        <f ca="1">AVERAGE(OFFSET($AM$3,0,0,'Données projet'!$E$10+1,1))-AVERAGE(OFFSET($H$3,0,0,'Données projet'!$E$10+1,1))</f>
        <v>469.4210143164521</v>
      </c>
      <c r="AO47" s="57">
        <f t="shared" si="36"/>
        <v>308.4508386530556</v>
      </c>
      <c r="AP47" s="15">
        <f>IF(ISNA(VLOOKUP(A47,'Données projet'!$A$61:$I$81,3,0)),0,VLOOKUP(A47,'Données projet'!$A$61:$I$81,3,0))</f>
        <v>1</v>
      </c>
      <c r="AQ47" s="15">
        <f>IF(ISNA(VLOOKUP(A47,'Données projet'!$A$61:$I$81,4,0)),0,VLOOKUP(A47,'Données projet'!$A$61:$I$81,4,0))</f>
        <v>74.010000000000005</v>
      </c>
      <c r="AR47" s="16">
        <f>IF(ISNA(VLOOKUP(A47,'Données projet'!$A$61:$I$81,5,0)),0%,VLOOKUP(A47,'Données projet'!$A$61:$I$81,5,0)*VLOOKUP('Données projet'!$B$10,Paramètres!$A$1:$I$89,7,0))</f>
        <v>8.6000000000000007E-2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6.36632136804608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6.36632136804608</v>
      </c>
      <c r="AY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62.36028437286474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9.8000000000000007</v>
      </c>
      <c r="BD47" s="12">
        <f>IF('Données projet'!$A$88&gt;35,BD46+BC47-BL46,IF(A47&lt;'Données projet'!$A$88,$BA$205^A47,IF(A47='Données projet'!$A$88,'Données projet'!$B$88,BD46+BC47-BL46)))</f>
        <v>232.20000000000005</v>
      </c>
      <c r="BE47" s="13">
        <f>BD47*VLOOKUP('Données projet'!$B$11,Paramètres!$A$1:$I$89,3,0)*VLOOKUP('Données projet'!$B$11,Paramètres!$A$1:$I$89,5,0)</f>
        <v>170.24904000000004</v>
      </c>
      <c r="BF47" s="13">
        <f t="shared" si="37"/>
        <v>43.145795507930117</v>
      </c>
      <c r="BG47" s="20">
        <f t="shared" si="7"/>
        <v>371.6626718429784</v>
      </c>
      <c r="BH47" s="57">
        <f t="shared" si="8"/>
        <v>636.98371454348239</v>
      </c>
      <c r="BI47" s="57">
        <f ca="1">AVERAGE(OFFSET($BH$3,0,0,'Données projet'!$E$11+1,1))-AVERAGE(OFFSET($H$3,0,0,'Données projet'!$E$11+1,1))</f>
        <v>344.32981377462971</v>
      </c>
      <c r="BJ47" s="57">
        <f t="shared" si="38"/>
        <v>334.42512656625763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16.648714954185497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16.648714954185497</v>
      </c>
      <c r="BT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62.36028437286474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9.8000000000000007</v>
      </c>
      <c r="BY47" s="12">
        <f>IF('Données projet'!$A$114&gt;35,BY46+BX47-CG46,IF(A47&lt;'Données projet'!$A$114,$BV$205^A47,IF(A47='Données projet'!$A$114,'Données projet'!$B$114,BY46+BX47-CG46)))</f>
        <v>237.2</v>
      </c>
      <c r="BZ47" s="13">
        <f>BY47*VLOOKUP('Données projet'!$B$12,Paramètres!$A$1:$I$89,3,0)*VLOOKUP('Données projet'!$B$12,Paramètres!$A$1:$I$89,5,0)</f>
        <v>225.71951999999999</v>
      </c>
      <c r="CA47" s="13">
        <f t="shared" si="39"/>
        <v>55.356132169127413</v>
      </c>
      <c r="CB47" s="20">
        <f t="shared" si="10"/>
        <v>489.54009419456355</v>
      </c>
      <c r="CC47" s="57">
        <f t="shared" si="11"/>
        <v>754.8611368950676</v>
      </c>
      <c r="CD47" s="57">
        <f ca="1">AVERAGE(OFFSET($CC$3,0,0,'Données projet'!$E$12+1,1))-AVERAGE(OFFSET($H$3,0,0,'Données projet'!$E$12+1,1))</f>
        <v>498.77732039282807</v>
      </c>
      <c r="CE47" s="57">
        <f t="shared" si="40"/>
        <v>384.57317421826531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4.3919713263676385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4.3919713263676385</v>
      </c>
      <c r="CO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62.36028437286474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>
        <f>VLOOKUP(A47,'Données projet'!$A$139:$I$159,2,0)</f>
        <v>190.75</v>
      </c>
      <c r="CR47" s="12">
        <f>VLOOKUP(A47,'Données projet'!$A$139:$I$159,9,0)</f>
        <v>4.3352272727272725</v>
      </c>
      <c r="CS47" s="12">
        <f t="array" ref="CS47">INDEX(CR:CR,MIN(IF(ISNUMBER(CR47:CR243),ROW(CR47:CR243),"")))</f>
        <v>4.3352272727272725</v>
      </c>
      <c r="CT47" s="12">
        <f>IF('Données projet'!$A$140&gt;35,CT46+CS47-DB46,IF(A47&lt;'Données projet'!$A$140,$CQ$205^A47,IF(A47='Données projet'!$A$140,'Données projet'!$B$140,CT46+CS47-DB46)))</f>
        <v>190.75000000000003</v>
      </c>
      <c r="CU47" s="17">
        <f>CT47*VLOOKUP('Données projet'!$B$13,Paramètres!$A$1:$I$89,3,0)*VLOOKUP('Données projet'!$B$13,Paramètres!$A$1:$I$89,5,0)</f>
        <v>127.95510000000002</v>
      </c>
      <c r="CV47" s="13">
        <f t="shared" si="41"/>
        <v>33.523407846516932</v>
      </c>
      <c r="CW47" s="20">
        <f t="shared" si="13"/>
        <v>281.24173449935034</v>
      </c>
      <c r="CX47" s="57">
        <f t="shared" si="14"/>
        <v>546.56277719985439</v>
      </c>
      <c r="CY47" s="57">
        <f ca="1">AVERAGE(OFFSET($CX$3,0,0,'Données projet'!$E$13+1,1))-AVERAGE(OFFSET($H$3,0,0,'Données projet'!$E$13+1,1))</f>
        <v>365.99625753737246</v>
      </c>
      <c r="CZ47" s="57">
        <f t="shared" si="42"/>
        <v>242.84814712692287</v>
      </c>
      <c r="DA47" s="15">
        <f>IF(ISNA(VLOOKUP(A47,'Données projet'!$A$139:$I$159,3,0)),0,VLOOKUP(A47,'Données projet'!$A$139:$I$159,3,0))</f>
        <v>1</v>
      </c>
      <c r="DB47" s="15">
        <f>IF(ISNA(VLOOKUP(A47,'Données projet'!$A$139:$I$159,4,0)),0,VLOOKUP(A47,'Données projet'!$A$139:$I$159,4,0))</f>
        <v>74.010000000000005</v>
      </c>
      <c r="DC47" s="16">
        <f>IF(ISNA(VLOOKUP(A47,'Données projet'!$A$139:$I$159,5,0)),0%,VLOOKUP(A47,'Données projet'!$A$139:$I$159,5,0)*VLOOKUP('Données projet'!$B$13,Paramètres!$A$1:$I$89,7,0))</f>
        <v>0.10600000000000001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5.8175005604559002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5.8175005604559002</v>
      </c>
      <c r="DJ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62.36028437286474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8.1999999999999993</v>
      </c>
      <c r="DO47" s="12">
        <f>IF('Données projet'!$A$166&gt;35,DO46+DN47-DW46,IF(A47&lt;'Données projet'!$A$166,$DL$205^A47,IF(A47='Données projet'!$A$166,'Données projet'!$B$166,DO46+DN47-DW46)))</f>
        <v>228.79999999999998</v>
      </c>
      <c r="DP47" s="17">
        <f>DO47*VLOOKUP('Données projet'!$B$14,Paramètres!$A$1:$I$89,3,0)*VLOOKUP('Données projet'!$B$14,Paramètres!$A$1:$I$89,5,0)</f>
        <v>149.90975999999998</v>
      </c>
      <c r="DQ47" s="13">
        <f t="shared" si="43"/>
        <v>38.558077538852132</v>
      </c>
      <c r="DR47" s="20">
        <f t="shared" si="16"/>
        <v>328.24815038016737</v>
      </c>
      <c r="DS47" s="57">
        <f t="shared" si="17"/>
        <v>593.56919308067143</v>
      </c>
      <c r="DT47" s="57">
        <f ca="1">AVERAGE(OFFSET($DS$3,0,0,'Données projet'!$E$14+1,1))-AVERAGE(OFFSET($H$3,0,0,'Données projet'!$E$14+1,1))</f>
        <v>313.79279628660527</v>
      </c>
      <c r="DU47" s="57">
        <f t="shared" si="44"/>
        <v>317.45469955216254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5.103706502355756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5.103706502355756</v>
      </c>
      <c r="EE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62.36028437286474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19.777777777777779</v>
      </c>
      <c r="EJ47" s="12">
        <f>IF('Données projet'!$A$192&gt;35,EJ46+EI47-ER46,IF(A47&lt;'Données projet'!$A$192,$EG$205^A47,IF(A47='Données projet'!$A$192,'Données projet'!$B$192,EJ46+EI47-ER46)))</f>
        <v>316.55555555555571</v>
      </c>
      <c r="EK47" s="17">
        <f>EJ47*VLOOKUP('Données projet'!$B$15,Paramètres!$A$1:$I$89,3,0)*VLOOKUP('Données projet'!$B$15,Paramètres!$A$1:$I$89,5,0)</f>
        <v>271.60466666666684</v>
      </c>
      <c r="EL47" s="13">
        <f t="shared" si="45"/>
        <v>65.189702518536876</v>
      </c>
      <c r="EM47" s="20">
        <f t="shared" si="19"/>
        <v>586.58352633089646</v>
      </c>
      <c r="EN47" s="57">
        <f t="shared" si="20"/>
        <v>851.90456903140057</v>
      </c>
      <c r="EO47" s="57">
        <f ca="1">AVERAGE(OFFSET($EN$3,0,0,'Données projet'!$E$15+1,1))-AVERAGE(OFFSET($H$3,0,0,'Données projet'!$E$15+1,1))</f>
        <v>643.04899298561475</v>
      </c>
      <c r="EP47" s="57">
        <f t="shared" si="46"/>
        <v>474.94999304483031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43.018019421449424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43.018019421449424</v>
      </c>
      <c r="EZ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62.36028437286474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9.8000000000000007</v>
      </c>
      <c r="FE47" s="12">
        <f>IF('Données projet'!$A$218&gt;35,FE46+FD47-FM46,IF(A47&lt;'Données projet'!$A$218,$FB$205^A47,IF(A47='Données projet'!$A$218,'Données projet'!$B$218,FE46+FD47-FM46)))</f>
        <v>232.20000000000005</v>
      </c>
      <c r="FF47" s="17">
        <f>FE47*VLOOKUP('Données projet'!$B$16,Paramètres!$A$1:$I$89,3,0)*VLOOKUP('Données projet'!$B$16,Paramètres!$A$1:$I$89,5,0)</f>
        <v>188.36064000000005</v>
      </c>
      <c r="FG47" s="13">
        <f t="shared" si="47"/>
        <v>47.177331040995796</v>
      </c>
      <c r="FH47" s="20">
        <f t="shared" si="22"/>
        <v>410.22863289640105</v>
      </c>
      <c r="FI47" s="57">
        <f t="shared" si="23"/>
        <v>675.5496755969051</v>
      </c>
      <c r="FJ47" s="57">
        <f ca="1">AVERAGE(OFFSET($FI$3,0,0,'Données projet'!$E$16+1,1))-AVERAGE(OFFSET($H$3,0,0,'Données projet'!$E$16+1,1))</f>
        <v>375.34603719604439</v>
      </c>
      <c r="FK47" s="57">
        <f t="shared" si="48"/>
        <v>363.99476973672211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22.703542015702734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22.703542015702734</v>
      </c>
      <c r="FU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62.36028437286474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26.623333333333335</v>
      </c>
      <c r="FZ47" s="12">
        <f>IF('Données projet'!$A$244&gt;35,FZ46+FY47-GH46,IF(A47&lt;'Données projet'!$A$244,$FW$205^A47,IF(A47='Données projet'!$A$244,'Données projet'!$B$244,FZ46+FY47-GH46)))</f>
        <v>545.88666666666643</v>
      </c>
      <c r="GA47" s="17">
        <f>FZ47*VLOOKUP('Données projet'!$B$17,Paramètres!$A$1:$I$89,3,0)*VLOOKUP('Données projet'!$B$17,Paramètres!$A$1:$I$89,5,0)</f>
        <v>305.15064666666655</v>
      </c>
      <c r="GB47" s="13">
        <f t="shared" si="49"/>
        <v>72.255164749966795</v>
      </c>
      <c r="GC47" s="20">
        <f t="shared" si="25"/>
        <v>657.31512155063638</v>
      </c>
      <c r="GD47" s="57">
        <f t="shared" si="26"/>
        <v>922.63616425114037</v>
      </c>
      <c r="GE47" s="57">
        <f ca="1">AVERAGE(OFFSET($GD$3,0,0,'Données projet'!$E$17+1,1))-AVERAGE(OFFSET($H$3,0,0,'Données projet'!$E$17+1,1))</f>
        <v>414.47327143450701</v>
      </c>
      <c r="GF47" s="57">
        <f t="shared" si="50"/>
        <v>546.83385887302961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54.29917733994273</v>
      </c>
      <c r="GM47" s="21">
        <f>EXP(-LN(2)/25)*GM46+(1-EXP(-LN(2)/25))/(LN(2)/25)*Calculateur!GH47*Calculateur!GJ47*VLOOKUP('Données projet'!$B$17,Paramètres!$A$1:$I$89,3,0)*0.475*44/12</f>
        <v>34.45529865204557</v>
      </c>
      <c r="GN47" s="21">
        <f>EXP(-LN(2)/2)*GN46+(1-EXP(-LN(2)/2))/(LN(2)/2)*GH47*GK47*VLOOKUP('Données projet'!$B$17,Paramètres!$A$1:$I$89,3,0)*0.475*44/12</f>
        <v>6.0611849762146273</v>
      </c>
      <c r="GO47" s="21">
        <f t="shared" si="27"/>
        <v>94.815660968202934</v>
      </c>
      <c r="GP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62.36028437286474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13.2</v>
      </c>
      <c r="GU47" s="12">
        <f>IF('Données projet'!$A$270&gt;35,GU46+GT47-HC46,IF(A47&lt;'Données projet'!$A$270,$GR$205^A47,IF(A47='Données projet'!$A$270,'Données projet'!$B$270,GU46+GT47-HC46)))</f>
        <v>300.8</v>
      </c>
      <c r="GV47" s="17">
        <f>GU47*VLOOKUP('Données projet'!$B$18,Paramètres!$A$1:$I$89,3,0)*VLOOKUP('Données projet'!$B$18,Paramètres!$A$1:$I$89,5,0)</f>
        <v>164.23680000000002</v>
      </c>
      <c r="GW47" s="13">
        <f t="shared" si="51"/>
        <v>41.796679041964353</v>
      </c>
      <c r="GX47" s="20">
        <f t="shared" si="28"/>
        <v>358.84164266475454</v>
      </c>
      <c r="GY47" s="57">
        <f t="shared" si="29"/>
        <v>624.16268536525854</v>
      </c>
      <c r="GZ47" s="57">
        <f ca="1">AVERAGE(OFFSET($GY$3,0,0,'Données projet'!$E$18+1,1))-AVERAGE(OFFSET($H$3,0,0,'Données projet'!$E$18+1,1))</f>
        <v>381.00532469288714</v>
      </c>
      <c r="HA47" s="57">
        <f t="shared" si="52"/>
        <v>314.875259641757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>
        <f>EXP(-LN(2)/35)*HG46+(1-EXP(-LN(2)/35))/(LN(2)/35)*HC47*HD47*VLOOKUP('Données projet'!$B$18,Paramètres!$A$1:$I$89,3,0)*0.475*44/12</f>
        <v>27.715662395296402</v>
      </c>
      <c r="HH47" s="21">
        <f>EXP(-LN(2)/25)*HH46+(1-EXP(-LN(2)/25))/(LN(2)/25)*Calculateur!HC47*Calculateur!HE47*VLOOKUP('Données projet'!$B$18,Paramètres!$A$1:$I$89,3,0)*0.475*44/12</f>
        <v>22.749270472411066</v>
      </c>
      <c r="HI47" s="21">
        <f>EXP(-LN(2)/2)*HI46+(1-EXP(-LN(2)/2))/(LN(2)/2)*HC47*HF47*VLOOKUP('Données projet'!$B$18,Paramètres!$A$1:$I$89,3,0)*0.475*44/12</f>
        <v>1.7243698225121398</v>
      </c>
      <c r="HJ47" s="22">
        <f t="shared" si="30"/>
        <v>52.189302690219606</v>
      </c>
    </row>
    <row r="48" spans="1:218" x14ac:dyDescent="0.2">
      <c r="A48" s="10">
        <f t="shared" si="31"/>
        <v>45</v>
      </c>
      <c r="B48" s="71">
        <f>'Scénario référence'!$B$16*5+'Scénario référence'!$B$17*0+'Scénario référence'!$B$18*5</f>
        <v>3.3000000000000003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12.100000000000001</v>
      </c>
      <c r="H48" s="65">
        <f t="shared" si="1"/>
        <v>208.26666666666665</v>
      </c>
      <c r="I48" s="6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62.49281635915014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107</v>
      </c>
      <c r="L48" s="12">
        <f>VLOOKUP(A48,'Données projet'!$A$35:$I$55,9,0)</f>
        <v>5.6</v>
      </c>
      <c r="M48" s="12">
        <f t="array" ref="M48">INDEX(L:L,MIN(IF(ISNUMBER(L48:L244),ROW(L48:L244),"")))</f>
        <v>5.6</v>
      </c>
      <c r="N48" s="13">
        <f>IF('Données projet'!$A$36&gt;35,N47+M48-V47,IF(A48&lt;'Données projet'!$A$36,$K$205^A48,IF(A48='Données projet'!$A$36,'Données projet'!$B$36,N47+M48-V47)))</f>
        <v>106.99999999999999</v>
      </c>
      <c r="O48" s="13">
        <f>N48*VLOOKUP('Données projet'!$B$9,Paramètres!$A$1:$I$89,3,0)*VLOOKUP('Données projet'!$B$9,Paramètres!$A$1:$I$89,5,0)</f>
        <v>108.498</v>
      </c>
      <c r="P48" s="13">
        <f t="shared" si="33"/>
        <v>28.976818989145283</v>
      </c>
      <c r="Q48" s="20">
        <f t="shared" si="53"/>
        <v>239.43530973942802</v>
      </c>
      <c r="R48" s="57">
        <f t="shared" si="0"/>
        <v>505.24230305631187</v>
      </c>
      <c r="S48" s="57">
        <f ca="1">AVERAGE(OFFSET($R$3,0,0,'Données projet'!$E$9+1,1))-AVERAGE(OFFSET($H$3,0,0,'Données projet'!$E$9+1,1))</f>
        <v>332.70145542047612</v>
      </c>
      <c r="T48" s="57">
        <f t="shared" si="34"/>
        <v>172.22433737900428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14</v>
      </c>
      <c r="W48" s="16">
        <f>IF(ISNA(VLOOKUP(A48,'Données projet'!$A$35:$I$55,5,0)),0%,VLOOKUP(A48,'Données projet'!$A$35:$I$55,5,0)*VLOOKUP('Données projet'!$B$9,Paramètres!$A$1:$I$89,7,0))</f>
        <v>8.6000000000000007E-2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2.5720030493803003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2.5720030493803003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62.49281635915014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8.3866666666666703</v>
      </c>
      <c r="AI48" s="13">
        <f>IF('Données projet'!$A$62&gt;35,AI47+AH48-AQ47,IF(A48&lt;'Données projet'!$A$62,$AF$205^A48,IF(A48='Données projet'!$A$62,'Données projet'!$B$62,AI47+AH48-AQ47)))</f>
        <v>125.12666666666671</v>
      </c>
      <c r="AJ48" s="13">
        <f>AI48*VLOOKUP('Données projet'!$B$10,Paramètres!$A$1:$I$89,3,0)*VLOOKUP('Données projet'!$B$10,Paramètres!$A$1:$I$89,5,0)</f>
        <v>113.21460800000004</v>
      </c>
      <c r="AK48" s="13">
        <f t="shared" si="35"/>
        <v>30.08709690834262</v>
      </c>
      <c r="AL48" s="20">
        <f t="shared" si="4"/>
        <v>249.58380271536342</v>
      </c>
      <c r="AM48" s="57">
        <f t="shared" si="5"/>
        <v>515.39079603224729</v>
      </c>
      <c r="AN48" s="57">
        <f ca="1">AVERAGE(OFFSET($AM$3,0,0,'Données projet'!$E$10+1,1))-AVERAGE(OFFSET($H$3,0,0,'Données projet'!$E$10+1,1))</f>
        <v>469.4210143164521</v>
      </c>
      <c r="AO48" s="57">
        <f t="shared" si="36"/>
        <v>308.4508386530556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6.2414816890913096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6.2414816890913096</v>
      </c>
      <c r="AY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62.49281635915014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242</v>
      </c>
      <c r="BB48" s="12">
        <f>VLOOKUP(A48,'Données projet'!$A$87:$I$107,9,0)</f>
        <v>9.8000000000000007</v>
      </c>
      <c r="BC48" s="12">
        <f t="array" ref="BC48">INDEX(BB:BB,MIN(IF(ISNUMBER(BB48:BB244),ROW(BB48:BB244),"")))</f>
        <v>9.8000000000000007</v>
      </c>
      <c r="BD48" s="12">
        <f>IF('Données projet'!$A$88&gt;35,BD47+BC48-BL47,IF(A48&lt;'Données projet'!$A$88,$BA$205^A48,IF(A48='Données projet'!$A$88,'Données projet'!$B$88,BD47+BC48-BL47)))</f>
        <v>242.00000000000006</v>
      </c>
      <c r="BE48" s="13">
        <f>BD48*VLOOKUP('Données projet'!$B$11,Paramètres!$A$1:$I$89,3,0)*VLOOKUP('Données projet'!$B$11,Paramètres!$A$1:$I$89,5,0)</f>
        <v>177.43440000000004</v>
      </c>
      <c r="BF48" s="13">
        <f t="shared" si="37"/>
        <v>44.750911401641211</v>
      </c>
      <c r="BG48" s="20">
        <f t="shared" si="7"/>
        <v>386.97275069119183</v>
      </c>
      <c r="BH48" s="57">
        <f t="shared" si="8"/>
        <v>652.77974400807568</v>
      </c>
      <c r="BI48" s="57">
        <f ca="1">AVERAGE(OFFSET($BH$3,0,0,'Données projet'!$E$11+1,1))-AVERAGE(OFFSET($H$3,0,0,'Données projet'!$E$11+1,1))</f>
        <v>344.32981377462971</v>
      </c>
      <c r="BJ48" s="57">
        <f t="shared" si="38"/>
        <v>334.42512656625763</v>
      </c>
      <c r="BK48" s="15">
        <f>IF(ISNA(VLOOKUP(A48,'Données projet'!$A$87:$I$107,3,0)),0,VLOOKUP(A48,'Données projet'!$A$87:$I$107,3,0))</f>
        <v>8</v>
      </c>
      <c r="BL48" s="15">
        <f>IF(ISNA(VLOOKUP(A48,'Données projet'!$A$87:$I$107,4,0)),0,VLOOKUP(A48,'Données projet'!$A$87:$I$107,4,0))</f>
        <v>24</v>
      </c>
      <c r="BM48" s="16">
        <f>IF(ISNA(VLOOKUP(A48,'Données projet'!$A$87:$I$107,5,0)),0%,VLOOKUP(A48,'Données projet'!$A$87:$I$107,5,0)*VLOOKUP('Données projet'!$B$11,Paramètres!$A$1:$I$89,7,0))</f>
        <v>0.215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20.50458316117891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20.50458316117891</v>
      </c>
      <c r="BT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62.49281635915014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247</v>
      </c>
      <c r="BW48" s="12">
        <f>VLOOKUP(A48,'Données projet'!$A$113:$I$133,9,0)</f>
        <v>9.8000000000000007</v>
      </c>
      <c r="BX48" s="12">
        <f t="array" ref="BX48">INDEX(BW:BW,MIN(IF(ISNUMBER(BW48:BW244),ROW(BW48:BW244),"")))</f>
        <v>9.8000000000000007</v>
      </c>
      <c r="BY48" s="12">
        <f>IF('Données projet'!$A$114&gt;35,BY47+BX48-CG47,IF(A48&lt;'Données projet'!$A$114,$BV$205^A48,IF(A48='Données projet'!$A$114,'Données projet'!$B$114,BY47+BX48-CG47)))</f>
        <v>247</v>
      </c>
      <c r="BZ48" s="13">
        <f>BY48*VLOOKUP('Données projet'!$B$12,Paramètres!$A$1:$I$89,3,0)*VLOOKUP('Données projet'!$B$12,Paramètres!$A$1:$I$89,5,0)</f>
        <v>235.04519999999999</v>
      </c>
      <c r="CA48" s="13">
        <f t="shared" si="39"/>
        <v>57.372190275906782</v>
      </c>
      <c r="CB48" s="20">
        <f t="shared" si="10"/>
        <v>509.29362139720428</v>
      </c>
      <c r="CC48" s="57">
        <f t="shared" si="11"/>
        <v>775.10061471408812</v>
      </c>
      <c r="CD48" s="57">
        <f ca="1">AVERAGE(OFFSET($CC$3,0,0,'Données projet'!$E$12+1,1))-AVERAGE(OFFSET($H$3,0,0,'Données projet'!$E$12+1,1))</f>
        <v>498.77732039282807</v>
      </c>
      <c r="CE48" s="57">
        <f t="shared" si="40"/>
        <v>384.57317421826531</v>
      </c>
      <c r="CF48" s="15">
        <f>IF(ISNA(VLOOKUP(A48,'Données projet'!$A$113:$I$133,3,0)),0,VLOOKUP(A48,'Données projet'!$A$113:$I$133,3,0))</f>
        <v>5</v>
      </c>
      <c r="CG48" s="15">
        <f>IF(ISNA(VLOOKUP(A48,'Données projet'!$A$113:$I$133,4,0)),0,VLOOKUP(A48,'Données projet'!$A$113:$I$133,4,0))</f>
        <v>31</v>
      </c>
      <c r="CH48" s="16">
        <f>IF(ISNA(VLOOKUP(A48,'Données projet'!$A$113:$I$133,5,0)),0%,VLOOKUP(A48,'Données projet'!$A$113:$I$133,5,0)*VLOOKUP('Données projet'!$B$12,Paramètres!$A$1:$I$89,7,0))</f>
        <v>8.6000000000000007E-2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7.110387772189604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7.110387772189604</v>
      </c>
      <c r="CO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62.49281635915014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8.3866666666666703</v>
      </c>
      <c r="CT48" s="12">
        <f>IF('Données projet'!$A$140&gt;35,CT47+CS48-DB47,IF(A48&lt;'Données projet'!$A$140,$CQ$205^A48,IF(A48='Données projet'!$A$140,'Données projet'!$B$140,CT47+CS48-DB47)))</f>
        <v>125.12666666666671</v>
      </c>
      <c r="CU48" s="17">
        <f>CT48*VLOOKUP('Données projet'!$B$13,Paramètres!$A$1:$I$89,3,0)*VLOOKUP('Données projet'!$B$13,Paramètres!$A$1:$I$89,5,0)</f>
        <v>83.934968000000026</v>
      </c>
      <c r="CV48" s="13">
        <f t="shared" si="41"/>
        <v>23.096599151587082</v>
      </c>
      <c r="CW48" s="20">
        <f t="shared" si="13"/>
        <v>186.41331278901421</v>
      </c>
      <c r="CX48" s="57">
        <f t="shared" si="14"/>
        <v>452.22030610589809</v>
      </c>
      <c r="CY48" s="57">
        <f ca="1">AVERAGE(OFFSET($CX$3,0,0,'Données projet'!$E$13+1,1))-AVERAGE(OFFSET($H$3,0,0,'Données projet'!$E$13+1,1))</f>
        <v>365.99625753737246</v>
      </c>
      <c r="CZ48" s="57">
        <f t="shared" si="42"/>
        <v>242.84814712692287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5.7034229227903337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5.7034229227903337</v>
      </c>
      <c r="DJ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62.49281635915014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237</v>
      </c>
      <c r="DM48" s="12">
        <f>VLOOKUP(A48,'Données projet'!$A$165:$I$185,9,0)</f>
        <v>8.1999999999999993</v>
      </c>
      <c r="DN48" s="12">
        <f t="array" ref="DN48">INDEX(DM:DM,MIN(IF(ISNUMBER(DM48:DM244),ROW(DM48:DM244),"")))</f>
        <v>8.1999999999999993</v>
      </c>
      <c r="DO48" s="12">
        <f>IF('Données projet'!$A$166&gt;35,DO47+DN48-DW47,IF(A48&lt;'Données projet'!$A$166,$DL$205^A48,IF(A48='Données projet'!$A$166,'Données projet'!$B$166,DO47+DN48-DW47)))</f>
        <v>236.99999999999997</v>
      </c>
      <c r="DP48" s="17">
        <f>DO48*VLOOKUP('Données projet'!$B$14,Paramètres!$A$1:$I$89,3,0)*VLOOKUP('Données projet'!$B$14,Paramètres!$A$1:$I$89,5,0)</f>
        <v>155.28239999999997</v>
      </c>
      <c r="DQ48" s="13">
        <f t="shared" si="43"/>
        <v>39.776601235546408</v>
      </c>
      <c r="DR48" s="20">
        <f t="shared" si="16"/>
        <v>339.72776048524321</v>
      </c>
      <c r="DS48" s="57">
        <f t="shared" si="17"/>
        <v>605.53475380212706</v>
      </c>
      <c r="DT48" s="57">
        <f ca="1">AVERAGE(OFFSET($DS$3,0,0,'Données projet'!$E$14+1,1))-AVERAGE(OFFSET($H$3,0,0,'Données projet'!$E$14+1,1))</f>
        <v>313.79279628660527</v>
      </c>
      <c r="DU48" s="57">
        <f t="shared" si="44"/>
        <v>317.45469955216254</v>
      </c>
      <c r="DV48" s="15">
        <f>IF(ISNA(VLOOKUP(A48,'Données projet'!$A$165:$I$185,3,0)),0,VLOOKUP(A48,'Données projet'!$A$165:$I$185,3,0))</f>
        <v>8</v>
      </c>
      <c r="DW48" s="15">
        <f>IF(ISNA(VLOOKUP(A48,'Données projet'!$A$165:$I$185,4,0)),0,VLOOKUP(A48,'Données projet'!$A$165:$I$185,4,0))</f>
        <v>28</v>
      </c>
      <c r="DX48" s="16">
        <f>IF(ISNA(VLOOKUP(A48,'Données projet'!$A$165:$I$185,5,0)),0%,VLOOKUP(A48,'Données projet'!$A$165:$I$185,5,0)*VLOOKUP('Données projet'!$B$14,Paramètres!$A$1:$I$89,7,0))</f>
        <v>0.129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7.619812674722148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7.619812674722148</v>
      </c>
      <c r="EE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62.49281635915014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19.777777777777779</v>
      </c>
      <c r="EJ48" s="12">
        <f>IF('Données projet'!$A$192&gt;35,EJ47+EI48-ER47,IF(A48&lt;'Données projet'!$A$192,$EG$205^A48,IF(A48='Données projet'!$A$192,'Données projet'!$B$192,EJ47+EI48-ER47)))</f>
        <v>336.33333333333348</v>
      </c>
      <c r="EK48" s="17">
        <f>EJ48*VLOOKUP('Données projet'!$B$15,Paramètres!$A$1:$I$89,3,0)*VLOOKUP('Données projet'!$B$15,Paramètres!$A$1:$I$89,5,0)</f>
        <v>288.57400000000018</v>
      </c>
      <c r="EL48" s="13">
        <f t="shared" si="45"/>
        <v>68.775748599702908</v>
      </c>
      <c r="EM48" s="20">
        <f t="shared" si="19"/>
        <v>622.38414547781622</v>
      </c>
      <c r="EN48" s="57">
        <f t="shared" si="20"/>
        <v>888.19113879470001</v>
      </c>
      <c r="EO48" s="57">
        <f ca="1">AVERAGE(OFFSET($EN$3,0,0,'Données projet'!$E$15+1,1))-AVERAGE(OFFSET($H$3,0,0,'Données projet'!$E$15+1,1))</f>
        <v>643.04899298561475</v>
      </c>
      <c r="EP48" s="57">
        <f t="shared" si="46"/>
        <v>474.94999304483031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42.17446229899582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42.17446229899582</v>
      </c>
      <c r="EZ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62.49281635915014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242</v>
      </c>
      <c r="FC48" s="12">
        <f>VLOOKUP(A48,'Données projet'!$A$217:$I$237,9,0)</f>
        <v>9.8000000000000007</v>
      </c>
      <c r="FD48" s="12">
        <f t="array" ref="FD48">INDEX(FC:FC,MIN(IF(ISNUMBER(FC48:FC244),ROW(FC48:FC244),"")))</f>
        <v>9.8000000000000007</v>
      </c>
      <c r="FE48" s="12">
        <f>IF('Données projet'!$A$218&gt;35,FE47+FD48-FM47,IF(A48&lt;'Données projet'!$A$218,$FB$205^A48,IF(A48='Données projet'!$A$218,'Données projet'!$B$218,FE47+FD48-FM47)))</f>
        <v>242.00000000000006</v>
      </c>
      <c r="FF48" s="17">
        <f>FE48*VLOOKUP('Données projet'!$B$16,Paramètres!$A$1:$I$89,3,0)*VLOOKUP('Données projet'!$B$16,Paramètres!$A$1:$I$89,5,0)</f>
        <v>196.31040000000004</v>
      </c>
      <c r="FG48" s="13">
        <f t="shared" si="47"/>
        <v>48.932428681108973</v>
      </c>
      <c r="FH48" s="20">
        <f t="shared" si="22"/>
        <v>427.13125995293154</v>
      </c>
      <c r="FI48" s="57">
        <f t="shared" si="23"/>
        <v>692.93825326981539</v>
      </c>
      <c r="FJ48" s="57">
        <f ca="1">AVERAGE(OFFSET($FI$3,0,0,'Données projet'!$E$16+1,1))-AVERAGE(OFFSET($H$3,0,0,'Données projet'!$E$16+1,1))</f>
        <v>375.34603719604439</v>
      </c>
      <c r="FK48" s="57">
        <f t="shared" si="48"/>
        <v>363.99476973672211</v>
      </c>
      <c r="FL48" s="15">
        <f>IF(ISNA(VLOOKUP(A48,'Données projet'!$A$217:$I$237,3,0)),0,VLOOKUP(A48,'Données projet'!$A$217:$I$237,3,0))</f>
        <v>8</v>
      </c>
      <c r="FM48" s="15">
        <f>IF(ISNA(VLOOKUP(A48,'Données projet'!$A$217:$I$237,4,0)),0,VLOOKUP(A48,'Données projet'!$A$217:$I$237,4,0))</f>
        <v>24</v>
      </c>
      <c r="FN48" s="16">
        <f>IF(ISNA(VLOOKUP(A48,'Données projet'!$A$217:$I$237,5,0)),0%,VLOOKUP(A48,'Données projet'!$A$217:$I$237,5,0)*VLOOKUP('Données projet'!$B$16,Paramètres!$A$1:$I$89,7,0))</f>
        <v>0.26500000000000001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27.961717561706617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27.961717561706617</v>
      </c>
      <c r="FU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62.49281635915014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>
        <f>VLOOKUP(A48,'Données projet'!$A$243:$I$263,2,0)</f>
        <v>572.51</v>
      </c>
      <c r="FX48" s="12">
        <f>VLOOKUP(A48,'Données projet'!$A$243:$I$263,9,0)</f>
        <v>26.623333333333335</v>
      </c>
      <c r="FY48" s="12">
        <f t="array" ref="FY48">INDEX(FX:FX,MIN(IF(ISNUMBER(FX48:FX244),ROW(FX48:FX244),"")))</f>
        <v>26.623333333333335</v>
      </c>
      <c r="FZ48" s="12">
        <f>IF('Données projet'!$A$244&gt;35,FZ47+FY48-GH47,IF(A48&lt;'Données projet'!$A$244,$FW$205^A48,IF(A48='Données projet'!$A$244,'Données projet'!$B$244,FZ47+FY48-GH47)))</f>
        <v>572.50999999999976</v>
      </c>
      <c r="GA48" s="17">
        <f>FZ48*VLOOKUP('Données projet'!$B$17,Paramètres!$A$1:$I$89,3,0)*VLOOKUP('Données projet'!$B$17,Paramètres!$A$1:$I$89,5,0)</f>
        <v>320.0330899999999</v>
      </c>
      <c r="GB48" s="13">
        <f t="shared" si="49"/>
        <v>75.360238639422761</v>
      </c>
      <c r="GC48" s="20">
        <f t="shared" si="25"/>
        <v>688.64338071366103</v>
      </c>
      <c r="GD48" s="57">
        <f t="shared" si="26"/>
        <v>954.45037403054494</v>
      </c>
      <c r="GE48" s="57">
        <f ca="1">AVERAGE(OFFSET($GD$3,0,0,'Données projet'!$E$17+1,1))-AVERAGE(OFFSET($H$3,0,0,'Données projet'!$E$17+1,1))</f>
        <v>414.47327143450701</v>
      </c>
      <c r="GF48" s="57">
        <f t="shared" si="50"/>
        <v>546.83385887302961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53.234403591534381</v>
      </c>
      <c r="GM48" s="21">
        <f>EXP(-LN(2)/25)*GM47+(1-EXP(-LN(2)/25))/(LN(2)/25)*Calculateur!GH48*Calculateur!GJ48*VLOOKUP('Données projet'!$B$17,Paramètres!$A$1:$I$89,3,0)*0.475*44/12</f>
        <v>33.513116698479976</v>
      </c>
      <c r="GN48" s="21">
        <f>EXP(-LN(2)/2)*GN47+(1-EXP(-LN(2)/2))/(LN(2)/2)*GH48*GK48*VLOOKUP('Données projet'!$B$17,Paramètres!$A$1:$I$89,3,0)*0.475*44/12</f>
        <v>4.2859049987073856</v>
      </c>
      <c r="GO48" s="21">
        <f t="shared" si="27"/>
        <v>91.033425288721745</v>
      </c>
      <c r="GP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62.49281635915014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>
        <f>VLOOKUP(A48,'Données projet'!$A$269:$I$289,2,0)</f>
        <v>314</v>
      </c>
      <c r="GS48" s="12">
        <f>VLOOKUP(A48,'Données projet'!$A$269:$I$289,9,0)</f>
        <v>13.2</v>
      </c>
      <c r="GT48" s="12">
        <f t="array" ref="GT48">INDEX(GS:GS,MIN(IF(ISNUMBER(GS48:GS244),ROW(GS48:GS244),"")))</f>
        <v>13.2</v>
      </c>
      <c r="GU48" s="12">
        <f>IF('Données projet'!$A$270&gt;35,GU47+GT48-HC47,IF(A48&lt;'Données projet'!$A$270,$GR$205^A48,IF(A48='Données projet'!$A$270,'Données projet'!$B$270,GU47+GT48-HC47)))</f>
        <v>314</v>
      </c>
      <c r="GV48" s="17">
        <f>GU48*VLOOKUP('Données projet'!$B$18,Paramètres!$A$1:$I$89,3,0)*VLOOKUP('Données projet'!$B$18,Paramètres!$A$1:$I$89,5,0)</f>
        <v>171.44399999999999</v>
      </c>
      <c r="GW48" s="13">
        <f t="shared" si="51"/>
        <v>43.413272173627242</v>
      </c>
      <c r="GX48" s="20">
        <f t="shared" si="28"/>
        <v>374.20974903573409</v>
      </c>
      <c r="GY48" s="57">
        <f t="shared" si="29"/>
        <v>640.01674235261794</v>
      </c>
      <c r="GZ48" s="57">
        <f ca="1">AVERAGE(OFFSET($GY$3,0,0,'Données projet'!$E$18+1,1))-AVERAGE(OFFSET($H$3,0,0,'Données projet'!$E$18+1,1))</f>
        <v>381.00532469288714</v>
      </c>
      <c r="HA48" s="57">
        <f t="shared" si="52"/>
        <v>314.875259641757</v>
      </c>
      <c r="HB48" s="15">
        <f>IF(ISNA(VLOOKUP(A48,'Données projet'!$A$269:$I$289,3,0)),0,VLOOKUP(A48,'Données projet'!$A$269:$I$289,3,0))</f>
        <v>8</v>
      </c>
      <c r="HC48" s="15">
        <f>IF(ISNA(VLOOKUP(A48,'Données projet'!$A$269:$I$289,4,0)),0,VLOOKUP(A48,'Données projet'!$A$269:$I$289,4,0))</f>
        <v>36</v>
      </c>
      <c r="HD48" s="16">
        <f>IF(ISNA(VLOOKUP(A48,'Données projet'!$A$269:$I$289,5,0)),0%,VLOOKUP(A48,'Données projet'!$A$269:$I$289,5,0)*VLOOKUP('Données projet'!$B$18,Paramètres!$A$1:$I$89,7,0))</f>
        <v>0.3</v>
      </c>
      <c r="HE48" s="16">
        <f>IF(ISNA(VLOOKUP(A48,'Données projet'!$A$269:$I$289,6,0)),0%,VLOOKUP(A48,'Données projet'!$A$269:$I$289,6,0)*VLOOKUP('Données projet'!$B$18,Paramètres!$A$1:$I$89,7,0))</f>
        <v>0.16800000000000001</v>
      </c>
      <c r="HF48" s="16">
        <f>IF(ISNA(VLOOKUP(A48,'Données projet'!$A$269:$I$289,7,0)),0%,VLOOKUP(A48,'Données projet'!$A$269:$I$289,7,0))</f>
        <v>0.22</v>
      </c>
      <c r="HG48" s="21">
        <f>EXP(-LN(2)/35)*HG47+(1-EXP(-LN(2)/35))/(LN(2)/35)*HC48*HD48*VLOOKUP('Données projet'!$B$18,Paramètres!$A$1:$I$89,3,0)*0.475*44/12</f>
        <v>34.994660441445362</v>
      </c>
      <c r="HH48" s="21">
        <f>EXP(-LN(2)/25)*HH47+(1-EXP(-LN(2)/25))/(LN(2)/25)*Calculateur!HC48*Calculateur!HE48*VLOOKUP('Données projet'!$B$18,Paramètres!$A$1:$I$89,3,0)*0.475*44/12</f>
        <v>26.490534173394256</v>
      </c>
      <c r="HI48" s="21">
        <f>EXP(-LN(2)/2)*HI47+(1-EXP(-LN(2)/2))/(LN(2)/2)*HC48*HF48*VLOOKUP('Données projet'!$B$18,Paramètres!$A$1:$I$89,3,0)*0.475*44/12</f>
        <v>6.1154483636114243</v>
      </c>
      <c r="HJ48" s="22">
        <f t="shared" si="30"/>
        <v>67.600642978451035</v>
      </c>
    </row>
    <row r="49" spans="1:218" x14ac:dyDescent="0.2">
      <c r="A49" s="10">
        <f t="shared" si="31"/>
        <v>46</v>
      </c>
      <c r="B49" s="71">
        <f>'Scénario référence'!$B$16*5+'Scénario référence'!$B$17*0+'Scénario référence'!$B$18*5</f>
        <v>3.3000000000000003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12.100000000000001</v>
      </c>
      <c r="H49" s="65">
        <f t="shared" si="1"/>
        <v>208.26666666666665</v>
      </c>
      <c r="I49" s="6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62.623049211770621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5.6</v>
      </c>
      <c r="N49" s="13">
        <f>IF('Données projet'!$A$36&gt;35,N48+M49-V48,IF(A49&lt;'Données projet'!$A$36,$K$205^A49,IF(A49='Données projet'!$A$36,'Données projet'!$B$36,N48+M49-V48)))</f>
        <v>98.59999999999998</v>
      </c>
      <c r="O49" s="13">
        <f>N49*VLOOKUP('Données projet'!$B$9,Paramètres!$A$1:$I$89,3,0)*VLOOKUP('Données projet'!$B$9,Paramètres!$A$1:$I$89,5,0)</f>
        <v>99.980399999999989</v>
      </c>
      <c r="P49" s="13">
        <f t="shared" si="33"/>
        <v>26.957328065359373</v>
      </c>
      <c r="Q49" s="20">
        <f t="shared" si="53"/>
        <v>221.08320971383421</v>
      </c>
      <c r="R49" s="57">
        <f t="shared" si="0"/>
        <v>487.36772349032645</v>
      </c>
      <c r="S49" s="57">
        <f ca="1">AVERAGE(OFFSET($R$3,0,0,'Données projet'!$E$9+1,1))-AVERAGE(OFFSET($H$3,0,0,'Données projet'!$E$9+1,1))</f>
        <v>332.70145542047612</v>
      </c>
      <c r="T49" s="57">
        <f t="shared" si="34"/>
        <v>172.22433737900428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2.5215676383489098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2.5215676383489098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62.623049211770621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8.3866666666666703</v>
      </c>
      <c r="AI49" s="13">
        <f>IF('Données projet'!$A$62&gt;35,AI48+AH49-AQ48,IF(A49&lt;'Données projet'!$A$62,$AF$205^A49,IF(A49='Données projet'!$A$62,'Données projet'!$B$62,AI48+AH49-AQ48)))</f>
        <v>133.51333333333338</v>
      </c>
      <c r="AJ49" s="13">
        <f>AI49*VLOOKUP('Données projet'!$B$10,Paramètres!$A$1:$I$89,3,0)*VLOOKUP('Données projet'!$B$10,Paramètres!$A$1:$I$89,5,0)</f>
        <v>120.80286400000004</v>
      </c>
      <c r="AK49" s="13">
        <f t="shared" si="35"/>
        <v>31.862181403517273</v>
      </c>
      <c r="AL49" s="20">
        <f t="shared" si="4"/>
        <v>265.89162074445932</v>
      </c>
      <c r="AM49" s="57">
        <f t="shared" si="5"/>
        <v>532.17613452095156</v>
      </c>
      <c r="AN49" s="57">
        <f ca="1">AVERAGE(OFFSET($AM$3,0,0,'Données projet'!$E$10+1,1))-AVERAGE(OFFSET($H$3,0,0,'Données projet'!$E$10+1,1))</f>
        <v>469.4210143164521</v>
      </c>
      <c r="AO49" s="57">
        <f t="shared" si="36"/>
        <v>308.4508386530556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6.1190900400961565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6.1190900400961565</v>
      </c>
      <c r="AY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62.623049211770621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8.6</v>
      </c>
      <c r="BD49" s="12">
        <f>IF('Données projet'!$A$88&gt;35,BD48+BC49-BL48,IF(A49&lt;'Données projet'!$A$88,$BA$205^A49,IF(A49='Données projet'!$A$88,'Données projet'!$B$88,BD48+BC49-BL48)))</f>
        <v>226.60000000000005</v>
      </c>
      <c r="BE49" s="13">
        <f>BD49*VLOOKUP('Données projet'!$B$11,Paramètres!$A$1:$I$89,3,0)*VLOOKUP('Données projet'!$B$11,Paramètres!$A$1:$I$89,5,0)</f>
        <v>166.14312000000004</v>
      </c>
      <c r="BF49" s="13">
        <f t="shared" si="37"/>
        <v>42.225060429180481</v>
      </c>
      <c r="BG49" s="20">
        <f t="shared" si="7"/>
        <v>362.90791424748937</v>
      </c>
      <c r="BH49" s="57">
        <f t="shared" si="8"/>
        <v>629.19242802398162</v>
      </c>
      <c r="BI49" s="57">
        <f ca="1">AVERAGE(OFFSET($BH$3,0,0,'Données projet'!$E$11+1,1))-AVERAGE(OFFSET($H$3,0,0,'Données projet'!$E$11+1,1))</f>
        <v>344.32981377462971</v>
      </c>
      <c r="BJ49" s="57">
        <f t="shared" si="38"/>
        <v>334.42512656625763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20.102500791949002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20.102500791949002</v>
      </c>
      <c r="BT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62.623049211770621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9.4</v>
      </c>
      <c r="BY49" s="12">
        <f>IF('Données projet'!$A$114&gt;35,BY48+BX49-CG48,IF(A49&lt;'Données projet'!$A$114,$BV$205^A49,IF(A49='Données projet'!$A$114,'Données projet'!$B$114,BY48+BX49-CG48)))</f>
        <v>225.39999999999998</v>
      </c>
      <c r="BZ49" s="13">
        <f>BY49*VLOOKUP('Données projet'!$B$12,Paramètres!$A$1:$I$89,3,0)*VLOOKUP('Données projet'!$B$12,Paramètres!$A$1:$I$89,5,0)</f>
        <v>214.49063999999996</v>
      </c>
      <c r="CA49" s="13">
        <f t="shared" si="39"/>
        <v>52.91569183344388</v>
      </c>
      <c r="CB49" s="20">
        <f t="shared" si="10"/>
        <v>465.73269460991469</v>
      </c>
      <c r="CC49" s="57">
        <f t="shared" si="11"/>
        <v>732.01720838640699</v>
      </c>
      <c r="CD49" s="57">
        <f ca="1">AVERAGE(OFFSET($CC$3,0,0,'Données projet'!$E$12+1,1))-AVERAGE(OFFSET($H$3,0,0,'Données projet'!$E$12+1,1))</f>
        <v>498.77732039282807</v>
      </c>
      <c r="CE49" s="57">
        <f t="shared" si="40"/>
        <v>384.57317421826531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6.9709574048852732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6.9709574048852732</v>
      </c>
      <c r="CO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62.623049211770621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8.3866666666666703</v>
      </c>
      <c r="CT49" s="12">
        <f>IF('Données projet'!$A$140&gt;35,CT48+CS49-DB48,IF(A49&lt;'Données projet'!$A$140,$CQ$205^A49,IF(A49='Données projet'!$A$140,'Données projet'!$B$140,CT48+CS49-DB48)))</f>
        <v>133.51333333333338</v>
      </c>
      <c r="CU49" s="17">
        <f>CT49*VLOOKUP('Données projet'!$B$13,Paramètres!$A$1:$I$89,3,0)*VLOOKUP('Données projet'!$B$13,Paramètres!$A$1:$I$89,5,0)</f>
        <v>89.560744000000042</v>
      </c>
      <c r="CV49" s="13">
        <f t="shared" si="41"/>
        <v>24.459256877260778</v>
      </c>
      <c r="CW49" s="20">
        <f t="shared" si="13"/>
        <v>198.58483486122927</v>
      </c>
      <c r="CX49" s="57">
        <f t="shared" si="14"/>
        <v>464.86934863772149</v>
      </c>
      <c r="CY49" s="57">
        <f ca="1">AVERAGE(OFFSET($CX$3,0,0,'Données projet'!$E$13+1,1))-AVERAGE(OFFSET($H$3,0,0,'Données projet'!$E$13+1,1))</f>
        <v>365.99625753737246</v>
      </c>
      <c r="CZ49" s="57">
        <f t="shared" si="42"/>
        <v>242.84814712692287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5.5915822780189011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5.5915822780189011</v>
      </c>
      <c r="DJ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62.623049211770621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7.4</v>
      </c>
      <c r="DO49" s="12">
        <f>IF('Données projet'!$A$166&gt;35,DO48+DN49-DW48,IF(A49&lt;'Données projet'!$A$166,$DL$205^A49,IF(A49='Données projet'!$A$166,'Données projet'!$B$166,DO48+DN49-DW48)))</f>
        <v>216.39999999999998</v>
      </c>
      <c r="DP49" s="17">
        <f>DO49*VLOOKUP('Données projet'!$B$14,Paramètres!$A$1:$I$89,3,0)*VLOOKUP('Données projet'!$B$14,Paramètres!$A$1:$I$89,5,0)</f>
        <v>141.78528</v>
      </c>
      <c r="DQ49" s="13">
        <f t="shared" si="43"/>
        <v>36.705685970912178</v>
      </c>
      <c r="DR49" s="20">
        <f t="shared" si="16"/>
        <v>310.87176573267203</v>
      </c>
      <c r="DS49" s="57">
        <f t="shared" si="17"/>
        <v>577.15627950916428</v>
      </c>
      <c r="DT49" s="57">
        <f ca="1">AVERAGE(OFFSET($DS$3,0,0,'Données projet'!$E$14+1,1))-AVERAGE(OFFSET($H$3,0,0,'Données projet'!$E$14+1,1))</f>
        <v>313.79279628660527</v>
      </c>
      <c r="DU49" s="57">
        <f t="shared" si="44"/>
        <v>317.45469955216254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7.4703927957976628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7.4703927957976628</v>
      </c>
      <c r="EE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62.623049211770621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19.777777777777779</v>
      </c>
      <c r="EJ49" s="12">
        <f>IF('Données projet'!$A$192&gt;35,EJ48+EI49-ER48,IF(A49&lt;'Données projet'!$A$192,$EG$205^A49,IF(A49='Données projet'!$A$192,'Données projet'!$B$192,EJ48+EI49-ER48)))</f>
        <v>356.11111111111126</v>
      </c>
      <c r="EK49" s="17">
        <f>EJ49*VLOOKUP('Données projet'!$B$15,Paramètres!$A$1:$I$89,3,0)*VLOOKUP('Données projet'!$B$15,Paramètres!$A$1:$I$89,5,0)</f>
        <v>305.54333333333346</v>
      </c>
      <c r="EL49" s="13">
        <f t="shared" si="45"/>
        <v>72.337317849093495</v>
      </c>
      <c r="EM49" s="20">
        <f t="shared" si="19"/>
        <v>658.14213414272695</v>
      </c>
      <c r="EN49" s="57">
        <f t="shared" si="20"/>
        <v>924.42664791921925</v>
      </c>
      <c r="EO49" s="57">
        <f ca="1">AVERAGE(OFFSET($EN$3,0,0,'Données projet'!$E$15+1,1))-AVERAGE(OFFSET($H$3,0,0,'Données projet'!$E$15+1,1))</f>
        <v>643.04899298561475</v>
      </c>
      <c r="EP49" s="57">
        <f t="shared" si="46"/>
        <v>474.94999304483031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41.347446817194495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41.347446817194495</v>
      </c>
      <c r="EZ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62.623049211770621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8.6</v>
      </c>
      <c r="FE49" s="12">
        <f>IF('Données projet'!$A$218&gt;35,FE48+FD49-FM48,IF(A49&lt;'Données projet'!$A$218,$FB$205^A49,IF(A49='Données projet'!$A$218,'Données projet'!$B$218,FE48+FD49-FM48)))</f>
        <v>226.60000000000005</v>
      </c>
      <c r="FF49" s="17">
        <f>FE49*VLOOKUP('Données projet'!$B$16,Paramètres!$A$1:$I$89,3,0)*VLOOKUP('Données projet'!$B$16,Paramètres!$A$1:$I$89,5,0)</f>
        <v>183.81792000000007</v>
      </c>
      <c r="FG49" s="13">
        <f t="shared" si="47"/>
        <v>46.170562638655326</v>
      </c>
      <c r="FH49" s="20">
        <f t="shared" si="22"/>
        <v>400.56327392899146</v>
      </c>
      <c r="FI49" s="57">
        <f t="shared" si="23"/>
        <v>666.84778770548371</v>
      </c>
      <c r="FJ49" s="57">
        <f ca="1">AVERAGE(OFFSET($FI$3,0,0,'Données projet'!$E$16+1,1))-AVERAGE(OFFSET($H$3,0,0,'Données projet'!$E$16+1,1))</f>
        <v>375.34603719604439</v>
      </c>
      <c r="FK49" s="57">
        <f t="shared" si="48"/>
        <v>363.99476973672211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27.413405335285226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27.413405335285226</v>
      </c>
      <c r="FU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62.623049211770621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27.513333333333321</v>
      </c>
      <c r="FZ49" s="12">
        <f>IF('Données projet'!$A$244&gt;35,FZ48+FY49-GH48,IF(A49&lt;'Données projet'!$A$244,$FW$205^A49,IF(A49='Données projet'!$A$244,'Données projet'!$B$244,FZ48+FY49-GH48)))</f>
        <v>600.02333333333308</v>
      </c>
      <c r="GA49" s="17">
        <f>FZ49*VLOOKUP('Données projet'!$B$17,Paramètres!$A$1:$I$89,3,0)*VLOOKUP('Données projet'!$B$17,Paramètres!$A$1:$I$89,5,0)</f>
        <v>335.41304333333323</v>
      </c>
      <c r="GB49" s="13">
        <f t="shared" si="49"/>
        <v>78.551504260466714</v>
      </c>
      <c r="GC49" s="20">
        <f t="shared" si="25"/>
        <v>720.98825372586816</v>
      </c>
      <c r="GD49" s="57">
        <f t="shared" si="26"/>
        <v>987.27276750236047</v>
      </c>
      <c r="GE49" s="57">
        <f ca="1">AVERAGE(OFFSET($GD$3,0,0,'Données projet'!$E$17+1,1))-AVERAGE(OFFSET($H$3,0,0,'Données projet'!$E$17+1,1))</f>
        <v>414.47327143450701</v>
      </c>
      <c r="GF49" s="57">
        <f t="shared" si="50"/>
        <v>546.83385887302961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52.190509406884459</v>
      </c>
      <c r="GM49" s="21">
        <f>EXP(-LN(2)/25)*GM48+(1-EXP(-LN(2)/25))/(LN(2)/25)*Calculateur!GH49*Calculateur!GJ49*VLOOKUP('Données projet'!$B$17,Paramètres!$A$1:$I$89,3,0)*0.475*44/12</f>
        <v>32.596698759981827</v>
      </c>
      <c r="GN49" s="21">
        <f>EXP(-LN(2)/2)*GN48+(1-EXP(-LN(2)/2))/(LN(2)/2)*GH49*GK49*VLOOKUP('Données projet'!$B$17,Paramètres!$A$1:$I$89,3,0)*0.475*44/12</f>
        <v>3.0305924881073136</v>
      </c>
      <c r="GO49" s="21">
        <f t="shared" si="27"/>
        <v>87.81780065497361</v>
      </c>
      <c r="GP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62.623049211770621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11.6</v>
      </c>
      <c r="GU49" s="12">
        <f>IF('Données projet'!$A$270&gt;35,GU48+GT49-HC48,IF(A49&lt;'Données projet'!$A$270,$GR$205^A49,IF(A49='Données projet'!$A$270,'Données projet'!$B$270,GU48+GT49-HC48)))</f>
        <v>289.60000000000002</v>
      </c>
      <c r="GV49" s="17">
        <f>GU49*VLOOKUP('Données projet'!$B$18,Paramètres!$A$1:$I$89,3,0)*VLOOKUP('Données projet'!$B$18,Paramètres!$A$1:$I$89,5,0)</f>
        <v>158.1216</v>
      </c>
      <c r="GW49" s="13">
        <f t="shared" si="51"/>
        <v>40.418546284954211</v>
      </c>
      <c r="GX49" s="20">
        <f t="shared" si="28"/>
        <v>345.79075477962851</v>
      </c>
      <c r="GY49" s="57">
        <f t="shared" si="29"/>
        <v>612.07526855612082</v>
      </c>
      <c r="GZ49" s="57">
        <f ca="1">AVERAGE(OFFSET($GY$3,0,0,'Données projet'!$E$18+1,1))-AVERAGE(OFFSET($H$3,0,0,'Données projet'!$E$18+1,1))</f>
        <v>381.00532469288714</v>
      </c>
      <c r="HA49" s="57">
        <f t="shared" si="52"/>
        <v>314.875259641757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>
        <f>EXP(-LN(2)/35)*HG48+(1-EXP(-LN(2)/35))/(LN(2)/35)*HC49*HD49*VLOOKUP('Données projet'!$B$18,Paramètres!$A$1:$I$89,3,0)*0.475*44/12</f>
        <v>34.30843649482388</v>
      </c>
      <c r="HH49" s="21">
        <f>EXP(-LN(2)/25)*HH48+(1-EXP(-LN(2)/25))/(LN(2)/25)*Calculateur!HC49*Calculateur!HE49*VLOOKUP('Données projet'!$B$18,Paramètres!$A$1:$I$89,3,0)*0.475*44/12</f>
        <v>25.766149123346143</v>
      </c>
      <c r="HI49" s="21">
        <f>EXP(-LN(2)/2)*HI48+(1-EXP(-LN(2)/2))/(LN(2)/2)*HC49*HF49*VLOOKUP('Données projet'!$B$18,Paramètres!$A$1:$I$89,3,0)*0.475*44/12</f>
        <v>4.3242750079058139</v>
      </c>
      <c r="HJ49" s="22">
        <f t="shared" si="30"/>
        <v>64.39886062607583</v>
      </c>
    </row>
    <row r="50" spans="1:218" x14ac:dyDescent="0.2">
      <c r="A50" s="10">
        <f t="shared" si="31"/>
        <v>47</v>
      </c>
      <c r="B50" s="71">
        <f>'Scénario référence'!$B$16*5+'Scénario référence'!$B$17*0+'Scénario référence'!$B$18*5</f>
        <v>3.3000000000000003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12.100000000000001</v>
      </c>
      <c r="H50" s="65">
        <f t="shared" si="1"/>
        <v>208.26666666666665</v>
      </c>
      <c r="I50" s="6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62.751022815555174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5.6</v>
      </c>
      <c r="N50" s="13">
        <f>IF('Données projet'!$A$36&gt;35,N49+M50-V49,IF(A50&lt;'Données projet'!$A$36,$K$205^A50,IF(A50='Données projet'!$A$36,'Données projet'!$B$36,N49+M50-V49)))</f>
        <v>104.19999999999997</v>
      </c>
      <c r="O50" s="13">
        <f>N50*VLOOKUP('Données projet'!$B$9,Paramètres!$A$1:$I$89,3,0)*VLOOKUP('Données projet'!$B$9,Paramètres!$A$1:$I$89,5,0)</f>
        <v>105.65879999999999</v>
      </c>
      <c r="P50" s="13">
        <f t="shared" si="33"/>
        <v>28.305779445097851</v>
      </c>
      <c r="Q50" s="20">
        <f t="shared" si="53"/>
        <v>233.32164253354537</v>
      </c>
      <c r="R50" s="57">
        <f t="shared" si="0"/>
        <v>500.07539285724772</v>
      </c>
      <c r="S50" s="57">
        <f ca="1">AVERAGE(OFFSET($R$3,0,0,'Données projet'!$E$9+1,1))-AVERAGE(OFFSET($H$3,0,0,'Données projet'!$E$9+1,1))</f>
        <v>332.70145542047612</v>
      </c>
      <c r="T50" s="57">
        <f t="shared" si="34"/>
        <v>172.22433737900428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2.4721212349652819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2.4721212349652819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62.751022815555174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>
        <f>VLOOKUP(A50,'Données projet'!$A$61:$I$81,2,0)</f>
        <v>141.9</v>
      </c>
      <c r="AG50" s="12">
        <f>VLOOKUP(A50,'Données projet'!$A$61:$I$81,9,0)</f>
        <v>8.3866666666666703</v>
      </c>
      <c r="AH50" s="12">
        <f t="array" ref="AH50">INDEX(AG:AG,MIN(IF(ISNUMBER(AG50:AG246),ROW(AG50:AG246),"")))</f>
        <v>8.3866666666666703</v>
      </c>
      <c r="AI50" s="13">
        <f>IF('Données projet'!$A$62&gt;35,AI49+AH50-AQ49,IF(A50&lt;'Données projet'!$A$62,$AF$205^A50,IF(A50='Données projet'!$A$62,'Données projet'!$B$62,AI49+AH50-AQ49)))</f>
        <v>141.90000000000003</v>
      </c>
      <c r="AJ50" s="13">
        <f>AI50*VLOOKUP('Données projet'!$B$10,Paramètres!$A$1:$I$89,3,0)*VLOOKUP('Données projet'!$B$10,Paramètres!$A$1:$I$89,5,0)</f>
        <v>128.39112000000003</v>
      </c>
      <c r="AK50" s="13">
        <f t="shared" si="35"/>
        <v>33.624325384808856</v>
      </c>
      <c r="AL50" s="20">
        <f t="shared" si="4"/>
        <v>282.17690071187548</v>
      </c>
      <c r="AM50" s="57">
        <f t="shared" si="5"/>
        <v>548.93065103557774</v>
      </c>
      <c r="AN50" s="57">
        <f ca="1">AVERAGE(OFFSET($AM$3,0,0,'Données projet'!$E$10+1,1))-AVERAGE(OFFSET($H$3,0,0,'Données projet'!$E$10+1,1))</f>
        <v>469.4210143164521</v>
      </c>
      <c r="AO50" s="57">
        <f t="shared" si="36"/>
        <v>308.4508386530556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5.9990984166862633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5.9990984166862633</v>
      </c>
      <c r="AY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62.751022815555174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8.6</v>
      </c>
      <c r="BD50" s="12">
        <f>IF('Données projet'!$A$88&gt;35,BD49+BC50-BL49,IF(A50&lt;'Données projet'!$A$88,$BA$205^A50,IF(A50='Données projet'!$A$88,'Données projet'!$B$88,BD49+BC50-BL49)))</f>
        <v>235.20000000000005</v>
      </c>
      <c r="BE50" s="13">
        <f>BD50*VLOOKUP('Données projet'!$B$11,Paramètres!$A$1:$I$89,3,0)*VLOOKUP('Données projet'!$B$11,Paramètres!$A$1:$I$89,5,0)</f>
        <v>172.44864000000001</v>
      </c>
      <c r="BF50" s="13">
        <f t="shared" si="37"/>
        <v>43.637980200453676</v>
      </c>
      <c r="BG50" s="20">
        <f t="shared" si="7"/>
        <v>376.35086351579019</v>
      </c>
      <c r="BH50" s="57">
        <f t="shared" si="8"/>
        <v>643.10461383949246</v>
      </c>
      <c r="BI50" s="57">
        <f ca="1">AVERAGE(OFFSET($BH$3,0,0,'Données projet'!$E$11+1,1))-AVERAGE(OFFSET($H$3,0,0,'Données projet'!$E$11+1,1))</f>
        <v>344.32981377462971</v>
      </c>
      <c r="BJ50" s="57">
        <f t="shared" si="38"/>
        <v>334.42512656625763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19.708303012733662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19.708303012733662</v>
      </c>
      <c r="BT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62.751022815555174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9.4</v>
      </c>
      <c r="BY50" s="12">
        <f>IF('Données projet'!$A$114&gt;35,BY49+BX50-CG49,IF(A50&lt;'Données projet'!$A$114,$BV$205^A50,IF(A50='Données projet'!$A$114,'Données projet'!$B$114,BY49+BX50-CG49)))</f>
        <v>234.79999999999998</v>
      </c>
      <c r="BZ50" s="13">
        <f>BY50*VLOOKUP('Données projet'!$B$12,Paramètres!$A$1:$I$89,3,0)*VLOOKUP('Données projet'!$B$12,Paramètres!$A$1:$I$89,5,0)</f>
        <v>223.43567999999999</v>
      </c>
      <c r="CA50" s="13">
        <f t="shared" si="39"/>
        <v>54.860939009226229</v>
      </c>
      <c r="CB50" s="20">
        <f t="shared" si="10"/>
        <v>484.69994477440224</v>
      </c>
      <c r="CC50" s="57">
        <f t="shared" si="11"/>
        <v>751.45369509810462</v>
      </c>
      <c r="CD50" s="57">
        <f ca="1">AVERAGE(OFFSET($CC$3,0,0,'Données projet'!$E$12+1,1))-AVERAGE(OFFSET($H$3,0,0,'Données projet'!$E$12+1,1))</f>
        <v>498.77732039282807</v>
      </c>
      <c r="CE50" s="57">
        <f t="shared" si="40"/>
        <v>384.57317421826531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6.8342611820396533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6.8342611820396533</v>
      </c>
      <c r="CO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62.751022815555174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>
        <f>VLOOKUP(A50,'Données projet'!$A$139:$I$159,2,0)</f>
        <v>141.9</v>
      </c>
      <c r="CR50" s="12">
        <f>VLOOKUP(A50,'Données projet'!$A$139:$I$159,9,0)</f>
        <v>8.3866666666666703</v>
      </c>
      <c r="CS50" s="12">
        <f t="array" ref="CS50">INDEX(CR:CR,MIN(IF(ISNUMBER(CR50:CR246),ROW(CR50:CR246),"")))</f>
        <v>8.3866666666666703</v>
      </c>
      <c r="CT50" s="12">
        <f>IF('Données projet'!$A$140&gt;35,CT49+CS50-DB49,IF(A50&lt;'Données projet'!$A$140,$CQ$205^A50,IF(A50='Données projet'!$A$140,'Données projet'!$B$140,CT49+CS50-DB49)))</f>
        <v>141.90000000000003</v>
      </c>
      <c r="CU50" s="17">
        <f>CT50*VLOOKUP('Données projet'!$B$13,Paramètres!$A$1:$I$89,3,0)*VLOOKUP('Données projet'!$B$13,Paramètres!$A$1:$I$89,5,0)</f>
        <v>95.18652000000003</v>
      </c>
      <c r="CV50" s="13">
        <f t="shared" si="41"/>
        <v>25.811980714567515</v>
      </c>
      <c r="CW50" s="20">
        <f t="shared" si="13"/>
        <v>210.73905541120516</v>
      </c>
      <c r="CX50" s="57">
        <f t="shared" si="14"/>
        <v>477.49280573490751</v>
      </c>
      <c r="CY50" s="57">
        <f ca="1">AVERAGE(OFFSET($CX$3,0,0,'Données projet'!$E$13+1,1))-AVERAGE(OFFSET($H$3,0,0,'Données projet'!$E$13+1,1))</f>
        <v>365.99625753737246</v>
      </c>
      <c r="CZ50" s="57">
        <f t="shared" si="42"/>
        <v>242.84814712692287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5.4819347600753785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5.4819347600753785</v>
      </c>
      <c r="DJ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62.751022815555174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7.4</v>
      </c>
      <c r="DO50" s="12">
        <f>IF('Données projet'!$A$166&gt;35,DO49+DN50-DW49,IF(A50&lt;'Données projet'!$A$166,$DL$205^A50,IF(A50='Données projet'!$A$166,'Données projet'!$B$166,DO49+DN50-DW49)))</f>
        <v>223.79999999999998</v>
      </c>
      <c r="DP50" s="17">
        <f>DO50*VLOOKUP('Données projet'!$B$14,Paramètres!$A$1:$I$89,3,0)*VLOOKUP('Données projet'!$B$14,Paramètres!$A$1:$I$89,5,0)</f>
        <v>146.63376</v>
      </c>
      <c r="DQ50" s="13">
        <f t="shared" si="43"/>
        <v>37.812587902416553</v>
      </c>
      <c r="DR50" s="20">
        <f t="shared" si="16"/>
        <v>321.24405593004218</v>
      </c>
      <c r="DS50" s="57">
        <f t="shared" si="17"/>
        <v>587.99780625374456</v>
      </c>
      <c r="DT50" s="57">
        <f ca="1">AVERAGE(OFFSET($DS$3,0,0,'Données projet'!$E$14+1,1))-AVERAGE(OFFSET($H$3,0,0,'Données projet'!$E$14+1,1))</f>
        <v>313.79279628660527</v>
      </c>
      <c r="DU50" s="57">
        <f t="shared" si="44"/>
        <v>317.45469955216254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7.3239029495617602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7.3239029495617602</v>
      </c>
      <c r="EE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62.751022815555174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19.777777777777779</v>
      </c>
      <c r="EJ50" s="12">
        <f>IF('Données projet'!$A$192&gt;35,EJ49+EI50-ER49,IF(A50&lt;'Données projet'!$A$192,$EG$205^A50,IF(A50='Données projet'!$A$192,'Données projet'!$B$192,EJ49+EI50-ER49)))</f>
        <v>375.88888888888903</v>
      </c>
      <c r="EK50" s="17">
        <f>EJ50*VLOOKUP('Données projet'!$B$15,Paramètres!$A$1:$I$89,3,0)*VLOOKUP('Données projet'!$B$15,Paramètres!$A$1:$I$89,5,0)</f>
        <v>322.51266666666686</v>
      </c>
      <c r="EL50" s="13">
        <f t="shared" si="45"/>
        <v>75.875924604698398</v>
      </c>
      <c r="EM50" s="20">
        <f t="shared" si="19"/>
        <v>693.86012979762791</v>
      </c>
      <c r="EN50" s="57">
        <f t="shared" si="20"/>
        <v>960.61388012133023</v>
      </c>
      <c r="EO50" s="57">
        <f ca="1">AVERAGE(OFFSET($EN$3,0,0,'Données projet'!$E$15+1,1))-AVERAGE(OFFSET($H$3,0,0,'Données projet'!$E$15+1,1))</f>
        <v>643.04899298561475</v>
      </c>
      <c r="EP50" s="57">
        <f t="shared" si="46"/>
        <v>474.94999304483031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40.536648604561655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40.536648604561655</v>
      </c>
      <c r="EZ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62.751022815555174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8.6</v>
      </c>
      <c r="FE50" s="12">
        <f>IF('Données projet'!$A$218&gt;35,FE49+FD50-FM49,IF(A50&lt;'Données projet'!$A$218,$FB$205^A50,IF(A50='Données projet'!$A$218,'Données projet'!$B$218,FE49+FD50-FM49)))</f>
        <v>235.20000000000005</v>
      </c>
      <c r="FF50" s="17">
        <f>FE50*VLOOKUP('Données projet'!$B$16,Paramètres!$A$1:$I$89,3,0)*VLOOKUP('Données projet'!$B$16,Paramètres!$A$1:$I$89,5,0)</f>
        <v>190.79424000000006</v>
      </c>
      <c r="FG50" s="13">
        <f t="shared" si="47"/>
        <v>47.715505384501149</v>
      </c>
      <c r="FH50" s="20">
        <f t="shared" si="22"/>
        <v>415.40447321133956</v>
      </c>
      <c r="FI50" s="57">
        <f t="shared" si="23"/>
        <v>682.15822353504188</v>
      </c>
      <c r="FJ50" s="57">
        <f ca="1">AVERAGE(OFFSET($FI$3,0,0,'Données projet'!$E$16+1,1))-AVERAGE(OFFSET($H$3,0,0,'Données projet'!$E$16+1,1))</f>
        <v>375.34603719604439</v>
      </c>
      <c r="FK50" s="57">
        <f t="shared" si="48"/>
        <v>363.99476973672211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26.875845177186523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26.875845177186523</v>
      </c>
      <c r="FU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62.751022815555174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27.513333333333321</v>
      </c>
      <c r="FZ50" s="12">
        <f>IF('Données projet'!$A$244&gt;35,FZ49+FY50-GH49,IF(A50&lt;'Données projet'!$A$244,$FW$205^A50,IF(A50='Données projet'!$A$244,'Données projet'!$B$244,FZ49+FY50-GH49)))</f>
        <v>627.53666666666641</v>
      </c>
      <c r="GA50" s="17">
        <f>FZ50*VLOOKUP('Données projet'!$B$17,Paramètres!$A$1:$I$89,3,0)*VLOOKUP('Données projet'!$B$17,Paramètres!$A$1:$I$89,5,0)</f>
        <v>350.79299666666651</v>
      </c>
      <c r="GB50" s="13">
        <f t="shared" si="49"/>
        <v>81.725775973951414</v>
      </c>
      <c r="GC50" s="20">
        <f t="shared" si="25"/>
        <v>753.30352901574281</v>
      </c>
      <c r="GD50" s="57">
        <f t="shared" si="26"/>
        <v>1020.0572793394451</v>
      </c>
      <c r="GE50" s="57">
        <f ca="1">AVERAGE(OFFSET($GD$3,0,0,'Données projet'!$E$17+1,1))-AVERAGE(OFFSET($H$3,0,0,'Données projet'!$E$17+1,1))</f>
        <v>414.47327143450701</v>
      </c>
      <c r="GF50" s="57">
        <f t="shared" si="50"/>
        <v>546.83385887302961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51.167085350482935</v>
      </c>
      <c r="GM50" s="21">
        <f>EXP(-LN(2)/25)*GM49+(1-EXP(-LN(2)/25))/(LN(2)/25)*Calculateur!GH50*Calculateur!GJ50*VLOOKUP('Données projet'!$B$17,Paramètres!$A$1:$I$89,3,0)*0.475*44/12</f>
        <v>31.705340318204236</v>
      </c>
      <c r="GN50" s="21">
        <f>EXP(-LN(2)/2)*GN49+(1-EXP(-LN(2)/2))/(LN(2)/2)*GH50*GK50*VLOOKUP('Données projet'!$B$17,Paramètres!$A$1:$I$89,3,0)*0.475*44/12</f>
        <v>2.1429524993536928</v>
      </c>
      <c r="GO50" s="21">
        <f t="shared" si="27"/>
        <v>85.015378168040868</v>
      </c>
      <c r="GP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62.751022815555174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11.6</v>
      </c>
      <c r="GU50" s="12">
        <f>IF('Données projet'!$A$270&gt;35,GU49+GT50-HC49,IF(A50&lt;'Données projet'!$A$270,$GR$205^A50,IF(A50='Données projet'!$A$270,'Données projet'!$B$270,GU49+GT50-HC49)))</f>
        <v>301.20000000000005</v>
      </c>
      <c r="GV50" s="17">
        <f>GU50*VLOOKUP('Données projet'!$B$18,Paramètres!$A$1:$I$89,3,0)*VLOOKUP('Données projet'!$B$18,Paramètres!$A$1:$I$89,5,0)</f>
        <v>164.45520000000002</v>
      </c>
      <c r="GW50" s="13">
        <f t="shared" si="51"/>
        <v>41.845786340832717</v>
      </c>
      <c r="GX50" s="20">
        <f t="shared" si="28"/>
        <v>359.30755121028363</v>
      </c>
      <c r="GY50" s="57">
        <f t="shared" si="29"/>
        <v>626.0613015339859</v>
      </c>
      <c r="GZ50" s="57">
        <f ca="1">AVERAGE(OFFSET($GY$3,0,0,'Données projet'!$E$18+1,1))-AVERAGE(OFFSET($H$3,0,0,'Données projet'!$E$18+1,1))</f>
        <v>381.00532469288714</v>
      </c>
      <c r="HA50" s="57">
        <f t="shared" si="52"/>
        <v>314.875259641757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>
        <f>EXP(-LN(2)/35)*HG49+(1-EXP(-LN(2)/35))/(LN(2)/35)*HC50*HD50*VLOOKUP('Données projet'!$B$18,Paramètres!$A$1:$I$89,3,0)*0.475*44/12</f>
        <v>33.635668981240364</v>
      </c>
      <c r="HH50" s="21">
        <f>EXP(-LN(2)/25)*HH49+(1-EXP(-LN(2)/25))/(LN(2)/25)*Calculateur!HC50*Calculateur!HE50*VLOOKUP('Données projet'!$B$18,Paramètres!$A$1:$I$89,3,0)*0.475*44/12</f>
        <v>25.06157242058535</v>
      </c>
      <c r="HI50" s="21">
        <f>EXP(-LN(2)/2)*HI49+(1-EXP(-LN(2)/2))/(LN(2)/2)*HC50*HF50*VLOOKUP('Données projet'!$B$18,Paramètres!$A$1:$I$89,3,0)*0.475*44/12</f>
        <v>3.0577241818057126</v>
      </c>
      <c r="HJ50" s="22">
        <f t="shared" si="30"/>
        <v>61.754965583631424</v>
      </c>
    </row>
    <row r="51" spans="1:218" x14ac:dyDescent="0.2">
      <c r="A51" s="10">
        <f t="shared" si="31"/>
        <v>48</v>
      </c>
      <c r="B51" s="71">
        <f>'Scénario référence'!$B$16*5+'Scénario référence'!$B$17*0+'Scénario référence'!$B$18*5</f>
        <v>3.3000000000000003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12.100000000000001</v>
      </c>
      <c r="H51" s="65">
        <f t="shared" si="1"/>
        <v>208.26666666666665</v>
      </c>
      <c r="I51" s="6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62.876776363420191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5.6</v>
      </c>
      <c r="N51" s="13">
        <f>IF('Données projet'!$A$36&gt;35,N50+M51-V50,IF(A51&lt;'Données projet'!$A$36,$K$205^A51,IF(A51='Données projet'!$A$36,'Données projet'!$B$36,N50+M51-V50)))</f>
        <v>109.79999999999997</v>
      </c>
      <c r="O51" s="13">
        <f>N51*VLOOKUP('Données projet'!$B$9,Paramètres!$A$1:$I$89,3,0)*VLOOKUP('Données projet'!$B$9,Paramètres!$A$1:$I$89,5,0)</f>
        <v>111.33719999999997</v>
      </c>
      <c r="P51" s="13">
        <f t="shared" si="33"/>
        <v>29.645817422905317</v>
      </c>
      <c r="Q51" s="20">
        <f t="shared" si="53"/>
        <v>245.54542201156005</v>
      </c>
      <c r="R51" s="57">
        <f t="shared" si="0"/>
        <v>512.76026867743417</v>
      </c>
      <c r="S51" s="57">
        <f ca="1">AVERAGE(OFFSET($R$3,0,0,'Données projet'!$E$9+1,1))-AVERAGE(OFFSET($H$3,0,0,'Données projet'!$E$9+1,1))</f>
        <v>332.70145542047612</v>
      </c>
      <c r="T51" s="57">
        <f t="shared" si="34"/>
        <v>172.22433737900428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2.4236444453926786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2.4236444453926786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62.876776363420191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9.2800000000000011</v>
      </c>
      <c r="AI51" s="13">
        <f>IF('Données projet'!$A$62&gt;35,AI50+AH51-AQ50,IF(A51&lt;'Données projet'!$A$62,$AF$205^A51,IF(A51='Données projet'!$A$62,'Données projet'!$B$62,AI50+AH51-AQ50)))</f>
        <v>151.18000000000004</v>
      </c>
      <c r="AJ51" s="13">
        <f>AI51*VLOOKUP('Données projet'!$B$10,Paramètres!$A$1:$I$89,3,0)*VLOOKUP('Données projet'!$B$10,Paramètres!$A$1:$I$89,5,0)</f>
        <v>136.78766400000004</v>
      </c>
      <c r="AK51" s="13">
        <f t="shared" si="35"/>
        <v>35.560113199341863</v>
      </c>
      <c r="AL51" s="20">
        <f t="shared" si="4"/>
        <v>300.17237862218713</v>
      </c>
      <c r="AM51" s="57">
        <f t="shared" si="5"/>
        <v>567.38722528806125</v>
      </c>
      <c r="AN51" s="57">
        <f ca="1">AVERAGE(OFFSET($AM$3,0,0,'Données projet'!$E$10+1,1))-AVERAGE(OFFSET($H$3,0,0,'Données projet'!$E$10+1,1))</f>
        <v>469.4210143164521</v>
      </c>
      <c r="AO51" s="57">
        <f t="shared" si="36"/>
        <v>308.4508386530556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5.8814597558237747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5.8814597558237747</v>
      </c>
      <c r="AY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62.876776363420191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8.6</v>
      </c>
      <c r="BD51" s="12">
        <f>IF('Données projet'!$A$88&gt;35,BD50+BC51-BL50,IF(A51&lt;'Données projet'!$A$88,$BA$205^A51,IF(A51='Données projet'!$A$88,'Données projet'!$B$88,BD50+BC51-BL50)))</f>
        <v>243.80000000000004</v>
      </c>
      <c r="BE51" s="13">
        <f>BD51*VLOOKUP('Données projet'!$B$11,Paramètres!$A$1:$I$89,3,0)*VLOOKUP('Données projet'!$B$11,Paramètres!$A$1:$I$89,5,0)</f>
        <v>178.75416000000001</v>
      </c>
      <c r="BF51" s="13">
        <f t="shared" si="37"/>
        <v>45.044897778507469</v>
      </c>
      <c r="BG51" s="20">
        <f t="shared" si="7"/>
        <v>389.78335896423386</v>
      </c>
      <c r="BH51" s="57">
        <f t="shared" si="8"/>
        <v>656.99820563010792</v>
      </c>
      <c r="BI51" s="57">
        <f ca="1">AVERAGE(OFFSET($BH$3,0,0,'Données projet'!$E$11+1,1))-AVERAGE(OFFSET($H$3,0,0,'Données projet'!$E$11+1,1))</f>
        <v>344.32981377462971</v>
      </c>
      <c r="BJ51" s="57">
        <f t="shared" si="38"/>
        <v>334.42512656625763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19.32183521153183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19.32183521153183</v>
      </c>
      <c r="BT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62.876776363420191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9.4</v>
      </c>
      <c r="BY51" s="12">
        <f>IF('Données projet'!$A$114&gt;35,BY50+BX51-CG50,IF(A51&lt;'Données projet'!$A$114,$BV$205^A51,IF(A51='Données projet'!$A$114,'Données projet'!$B$114,BY50+BX51-CG50)))</f>
        <v>244.2</v>
      </c>
      <c r="BZ51" s="13">
        <f>BY51*VLOOKUP('Données projet'!$B$12,Paramètres!$A$1:$I$89,3,0)*VLOOKUP('Données projet'!$B$12,Paramètres!$A$1:$I$89,5,0)</f>
        <v>232.38072</v>
      </c>
      <c r="CA51" s="13">
        <f t="shared" si="39"/>
        <v>56.79713993535362</v>
      </c>
      <c r="CB51" s="20">
        <f t="shared" si="10"/>
        <v>503.65143938740749</v>
      </c>
      <c r="CC51" s="57">
        <f t="shared" si="11"/>
        <v>770.86628605328156</v>
      </c>
      <c r="CD51" s="57">
        <f ca="1">AVERAGE(OFFSET($CC$3,0,0,'Données projet'!$E$12+1,1))-AVERAGE(OFFSET($H$3,0,0,'Données projet'!$E$12+1,1))</f>
        <v>498.77732039282807</v>
      </c>
      <c r="CE51" s="57">
        <f t="shared" si="40"/>
        <v>384.57317421826531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6.7002454887475729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6.7002454887475729</v>
      </c>
      <c r="CO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62.876776363420191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9.2800000000000011</v>
      </c>
      <c r="CT51" s="12">
        <f>IF('Données projet'!$A$140&gt;35,CT50+CS51-DB50,IF(A51&lt;'Données projet'!$A$140,$CQ$205^A51,IF(A51='Données projet'!$A$140,'Données projet'!$B$140,CT50+CS51-DB50)))</f>
        <v>151.18000000000004</v>
      </c>
      <c r="CU51" s="17">
        <f>CT51*VLOOKUP('Données projet'!$B$13,Paramètres!$A$1:$I$89,3,0)*VLOOKUP('Données projet'!$B$13,Paramètres!$A$1:$I$89,5,0)</f>
        <v>101.41154400000003</v>
      </c>
      <c r="CV51" s="13">
        <f t="shared" si="41"/>
        <v>27.298003621031388</v>
      </c>
      <c r="CW51" s="20">
        <f t="shared" si="13"/>
        <v>224.16912877329636</v>
      </c>
      <c r="CX51" s="57">
        <f t="shared" si="14"/>
        <v>491.3839754391704</v>
      </c>
      <c r="CY51" s="57">
        <f ca="1">AVERAGE(OFFSET($CX$3,0,0,'Données projet'!$E$13+1,1))-AVERAGE(OFFSET($H$3,0,0,'Données projet'!$E$13+1,1))</f>
        <v>365.99625753737246</v>
      </c>
      <c r="CZ51" s="57">
        <f t="shared" si="42"/>
        <v>242.84814712692287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5.3744373630803457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5.3744373630803457</v>
      </c>
      <c r="DJ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62.876776363420191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7.4</v>
      </c>
      <c r="DO51" s="12">
        <f>IF('Données projet'!$A$166&gt;35,DO50+DN51-DW50,IF(A51&lt;'Données projet'!$A$166,$DL$205^A51,IF(A51='Données projet'!$A$166,'Données projet'!$B$166,DO50+DN51-DW50)))</f>
        <v>231.2</v>
      </c>
      <c r="DP51" s="17">
        <f>DO51*VLOOKUP('Données projet'!$B$14,Paramètres!$A$1:$I$89,3,0)*VLOOKUP('Données projet'!$B$14,Paramètres!$A$1:$I$89,5,0)</f>
        <v>151.48223999999999</v>
      </c>
      <c r="DQ51" s="13">
        <f t="shared" si="43"/>
        <v>38.915236966075291</v>
      </c>
      <c r="DR51" s="20">
        <f t="shared" si="16"/>
        <v>331.60893904924779</v>
      </c>
      <c r="DS51" s="57">
        <f t="shared" si="17"/>
        <v>598.82378571512186</v>
      </c>
      <c r="DT51" s="57">
        <f ca="1">AVERAGE(OFFSET($DS$3,0,0,'Données projet'!$E$14+1,1))-AVERAGE(OFFSET($H$3,0,0,'Données projet'!$E$14+1,1))</f>
        <v>313.79279628660527</v>
      </c>
      <c r="DU51" s="57">
        <f t="shared" si="44"/>
        <v>317.45469955216254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7.1802856798605603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7.1802856798605603</v>
      </c>
      <c r="EE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62.876776363420191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19.777777777777779</v>
      </c>
      <c r="EJ51" s="12">
        <f>IF('Données projet'!$A$192&gt;35,EJ50+EI51-ER50,IF(A51&lt;'Données projet'!$A$192,$EG$205^A51,IF(A51='Données projet'!$A$192,'Données projet'!$B$192,EJ50+EI51-ER50)))</f>
        <v>395.6666666666668</v>
      </c>
      <c r="EK51" s="17">
        <f>EJ51*VLOOKUP('Données projet'!$B$15,Paramètres!$A$1:$I$89,3,0)*VLOOKUP('Données projet'!$B$15,Paramètres!$A$1:$I$89,5,0)</f>
        <v>339.48200000000014</v>
      </c>
      <c r="EL51" s="13">
        <f t="shared" si="45"/>
        <v>79.392914847187868</v>
      </c>
      <c r="EM51" s="20">
        <f t="shared" si="19"/>
        <v>729.54047669218573</v>
      </c>
      <c r="EN51" s="57">
        <f t="shared" si="20"/>
        <v>996.75532335805974</v>
      </c>
      <c r="EO51" s="57">
        <f ca="1">AVERAGE(OFFSET($EN$3,0,0,'Données projet'!$E$15+1,1))-AVERAGE(OFFSET($H$3,0,0,'Données projet'!$E$15+1,1))</f>
        <v>643.04899298561475</v>
      </c>
      <c r="EP51" s="57">
        <f t="shared" si="46"/>
        <v>474.94999304483031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39.741749650340466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39.741749650340466</v>
      </c>
      <c r="EZ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62.876776363420191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8.6</v>
      </c>
      <c r="FE51" s="12">
        <f>IF('Données projet'!$A$218&gt;35,FE50+FD51-FM50,IF(A51&lt;'Données projet'!$A$218,$FB$205^A51,IF(A51='Données projet'!$A$218,'Données projet'!$B$218,FE50+FD51-FM50)))</f>
        <v>243.80000000000004</v>
      </c>
      <c r="FF51" s="17">
        <f>FE51*VLOOKUP('Données projet'!$B$16,Paramètres!$A$1:$I$89,3,0)*VLOOKUP('Données projet'!$B$16,Paramètres!$A$1:$I$89,5,0)</f>
        <v>197.77056000000005</v>
      </c>
      <c r="FG51" s="13">
        <f t="shared" si="47"/>
        <v>49.253885093250254</v>
      </c>
      <c r="FH51" s="20">
        <f t="shared" si="22"/>
        <v>430.23424187074426</v>
      </c>
      <c r="FI51" s="57">
        <f t="shared" si="23"/>
        <v>697.44908853661832</v>
      </c>
      <c r="FJ51" s="57">
        <f ca="1">AVERAGE(OFFSET($FI$3,0,0,'Données projet'!$E$16+1,1))-AVERAGE(OFFSET($H$3,0,0,'Données projet'!$E$16+1,1))</f>
        <v>375.34603719604439</v>
      </c>
      <c r="FK51" s="57">
        <f t="shared" si="48"/>
        <v>363.99476973672211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26.348826245908814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26.348826245908814</v>
      </c>
      <c r="FU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62.876776363420191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>
        <f>VLOOKUP(A51,'Données projet'!$A$243:$I$263,2,0)</f>
        <v>655.04999999999995</v>
      </c>
      <c r="FX51" s="12">
        <f>VLOOKUP(A51,'Données projet'!$A$243:$I$263,9,0)</f>
        <v>27.513333333333321</v>
      </c>
      <c r="FY51" s="12">
        <f t="array" ref="FY51">INDEX(FX:FX,MIN(IF(ISNUMBER(FX51:FX247),ROW(FX51:FX247),"")))</f>
        <v>27.513333333333321</v>
      </c>
      <c r="FZ51" s="12">
        <f>IF('Données projet'!$A$244&gt;35,FZ50+FY51-GH50,IF(A51&lt;'Données projet'!$A$244,$FW$205^A51,IF(A51='Données projet'!$A$244,'Données projet'!$B$244,FZ50+FY51-GH50)))</f>
        <v>655.04999999999973</v>
      </c>
      <c r="GA51" s="17">
        <f>FZ51*VLOOKUP('Données projet'!$B$17,Paramètres!$A$1:$I$89,3,0)*VLOOKUP('Données projet'!$B$17,Paramètres!$A$1:$I$89,5,0)</f>
        <v>366.17294999999984</v>
      </c>
      <c r="GB51" s="13">
        <f t="shared" si="49"/>
        <v>84.883884000754321</v>
      </c>
      <c r="GC51" s="20">
        <f t="shared" si="25"/>
        <v>785.59065255131338</v>
      </c>
      <c r="GD51" s="57">
        <f t="shared" si="26"/>
        <v>1052.8054992171874</v>
      </c>
      <c r="GE51" s="57">
        <f ca="1">AVERAGE(OFFSET($GD$3,0,0,'Données projet'!$E$17+1,1))-AVERAGE(OFFSET($H$3,0,0,'Données projet'!$E$17+1,1))</f>
        <v>414.47327143450701</v>
      </c>
      <c r="GF51" s="57">
        <f t="shared" si="50"/>
        <v>546.83385887302961</v>
      </c>
      <c r="GG51" s="15">
        <f>IF(ISNA(VLOOKUP(A51,'Données projet'!$A$243:$I$263,3,0)),0,VLOOKUP(A51,'Données projet'!$A$243:$I$263,3,0))</f>
        <v>6</v>
      </c>
      <c r="GH51" s="15">
        <f>IF(ISNA(VLOOKUP(A51,'Données projet'!$A$243:$I$263,4,0)),0,VLOOKUP(A51,'Données projet'!$A$243:$I$263,4,0))</f>
        <v>101.34</v>
      </c>
      <c r="GI51" s="16">
        <f>IF(ISNA(VLOOKUP(A51,'Données projet'!$A$243:$I$263,5,0)),0%,VLOOKUP(A51,'Données projet'!$A$243:$I$263,5,0)*VLOOKUP('Données projet'!$B$17,Paramètres!$A$1:$I$89,7,0))</f>
        <v>0.38500000000000001</v>
      </c>
      <c r="GJ51" s="16">
        <f>IF(ISNA(VLOOKUP(A51,'Données projet'!$A$243:$I$263,6,0)),0%,VLOOKUP(A51,'Données projet'!$A$243:$I$263,6,0)*VLOOKUP('Données projet'!$B$17,Paramètres!$A$1:$I$89,7,0))</f>
        <v>9.3500000000000014E-2</v>
      </c>
      <c r="GK51" s="16">
        <f>IF(ISNA(VLOOKUP(A51,'Données projet'!$A$243:$I$263,7,0)),0%,VLOOKUP(A51,'Données projet'!$A$243:$I$263,7,0))</f>
        <v>0.13</v>
      </c>
      <c r="GL51" s="21">
        <f>EXP(-LN(2)/35)*GL50+(1-EXP(-LN(2)/35))/(LN(2)/35)*GH51*GI51*VLOOKUP('Données projet'!$B$17,Paramètres!$A$1:$I$89,3,0)*0.475*44/12</f>
        <v>79.095952346174215</v>
      </c>
      <c r="GM51" s="21">
        <f>EXP(-LN(2)/25)*GM50+(1-EXP(-LN(2)/25))/(LN(2)/25)*Calculateur!GH51*Calculateur!GJ51*VLOOKUP('Données projet'!$B$17,Paramètres!$A$1:$I$89,3,0)*0.475*44/12</f>
        <v>37.83708736993006</v>
      </c>
      <c r="GN51" s="21">
        <f>EXP(-LN(2)/2)*GN50+(1-EXP(-LN(2)/2))/(LN(2)/2)*GH51*GK51*VLOOKUP('Données projet'!$B$17,Paramètres!$A$1:$I$89,3,0)*0.475*44/12</f>
        <v>9.8534826404005553</v>
      </c>
      <c r="GO51" s="21">
        <f t="shared" si="27"/>
        <v>126.78652235650483</v>
      </c>
      <c r="GP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62.876776363420191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11.6</v>
      </c>
      <c r="GU51" s="12">
        <f>IF('Données projet'!$A$270&gt;35,GU50+GT51-HC50,IF(A51&lt;'Données projet'!$A$270,$GR$205^A51,IF(A51='Données projet'!$A$270,'Données projet'!$B$270,GU50+GT51-HC50)))</f>
        <v>312.80000000000007</v>
      </c>
      <c r="GV51" s="17">
        <f>GU51*VLOOKUP('Données projet'!$B$18,Paramètres!$A$1:$I$89,3,0)*VLOOKUP('Données projet'!$B$18,Paramètres!$A$1:$I$89,5,0)</f>
        <v>170.78880000000004</v>
      </c>
      <c r="GW51" s="13">
        <f t="shared" si="51"/>
        <v>43.266640919526246</v>
      </c>
      <c r="GX51" s="20">
        <f t="shared" si="28"/>
        <v>372.81322626817496</v>
      </c>
      <c r="GY51" s="57">
        <f t="shared" si="29"/>
        <v>640.02807293404908</v>
      </c>
      <c r="GZ51" s="57">
        <f ca="1">AVERAGE(OFFSET($GY$3,0,0,'Données projet'!$E$18+1,1))-AVERAGE(OFFSET($H$3,0,0,'Données projet'!$E$18+1,1))</f>
        <v>381.00532469288714</v>
      </c>
      <c r="HA51" s="57">
        <f t="shared" si="52"/>
        <v>314.875259641757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>
        <f>EXP(-LN(2)/35)*HG50+(1-EXP(-LN(2)/35))/(LN(2)/35)*HC51*HD51*VLOOKUP('Données projet'!$B$18,Paramètres!$A$1:$I$89,3,0)*0.475*44/12</f>
        <v>32.976094028250557</v>
      </c>
      <c r="HH51" s="21">
        <f>EXP(-LN(2)/25)*HH50+(1-EXP(-LN(2)/25))/(LN(2)/25)*Calculateur!HC51*Calculateur!HE51*VLOOKUP('Données projet'!$B$18,Paramètres!$A$1:$I$89,3,0)*0.475*44/12</f>
        <v>24.37626240481363</v>
      </c>
      <c r="HI51" s="21">
        <f>EXP(-LN(2)/2)*HI50+(1-EXP(-LN(2)/2))/(LN(2)/2)*HC51*HF51*VLOOKUP('Données projet'!$B$18,Paramètres!$A$1:$I$89,3,0)*0.475*44/12</f>
        <v>2.1621375039529074</v>
      </c>
      <c r="HJ51" s="22">
        <f t="shared" si="30"/>
        <v>59.514493937017093</v>
      </c>
    </row>
    <row r="52" spans="1:218" x14ac:dyDescent="0.2">
      <c r="A52" s="10">
        <f t="shared" si="31"/>
        <v>49</v>
      </c>
      <c r="B52" s="71">
        <f>'Scénario référence'!$B$16*5+'Scénario référence'!$B$17*0+'Scénario référence'!$B$18*5</f>
        <v>3.3000000000000003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12.100000000000001</v>
      </c>
      <c r="H52" s="65">
        <f t="shared" si="1"/>
        <v>208.26666666666665</v>
      </c>
      <c r="I52" s="6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63.000348368372556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5.6</v>
      </c>
      <c r="N52" s="13">
        <f>IF('Données projet'!$A$36&gt;35,N51+M52-V51,IF(A52&lt;'Données projet'!$A$36,$K$205^A52,IF(A52='Données projet'!$A$36,'Données projet'!$B$36,N51+M52-V51)))</f>
        <v>115.39999999999996</v>
      </c>
      <c r="O52" s="13">
        <f>N52*VLOOKUP('Données projet'!$B$9,Paramètres!$A$1:$I$89,3,0)*VLOOKUP('Données projet'!$B$9,Paramètres!$A$1:$I$89,5,0)</f>
        <v>117.01559999999996</v>
      </c>
      <c r="P52" s="13">
        <f t="shared" si="33"/>
        <v>30.977920050269788</v>
      </c>
      <c r="Q52" s="20">
        <f t="shared" si="53"/>
        <v>257.7553807542198</v>
      </c>
      <c r="R52" s="57">
        <f t="shared" si="0"/>
        <v>525.42332477158584</v>
      </c>
      <c r="S52" s="57">
        <f ca="1">AVERAGE(OFFSET($R$3,0,0,'Données projet'!$E$9+1,1))-AVERAGE(OFFSET($H$3,0,0,'Données projet'!$E$9+1,1))</f>
        <v>332.70145542047612</v>
      </c>
      <c r="T52" s="57">
        <f t="shared" si="34"/>
        <v>172.22433737900428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2.3761182560956722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2.3761182560956722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63.000348368372556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9.2800000000000011</v>
      </c>
      <c r="AI52" s="13">
        <f>IF('Données projet'!$A$62&gt;35,AI51+AH52-AQ51,IF(A52&lt;'Données projet'!$A$62,$AF$205^A52,IF(A52='Données projet'!$A$62,'Données projet'!$B$62,AI51+AH52-AQ51)))</f>
        <v>160.46000000000004</v>
      </c>
      <c r="AJ52" s="13">
        <f>AI52*VLOOKUP('Données projet'!$B$10,Paramètres!$A$1:$I$89,3,0)*VLOOKUP('Données projet'!$B$10,Paramètres!$A$1:$I$89,5,0)</f>
        <v>145.18420800000004</v>
      </c>
      <c r="AK52" s="13">
        <f t="shared" si="35"/>
        <v>37.482109825362677</v>
      </c>
      <c r="AL52" s="20">
        <f t="shared" si="4"/>
        <v>318.14383687917336</v>
      </c>
      <c r="AM52" s="57">
        <f t="shared" si="5"/>
        <v>585.8117808965394</v>
      </c>
      <c r="AN52" s="57">
        <f ca="1">AVERAGE(OFFSET($AM$3,0,0,'Données projet'!$E$10+1,1))-AVERAGE(OFFSET($H$3,0,0,'Données projet'!$E$10+1,1))</f>
        <v>469.4210143164521</v>
      </c>
      <c r="AO52" s="57">
        <f t="shared" si="36"/>
        <v>308.4508386530556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5.7661279173483013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5.7661279173483013</v>
      </c>
      <c r="AY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63.000348368372556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8.6</v>
      </c>
      <c r="BD52" s="12">
        <f>IF('Données projet'!$A$88&gt;35,BD51+BC52-BL51,IF(A52&lt;'Données projet'!$A$88,$BA$205^A52,IF(A52='Données projet'!$A$88,'Données projet'!$B$88,BD51+BC52-BL51)))</f>
        <v>252.40000000000003</v>
      </c>
      <c r="BE52" s="13">
        <f>BD52*VLOOKUP('Données projet'!$B$11,Paramètres!$A$1:$I$89,3,0)*VLOOKUP('Données projet'!$B$11,Paramètres!$A$1:$I$89,5,0)</f>
        <v>185.05968000000004</v>
      </c>
      <c r="BF52" s="13">
        <f t="shared" si="37"/>
        <v>46.44604914943055</v>
      </c>
      <c r="BG52" s="20">
        <f t="shared" si="7"/>
        <v>403.20581160192484</v>
      </c>
      <c r="BH52" s="57">
        <f t="shared" si="8"/>
        <v>670.87375561929093</v>
      </c>
      <c r="BI52" s="57">
        <f ca="1">AVERAGE(OFFSET($BH$3,0,0,'Données projet'!$E$11+1,1))-AVERAGE(OFFSET($H$3,0,0,'Données projet'!$E$11+1,1))</f>
        <v>344.32981377462971</v>
      </c>
      <c r="BJ52" s="57">
        <f t="shared" si="38"/>
        <v>334.42512656625763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18.942945808189481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18.942945808189481</v>
      </c>
      <c r="BT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63.000348368372556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9.4</v>
      </c>
      <c r="BY52" s="12">
        <f>IF('Données projet'!$A$114&gt;35,BY51+BX52-CG51,IF(A52&lt;'Données projet'!$A$114,$BV$205^A52,IF(A52='Données projet'!$A$114,'Données projet'!$B$114,BY51+BX52-CG51)))</f>
        <v>253.6</v>
      </c>
      <c r="BZ52" s="13">
        <f>BY52*VLOOKUP('Données projet'!$B$12,Paramètres!$A$1:$I$89,3,0)*VLOOKUP('Données projet'!$B$12,Paramètres!$A$1:$I$89,5,0)</f>
        <v>241.32576</v>
      </c>
      <c r="CA52" s="13">
        <f t="shared" si="39"/>
        <v>58.724682687532763</v>
      </c>
      <c r="CB52" s="20">
        <f t="shared" si="10"/>
        <v>522.58785434745289</v>
      </c>
      <c r="CC52" s="57">
        <f t="shared" si="11"/>
        <v>790.25579836481893</v>
      </c>
      <c r="CD52" s="57">
        <f ca="1">AVERAGE(OFFSET($CC$3,0,0,'Données projet'!$E$12+1,1))-AVERAGE(OFFSET($H$3,0,0,'Données projet'!$E$12+1,1))</f>
        <v>498.77732039282807</v>
      </c>
      <c r="CE52" s="57">
        <f t="shared" si="40"/>
        <v>384.57317421826531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6.5688577614594488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6.5688577614594488</v>
      </c>
      <c r="CO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63.000348368372556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9.2800000000000011</v>
      </c>
      <c r="CT52" s="12">
        <f>IF('Données projet'!$A$140&gt;35,CT51+CS52-DB51,IF(A52&lt;'Données projet'!$A$140,$CQ$205^A52,IF(A52='Données projet'!$A$140,'Données projet'!$B$140,CT51+CS52-DB51)))</f>
        <v>160.46000000000004</v>
      </c>
      <c r="CU52" s="17">
        <f>CT52*VLOOKUP('Données projet'!$B$13,Paramètres!$A$1:$I$89,3,0)*VLOOKUP('Données projet'!$B$13,Paramètres!$A$1:$I$89,5,0)</f>
        <v>107.63656800000003</v>
      </c>
      <c r="CV52" s="13">
        <f t="shared" si="41"/>
        <v>28.773439611985946</v>
      </c>
      <c r="CW52" s="20">
        <f t="shared" si="13"/>
        <v>237.58076325754223</v>
      </c>
      <c r="CX52" s="57">
        <f t="shared" si="14"/>
        <v>505.24870727490827</v>
      </c>
      <c r="CY52" s="57">
        <f ca="1">AVERAGE(OFFSET($CX$3,0,0,'Données projet'!$E$13+1,1))-AVERAGE(OFFSET($H$3,0,0,'Données projet'!$E$13+1,1))</f>
        <v>365.99625753737246</v>
      </c>
      <c r="CZ52" s="57">
        <f t="shared" si="42"/>
        <v>242.84814712692287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5.2690479244734476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5.2690479244734476</v>
      </c>
      <c r="DJ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63.000348368372556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7.4</v>
      </c>
      <c r="DO52" s="12">
        <f>IF('Données projet'!$A$166&gt;35,DO51+DN52-DW51,IF(A52&lt;'Données projet'!$A$166,$DL$205^A52,IF(A52='Données projet'!$A$166,'Données projet'!$B$166,DO51+DN52-DW51)))</f>
        <v>238.6</v>
      </c>
      <c r="DP52" s="17">
        <f>DO52*VLOOKUP('Données projet'!$B$14,Paramètres!$A$1:$I$89,3,0)*VLOOKUP('Données projet'!$B$14,Paramètres!$A$1:$I$89,5,0)</f>
        <v>156.33071999999999</v>
      </c>
      <c r="DQ52" s="13">
        <f t="shared" si="43"/>
        <v>40.013784897456162</v>
      </c>
      <c r="DR52" s="20">
        <f t="shared" si="16"/>
        <v>341.96667936306943</v>
      </c>
      <c r="DS52" s="57">
        <f t="shared" si="17"/>
        <v>609.63462338043541</v>
      </c>
      <c r="DT52" s="57">
        <f ca="1">AVERAGE(OFFSET($DS$3,0,0,'Données projet'!$E$14+1,1))-AVERAGE(OFFSET($H$3,0,0,'Données projet'!$E$14+1,1))</f>
        <v>313.79279628660527</v>
      </c>
      <c r="DU52" s="57">
        <f t="shared" si="44"/>
        <v>317.45469955216254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7.0394846572203154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7.0394846572203154</v>
      </c>
      <c r="EE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63.000348368372556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19.777777777777779</v>
      </c>
      <c r="EJ52" s="12">
        <f>IF('Données projet'!$A$192&gt;35,EJ51+EI52-ER51,IF(A52&lt;'Données projet'!$A$192,$EG$205^A52,IF(A52='Données projet'!$A$192,'Données projet'!$B$192,EJ51+EI52-ER51)))</f>
        <v>415.44444444444457</v>
      </c>
      <c r="EK52" s="17">
        <f>EJ52*VLOOKUP('Données projet'!$B$15,Paramètres!$A$1:$I$89,3,0)*VLOOKUP('Données projet'!$B$15,Paramètres!$A$1:$I$89,5,0)</f>
        <v>356.45133333333348</v>
      </c>
      <c r="EL52" s="13">
        <f t="shared" si="45"/>
        <v>82.889492395711216</v>
      </c>
      <c r="EM52" s="20">
        <f t="shared" si="19"/>
        <v>765.18527147808618</v>
      </c>
      <c r="EN52" s="57">
        <f t="shared" si="20"/>
        <v>1032.8532154954523</v>
      </c>
      <c r="EO52" s="57">
        <f ca="1">AVERAGE(OFFSET($EN$3,0,0,'Données projet'!$E$15+1,1))-AVERAGE(OFFSET($H$3,0,0,'Données projet'!$E$15+1,1))</f>
        <v>643.04899298561475</v>
      </c>
      <c r="EP52" s="57">
        <f t="shared" si="46"/>
        <v>474.94999304483031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38.96243817977107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38.96243817977107</v>
      </c>
      <c r="EZ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63.000348368372556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8.6</v>
      </c>
      <c r="FE52" s="12">
        <f>IF('Données projet'!$A$218&gt;35,FE51+FD52-FM51,IF(A52&lt;'Données projet'!$A$218,$FB$205^A52,IF(A52='Données projet'!$A$218,'Données projet'!$B$218,FE51+FD52-FM51)))</f>
        <v>252.40000000000003</v>
      </c>
      <c r="FF52" s="17">
        <f>FE52*VLOOKUP('Données projet'!$B$16,Paramètres!$A$1:$I$89,3,0)*VLOOKUP('Données projet'!$B$16,Paramètres!$A$1:$I$89,5,0)</f>
        <v>204.74688000000003</v>
      </c>
      <c r="FG52" s="13">
        <f t="shared" si="47"/>
        <v>50.785959801489987</v>
      </c>
      <c r="FH52" s="20">
        <f t="shared" si="22"/>
        <v>445.05302932092837</v>
      </c>
      <c r="FI52" s="57">
        <f t="shared" si="23"/>
        <v>712.72097333829447</v>
      </c>
      <c r="FJ52" s="57">
        <f ca="1">AVERAGE(OFFSET($FI$3,0,0,'Données projet'!$E$16+1,1))-AVERAGE(OFFSET($H$3,0,0,'Données projet'!$E$16+1,1))</f>
        <v>375.34603719604439</v>
      </c>
      <c r="FK52" s="57">
        <f t="shared" si="48"/>
        <v>363.99476973672211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25.832141834423652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25.832141834423652</v>
      </c>
      <c r="FU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63.000348368372556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25.205000000000041</v>
      </c>
      <c r="FZ52" s="12">
        <f>IF('Données projet'!$A$244&gt;35,FZ51+FY52-GH51,IF(A52&lt;'Données projet'!$A$244,$FW$205^A52,IF(A52='Données projet'!$A$244,'Données projet'!$B$244,FZ51+FY52-GH51)))</f>
        <v>578.91499999999974</v>
      </c>
      <c r="GA52" s="17">
        <f>FZ52*VLOOKUP('Données projet'!$B$17,Paramètres!$A$1:$I$89,3,0)*VLOOKUP('Données projet'!$B$17,Paramètres!$A$1:$I$89,5,0)</f>
        <v>323.61348499999986</v>
      </c>
      <c r="GB52" s="13">
        <f t="shared" si="49"/>
        <v>76.10471743389418</v>
      </c>
      <c r="GC52" s="20">
        <f t="shared" si="25"/>
        <v>696.17586923903207</v>
      </c>
      <c r="GD52" s="57">
        <f t="shared" si="26"/>
        <v>963.84381325639811</v>
      </c>
      <c r="GE52" s="57">
        <f ca="1">AVERAGE(OFFSET($GD$3,0,0,'Données projet'!$E$17+1,1))-AVERAGE(OFFSET($H$3,0,0,'Données projet'!$E$17+1,1))</f>
        <v>414.47327143450701</v>
      </c>
      <c r="GF52" s="57">
        <f t="shared" si="50"/>
        <v>546.83385887302961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77.544928964432998</v>
      </c>
      <c r="GM52" s="21">
        <f>EXP(-LN(2)/25)*GM51+(1-EXP(-LN(2)/25))/(LN(2)/25)*Calculateur!GH52*Calculateur!GJ52*VLOOKUP('Données projet'!$B$17,Paramètres!$A$1:$I$89,3,0)*0.475*44/12</f>
        <v>36.802430226033373</v>
      </c>
      <c r="GN52" s="21">
        <f>EXP(-LN(2)/2)*GN51+(1-EXP(-LN(2)/2))/(LN(2)/2)*GH52*GK52*VLOOKUP('Données projet'!$B$17,Paramètres!$A$1:$I$89,3,0)*0.475*44/12</f>
        <v>6.9674643933311602</v>
      </c>
      <c r="GO52" s="21">
        <f t="shared" si="27"/>
        <v>121.31482358379752</v>
      </c>
      <c r="GP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63.000348368372556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11.6</v>
      </c>
      <c r="GU52" s="12">
        <f>IF('Données projet'!$A$270&gt;35,GU51+GT52-HC51,IF(A52&lt;'Données projet'!$A$270,$GR$205^A52,IF(A52='Données projet'!$A$270,'Données projet'!$B$270,GU51+GT52-HC51)))</f>
        <v>324.40000000000009</v>
      </c>
      <c r="GV52" s="17">
        <f>GU52*VLOOKUP('Données projet'!$B$18,Paramètres!$A$1:$I$89,3,0)*VLOOKUP('Données projet'!$B$18,Paramètres!$A$1:$I$89,5,0)</f>
        <v>177.12240000000006</v>
      </c>
      <c r="GW52" s="13">
        <f t="shared" si="51"/>
        <v>44.681373939656346</v>
      </c>
      <c r="GX52" s="20">
        <f t="shared" si="28"/>
        <v>386.30823961156824</v>
      </c>
      <c r="GY52" s="57">
        <f t="shared" si="29"/>
        <v>653.97618362893422</v>
      </c>
      <c r="GZ52" s="57">
        <f ca="1">AVERAGE(OFFSET($GY$3,0,0,'Données projet'!$E$18+1,1))-AVERAGE(OFFSET($H$3,0,0,'Données projet'!$E$18+1,1))</f>
        <v>381.00532469288714</v>
      </c>
      <c r="HA52" s="57">
        <f t="shared" si="52"/>
        <v>314.875259641757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>
        <f>EXP(-LN(2)/35)*HG51+(1-EXP(-LN(2)/35))/(LN(2)/35)*HC52*HD52*VLOOKUP('Données projet'!$B$18,Paramètres!$A$1:$I$89,3,0)*0.475*44/12</f>
        <v>32.329452937787885</v>
      </c>
      <c r="HH52" s="21">
        <f>EXP(-LN(2)/25)*HH51+(1-EXP(-LN(2)/25))/(LN(2)/25)*Calculateur!HC52*Calculateur!HE52*VLOOKUP('Données projet'!$B$18,Paramètres!$A$1:$I$89,3,0)*0.475*44/12</f>
        <v>23.709692227462074</v>
      </c>
      <c r="HI52" s="21">
        <f>EXP(-LN(2)/2)*HI51+(1-EXP(-LN(2)/2))/(LN(2)/2)*HC52*HF52*VLOOKUP('Données projet'!$B$18,Paramètres!$A$1:$I$89,3,0)*0.475*44/12</f>
        <v>1.5288620909028565</v>
      </c>
      <c r="HJ52" s="22">
        <f t="shared" si="30"/>
        <v>57.568007256152818</v>
      </c>
    </row>
    <row r="53" spans="1:218" x14ac:dyDescent="0.2">
      <c r="A53" s="10">
        <f t="shared" si="31"/>
        <v>50</v>
      </c>
      <c r="B53" s="71">
        <f>'Scénario référence'!$B$16*5+'Scénario référence'!$B$17*0+'Scénario référence'!$B$18*5</f>
        <v>3.3000000000000003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12.100000000000001</v>
      </c>
      <c r="H53" s="65">
        <f t="shared" si="1"/>
        <v>208.26666666666665</v>
      </c>
      <c r="I53" s="6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63.121776675304616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121</v>
      </c>
      <c r="L53" s="12">
        <f>VLOOKUP(A53,'Données projet'!$A$35:$I$55,9,0)</f>
        <v>5.6</v>
      </c>
      <c r="M53" s="12">
        <f t="array" ref="M53">INDEX(L:L,MIN(IF(ISNUMBER(L53:L249),ROW(L53:L249),"")))</f>
        <v>5.6</v>
      </c>
      <c r="N53" s="13">
        <f>IF('Données projet'!$A$36&gt;35,N52+M53-V52,IF(A53&lt;'Données projet'!$A$36,$K$205^A53,IF(A53='Données projet'!$A$36,'Données projet'!$B$36,N52+M53-V52)))</f>
        <v>120.99999999999996</v>
      </c>
      <c r="O53" s="13">
        <f>N53*VLOOKUP('Données projet'!$B$9,Paramètres!$A$1:$I$89,3,0)*VLOOKUP('Données projet'!$B$9,Paramètres!$A$1:$I$89,5,0)</f>
        <v>122.69399999999997</v>
      </c>
      <c r="P53" s="13">
        <f t="shared" si="33"/>
        <v>32.302516360650685</v>
      </c>
      <c r="Q53" s="20">
        <f t="shared" si="53"/>
        <v>269.95226599479992</v>
      </c>
      <c r="R53" s="57">
        <f t="shared" si="0"/>
        <v>538.06544713758353</v>
      </c>
      <c r="S53" s="57">
        <f ca="1">AVERAGE(OFFSET($R$3,0,0,'Données projet'!$E$9+1,1))-AVERAGE(OFFSET($H$3,0,0,'Données projet'!$E$9+1,1))</f>
        <v>332.70145542047612</v>
      </c>
      <c r="T53" s="57">
        <f t="shared" si="34"/>
        <v>172.22433737900428</v>
      </c>
      <c r="U53" s="15">
        <f>IF(ISNA(VLOOKUP(A53,'Données projet'!$A$35:$I$55,3,0)),0,VLOOKUP(A53,'Données projet'!$A$35:$I$55,3,0))</f>
        <v>6</v>
      </c>
      <c r="V53" s="15">
        <f>IF(ISNA(VLOOKUP(A53,'Données projet'!$A$35:$I$55,4,0)),0,VLOOKUP(A53,'Données projet'!$A$35:$I$55,4,0))</f>
        <v>14</v>
      </c>
      <c r="W53" s="16">
        <f>IF(ISNA(VLOOKUP(A53,'Données projet'!$A$35:$I$55,5,0)),0%,VLOOKUP(A53,'Données projet'!$A$35:$I$55,5,0)*VLOOKUP('Données projet'!$B$9,Paramètres!$A$1:$I$89,7,0))</f>
        <v>8.6000000000000007E-2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3.6791441720577467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3.6791441720577467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63.121776675304616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9.2800000000000011</v>
      </c>
      <c r="AI53" s="13">
        <f>IF('Données projet'!$A$62&gt;35,AI52+AH53-AQ52,IF(A53&lt;'Données projet'!$A$62,$AF$205^A53,IF(A53='Données projet'!$A$62,'Données projet'!$B$62,AI52+AH53-AQ52)))</f>
        <v>169.74000000000004</v>
      </c>
      <c r="AJ53" s="13">
        <f>AI53*VLOOKUP('Données projet'!$B$10,Paramètres!$A$1:$I$89,3,0)*VLOOKUP('Données projet'!$B$10,Paramètres!$A$1:$I$89,5,0)</f>
        <v>153.58075200000005</v>
      </c>
      <c r="AK53" s="13">
        <f t="shared" si="35"/>
        <v>39.39120372702024</v>
      </c>
      <c r="AL53" s="20">
        <f t="shared" si="4"/>
        <v>336.092822891227</v>
      </c>
      <c r="AM53" s="57">
        <f t="shared" si="5"/>
        <v>604.20600403401068</v>
      </c>
      <c r="AN53" s="57">
        <f ca="1">AVERAGE(OFFSET($AM$3,0,0,'Données projet'!$E$10+1,1))-AVERAGE(OFFSET($H$3,0,0,'Données projet'!$E$10+1,1))</f>
        <v>469.4210143164521</v>
      </c>
      <c r="AO53" s="57">
        <f t="shared" si="36"/>
        <v>308.4508386530556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5.6530576658798566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5.6530576658798566</v>
      </c>
      <c r="AY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63.121776675304616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261</v>
      </c>
      <c r="BB53" s="12">
        <f>VLOOKUP(A53,'Données projet'!$A$87:$I$107,9,0)</f>
        <v>8.6</v>
      </c>
      <c r="BC53" s="12">
        <f t="array" ref="BC53">INDEX(BB:BB,MIN(IF(ISNUMBER(BB53:BB249),ROW(BB53:BB249),"")))</f>
        <v>8.6</v>
      </c>
      <c r="BD53" s="12">
        <f>IF('Données projet'!$A$88&gt;35,BD52+BC53-BL52,IF(A53&lt;'Données projet'!$A$88,$BA$205^A53,IF(A53='Données projet'!$A$88,'Données projet'!$B$88,BD52+BC53-BL52)))</f>
        <v>261.00000000000006</v>
      </c>
      <c r="BE53" s="13">
        <f>BD53*VLOOKUP('Données projet'!$B$11,Paramètres!$A$1:$I$89,3,0)*VLOOKUP('Données projet'!$B$11,Paramètres!$A$1:$I$89,5,0)</f>
        <v>191.36520000000004</v>
      </c>
      <c r="BF53" s="13">
        <f t="shared" si="37"/>
        <v>47.841653305605021</v>
      </c>
      <c r="BG53" s="20">
        <f t="shared" si="7"/>
        <v>416.61860284059549</v>
      </c>
      <c r="BH53" s="57">
        <f t="shared" si="8"/>
        <v>684.73178398337905</v>
      </c>
      <c r="BI53" s="57">
        <f ca="1">AVERAGE(OFFSET($BH$3,0,0,'Données projet'!$E$11+1,1))-AVERAGE(OFFSET($H$3,0,0,'Données projet'!$E$11+1,1))</f>
        <v>344.32981377462971</v>
      </c>
      <c r="BJ53" s="57">
        <f t="shared" si="38"/>
        <v>334.42512656625763</v>
      </c>
      <c r="BK53" s="15">
        <f>IF(ISNA(VLOOKUP(A53,'Données projet'!$A$87:$I$107,3,0)),0,VLOOKUP(A53,'Données projet'!$A$87:$I$107,3,0))</f>
        <v>9</v>
      </c>
      <c r="BL53" s="15">
        <f>IF(ISNA(VLOOKUP(A53,'Données projet'!$A$87:$I$107,4,0)),0,VLOOKUP(A53,'Données projet'!$A$87:$I$107,4,0))</f>
        <v>19</v>
      </c>
      <c r="BM53" s="16">
        <f>IF(ISNA(VLOOKUP(A53,'Données projet'!$A$87:$I$107,5,0)),0%,VLOOKUP(A53,'Données projet'!$A$87:$I$107,5,0)*VLOOKUP('Données projet'!$B$11,Paramètres!$A$1:$I$89,7,0))</f>
        <v>0.215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21.882504849034447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21.882504849034447</v>
      </c>
      <c r="BT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63.121776675304616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263</v>
      </c>
      <c r="BW53" s="12">
        <f>VLOOKUP(A53,'Données projet'!$A$113:$I$133,9,0)</f>
        <v>9.4</v>
      </c>
      <c r="BX53" s="12">
        <f t="array" ref="BX53">INDEX(BW:BW,MIN(IF(ISNUMBER(BW53:BW249),ROW(BW53:BW249),"")))</f>
        <v>9.4</v>
      </c>
      <c r="BY53" s="12">
        <f>IF('Données projet'!$A$114&gt;35,BY52+BX53-CG52,IF(A53&lt;'Données projet'!$A$114,$BV$205^A53,IF(A53='Données projet'!$A$114,'Données projet'!$B$114,BY52+BX53-CG52)))</f>
        <v>263</v>
      </c>
      <c r="BZ53" s="13">
        <f>BY53*VLOOKUP('Données projet'!$B$12,Paramètres!$A$1:$I$89,3,0)*VLOOKUP('Données projet'!$B$12,Paramètres!$A$1:$I$89,5,0)</f>
        <v>250.27080000000001</v>
      </c>
      <c r="CA53" s="13">
        <f t="shared" si="39"/>
        <v>60.643924942423787</v>
      </c>
      <c r="CB53" s="20">
        <f t="shared" si="10"/>
        <v>541.50981260805463</v>
      </c>
      <c r="CC53" s="57">
        <f t="shared" si="11"/>
        <v>809.6229937508383</v>
      </c>
      <c r="CD53" s="57">
        <f ca="1">AVERAGE(OFFSET($CC$3,0,0,'Données projet'!$E$12+1,1))-AVERAGE(OFFSET($H$3,0,0,'Données projet'!$E$12+1,1))</f>
        <v>498.77732039282807</v>
      </c>
      <c r="CE53" s="57">
        <f t="shared" si="40"/>
        <v>384.57317421826531</v>
      </c>
      <c r="CF53" s="15">
        <f>IF(ISNA(VLOOKUP(A53,'Données projet'!$A$113:$I$133,3,0)),0,VLOOKUP(A53,'Données projet'!$A$113:$I$133,3,0))</f>
        <v>6</v>
      </c>
      <c r="CG53" s="15">
        <f>IF(ISNA(VLOOKUP(A53,'Données projet'!$A$113:$I$133,4,0)),0,VLOOKUP(A53,'Données projet'!$A$113:$I$133,4,0))</f>
        <v>32</v>
      </c>
      <c r="CH53" s="16">
        <f>IF(ISNA(VLOOKUP(A53,'Données projet'!$A$113:$I$133,5,0)),0%,VLOOKUP(A53,'Données projet'!$A$113:$I$133,5,0)*VLOOKUP('Données projet'!$B$12,Paramètres!$A$1:$I$89,7,0))</f>
        <v>0.129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10.782560518503999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10.782560518503999</v>
      </c>
      <c r="CO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63.121776675304616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9.2800000000000011</v>
      </c>
      <c r="CT53" s="12">
        <f>IF('Données projet'!$A$140&gt;35,CT52+CS53-DB52,IF(A53&lt;'Données projet'!$A$140,$CQ$205^A53,IF(A53='Données projet'!$A$140,'Données projet'!$B$140,CT52+CS53-DB52)))</f>
        <v>169.74000000000004</v>
      </c>
      <c r="CU53" s="17">
        <f>CT53*VLOOKUP('Données projet'!$B$13,Paramètres!$A$1:$I$89,3,0)*VLOOKUP('Données projet'!$B$13,Paramètres!$A$1:$I$89,5,0)</f>
        <v>113.86159200000003</v>
      </c>
      <c r="CV53" s="13">
        <f t="shared" si="41"/>
        <v>30.238970723998879</v>
      </c>
      <c r="CW53" s="20">
        <f t="shared" si="13"/>
        <v>250.97514674429806</v>
      </c>
      <c r="CX53" s="57">
        <f t="shared" si="14"/>
        <v>519.08832788708173</v>
      </c>
      <c r="CY53" s="57">
        <f ca="1">AVERAGE(OFFSET($CX$3,0,0,'Données projet'!$E$13+1,1))-AVERAGE(OFFSET($H$3,0,0,'Données projet'!$E$13+1,1))</f>
        <v>365.99625753737246</v>
      </c>
      <c r="CZ53" s="57">
        <f t="shared" si="42"/>
        <v>242.84814712692287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5.1657251084764209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5.1657251084764209</v>
      </c>
      <c r="DJ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63.121776675304616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246</v>
      </c>
      <c r="DM53" s="12">
        <f>VLOOKUP(A53,'Données projet'!$A$165:$I$185,9,0)</f>
        <v>7.4</v>
      </c>
      <c r="DN53" s="12">
        <f t="array" ref="DN53">INDEX(DM:DM,MIN(IF(ISNUMBER(DM53:DM249),ROW(DM53:DM249),"")))</f>
        <v>7.4</v>
      </c>
      <c r="DO53" s="12">
        <f>IF('Données projet'!$A$166&gt;35,DO52+DN53-DW52,IF(A53&lt;'Données projet'!$A$166,$DL$205^A53,IF(A53='Données projet'!$A$166,'Données projet'!$B$166,DO52+DN53-DW52)))</f>
        <v>246</v>
      </c>
      <c r="DP53" s="17">
        <f>DO53*VLOOKUP('Données projet'!$B$14,Paramètres!$A$1:$I$89,3,0)*VLOOKUP('Données projet'!$B$14,Paramètres!$A$1:$I$89,5,0)</f>
        <v>161.17920000000001</v>
      </c>
      <c r="DQ53" s="13">
        <f t="shared" si="43"/>
        <v>41.108373485541968</v>
      </c>
      <c r="DR53" s="20">
        <f t="shared" si="16"/>
        <v>352.31752382065224</v>
      </c>
      <c r="DS53" s="57">
        <f t="shared" si="17"/>
        <v>620.4307049634358</v>
      </c>
      <c r="DT53" s="57">
        <f ca="1">AVERAGE(OFFSET($DS$3,0,0,'Données projet'!$E$14+1,1))-AVERAGE(OFFSET($H$3,0,0,'Données projet'!$E$14+1,1))</f>
        <v>313.79279628660527</v>
      </c>
      <c r="DU53" s="57">
        <f t="shared" si="44"/>
        <v>317.45469955216254</v>
      </c>
      <c r="DV53" s="15">
        <f>IF(ISNA(VLOOKUP(A53,'Données projet'!$A$165:$I$185,3,0)),0,VLOOKUP(A53,'Données projet'!$A$165:$I$185,3,0))</f>
        <v>9</v>
      </c>
      <c r="DW53" s="15">
        <f>IF(ISNA(VLOOKUP(A53,'Données projet'!$A$165:$I$185,4,0)),0,VLOOKUP(A53,'Données projet'!$A$165:$I$185,4,0))</f>
        <v>27</v>
      </c>
      <c r="DX53" s="16">
        <f>IF(ISNA(VLOOKUP(A53,'Données projet'!$A$165:$I$185,5,0)),0%,VLOOKUP(A53,'Données projet'!$A$165:$I$185,5,0)*VLOOKUP('Données projet'!$B$14,Paramètres!$A$1:$I$89,7,0))</f>
        <v>0.17200000000000001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10.26511332751333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10.26511332751333</v>
      </c>
      <c r="EE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63.121776675304616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19.777777777777779</v>
      </c>
      <c r="EJ53" s="12">
        <f>IF('Données projet'!$A$192&gt;35,EJ52+EI53-ER52,IF(A53&lt;'Données projet'!$A$192,$EG$205^A53,IF(A53='Données projet'!$A$192,'Données projet'!$B$192,EJ52+EI53-ER52)))</f>
        <v>435.22222222222234</v>
      </c>
      <c r="EK53" s="17">
        <f>EJ53*VLOOKUP('Données projet'!$B$15,Paramètres!$A$1:$I$89,3,0)*VLOOKUP('Données projet'!$B$15,Paramètres!$A$1:$I$89,5,0)</f>
        <v>373.42066666666682</v>
      </c>
      <c r="EL53" s="13">
        <f t="shared" si="45"/>
        <v>86.366739974019524</v>
      </c>
      <c r="EM53" s="20">
        <f t="shared" si="19"/>
        <v>800.79639989919531</v>
      </c>
      <c r="EN53" s="57">
        <f t="shared" si="20"/>
        <v>1068.909581041979</v>
      </c>
      <c r="EO53" s="57">
        <f ca="1">AVERAGE(OFFSET($EN$3,0,0,'Données projet'!$E$15+1,1))-AVERAGE(OFFSET($H$3,0,0,'Données projet'!$E$15+1,1))</f>
        <v>643.04899298561475</v>
      </c>
      <c r="EP53" s="57">
        <f t="shared" si="46"/>
        <v>474.94999304483031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38.198408531806479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38.198408531806479</v>
      </c>
      <c r="EZ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63.121776675304616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261</v>
      </c>
      <c r="FC53" s="12">
        <f>VLOOKUP(A53,'Données projet'!$A$217:$I$237,9,0)</f>
        <v>8.6</v>
      </c>
      <c r="FD53" s="12">
        <f t="array" ref="FD53">INDEX(FC:FC,MIN(IF(ISNUMBER(FC53:FC249),ROW(FC53:FC249),"")))</f>
        <v>8.6</v>
      </c>
      <c r="FE53" s="12">
        <f>IF('Données projet'!$A$218&gt;35,FE52+FD53-FM52,IF(A53&lt;'Données projet'!$A$218,$FB$205^A53,IF(A53='Données projet'!$A$218,'Données projet'!$B$218,FE52+FD53-FM52)))</f>
        <v>261.00000000000006</v>
      </c>
      <c r="FF53" s="17">
        <f>FE53*VLOOKUP('Données projet'!$B$16,Paramètres!$A$1:$I$89,3,0)*VLOOKUP('Données projet'!$B$16,Paramètres!$A$1:$I$89,5,0)</f>
        <v>211.72320000000005</v>
      </c>
      <c r="FG53" s="13">
        <f t="shared" si="47"/>
        <v>52.31196896421207</v>
      </c>
      <c r="FH53" s="20">
        <f t="shared" si="22"/>
        <v>459.86125261266943</v>
      </c>
      <c r="FI53" s="57">
        <f t="shared" si="23"/>
        <v>727.97443375545299</v>
      </c>
      <c r="FJ53" s="57">
        <f ca="1">AVERAGE(OFFSET($FI$3,0,0,'Données projet'!$E$16+1,1))-AVERAGE(OFFSET($H$3,0,0,'Données projet'!$E$16+1,1))</f>
        <v>375.34603719604439</v>
      </c>
      <c r="FK53" s="57">
        <f t="shared" si="48"/>
        <v>363.99476973672211</v>
      </c>
      <c r="FL53" s="15">
        <f>IF(ISNA(VLOOKUP(A53,'Données projet'!$A$217:$I$237,3,0)),0,VLOOKUP(A53,'Données projet'!$A$217:$I$237,3,0))</f>
        <v>9</v>
      </c>
      <c r="FM53" s="15">
        <f>IF(ISNA(VLOOKUP(A53,'Données projet'!$A$217:$I$237,4,0)),0,VLOOKUP(A53,'Données projet'!$A$217:$I$237,4,0))</f>
        <v>19</v>
      </c>
      <c r="FN53" s="16">
        <f>IF(ISNA(VLOOKUP(A53,'Données projet'!$A$217:$I$237,5,0)),0%,VLOOKUP(A53,'Données projet'!$A$217:$I$237,5,0)*VLOOKUP('Données projet'!$B$16,Paramètres!$A$1:$I$89,7,0))</f>
        <v>0.26500000000000001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29.840763663502685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29.840763663502685</v>
      </c>
      <c r="FU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63.121776675304616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>
        <f>VLOOKUP(A53,'Données projet'!$A$243:$I$263,2,0)</f>
        <v>604.12</v>
      </c>
      <c r="FX53" s="12">
        <f>VLOOKUP(A53,'Données projet'!$A$243:$I$263,9,0)</f>
        <v>25.205000000000041</v>
      </c>
      <c r="FY53" s="12">
        <f t="array" ref="FY53">INDEX(FX:FX,MIN(IF(ISNUMBER(FX53:FX249),ROW(FX53:FX249),"")))</f>
        <v>25.205000000000041</v>
      </c>
      <c r="FZ53" s="12">
        <f>IF('Données projet'!$A$244&gt;35,FZ52+FY53-GH52,IF(A53&lt;'Données projet'!$A$244,$FW$205^A53,IF(A53='Données projet'!$A$244,'Données projet'!$B$244,FZ52+FY53-GH52)))</f>
        <v>604.11999999999978</v>
      </c>
      <c r="GA53" s="17">
        <f>FZ53*VLOOKUP('Données projet'!$B$17,Paramètres!$A$1:$I$89,3,0)*VLOOKUP('Données projet'!$B$17,Paramètres!$A$1:$I$89,5,0)</f>
        <v>337.70307999999989</v>
      </c>
      <c r="GB53" s="13">
        <f t="shared" si="49"/>
        <v>79.025201150271741</v>
      </c>
      <c r="GC53" s="20">
        <f t="shared" si="25"/>
        <v>725.80175633672309</v>
      </c>
      <c r="GD53" s="57">
        <f t="shared" si="26"/>
        <v>993.91493747950676</v>
      </c>
      <c r="GE53" s="57">
        <f ca="1">AVERAGE(OFFSET($GD$3,0,0,'Données projet'!$E$17+1,1))-AVERAGE(OFFSET($H$3,0,0,'Données projet'!$E$17+1,1))</f>
        <v>414.47327143450701</v>
      </c>
      <c r="GF53" s="57">
        <f t="shared" si="50"/>
        <v>546.83385887302961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76.024320205176878</v>
      </c>
      <c r="GM53" s="21">
        <f>EXP(-LN(2)/25)*GM52+(1-EXP(-LN(2)/25))/(LN(2)/25)*Calculateur!GH53*Calculateur!GJ53*VLOOKUP('Données projet'!$B$17,Paramètres!$A$1:$I$89,3,0)*0.475*44/12</f>
        <v>35.796065836146795</v>
      </c>
      <c r="GN53" s="21">
        <f>EXP(-LN(2)/2)*GN52+(1-EXP(-LN(2)/2))/(LN(2)/2)*GH53*GK53*VLOOKUP('Données projet'!$B$17,Paramètres!$A$1:$I$89,3,0)*0.475*44/12</f>
        <v>4.9267413202002786</v>
      </c>
      <c r="GO53" s="21">
        <f t="shared" si="27"/>
        <v>116.74712736152395</v>
      </c>
      <c r="GP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63.121776675304616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>
        <f>VLOOKUP(A53,'Données projet'!$A$269:$I$289,2,0)</f>
        <v>336</v>
      </c>
      <c r="GS53" s="12">
        <f>VLOOKUP(A53,'Données projet'!$A$269:$I$289,9,0)</f>
        <v>11.6</v>
      </c>
      <c r="GT53" s="12">
        <f t="array" ref="GT53">INDEX(GS:GS,MIN(IF(ISNUMBER(GS53:GS249),ROW(GS53:GS249),"")))</f>
        <v>11.6</v>
      </c>
      <c r="GU53" s="12">
        <f>IF('Données projet'!$A$270&gt;35,GU52+GT53-HC52,IF(A53&lt;'Données projet'!$A$270,$GR$205^A53,IF(A53='Données projet'!$A$270,'Données projet'!$B$270,GU52+GT53-HC52)))</f>
        <v>336.00000000000011</v>
      </c>
      <c r="GV53" s="17">
        <f>GU53*VLOOKUP('Données projet'!$B$18,Paramètres!$A$1:$I$89,3,0)*VLOOKUP('Données projet'!$B$18,Paramètres!$A$1:$I$89,5,0)</f>
        <v>183.45600000000005</v>
      </c>
      <c r="GW53" s="13">
        <f t="shared" si="51"/>
        <v>46.090229375321144</v>
      </c>
      <c r="GX53" s="20">
        <f t="shared" si="28"/>
        <v>399.79301616201775</v>
      </c>
      <c r="GY53" s="57">
        <f t="shared" si="29"/>
        <v>667.90619730480137</v>
      </c>
      <c r="GZ53" s="57">
        <f ca="1">AVERAGE(OFFSET($GY$3,0,0,'Données projet'!$E$18+1,1))-AVERAGE(OFFSET($H$3,0,0,'Données projet'!$E$18+1,1))</f>
        <v>381.00532469288714</v>
      </c>
      <c r="HA53" s="57">
        <f t="shared" si="52"/>
        <v>314.875259641757</v>
      </c>
      <c r="HB53" s="15">
        <f>IF(ISNA(VLOOKUP(A53,'Données projet'!$A$269:$I$289,3,0)),0,VLOOKUP(A53,'Données projet'!$A$269:$I$289,3,0))</f>
        <v>9</v>
      </c>
      <c r="HC53" s="15">
        <f>IF(ISNA(VLOOKUP(A53,'Données projet'!$A$269:$I$289,4,0)),0,VLOOKUP(A53,'Données projet'!$A$269:$I$289,4,0))</f>
        <v>32</v>
      </c>
      <c r="HD53" s="16">
        <f>IF(ISNA(VLOOKUP(A53,'Données projet'!$A$269:$I$289,5,0)),0%,VLOOKUP(A53,'Données projet'!$A$269:$I$289,5,0)*VLOOKUP('Données projet'!$B$18,Paramètres!$A$1:$I$89,7,0))</f>
        <v>0.36</v>
      </c>
      <c r="HE53" s="16">
        <f>IF(ISNA(VLOOKUP(A53,'Données projet'!$A$269:$I$289,6,0)),0%,VLOOKUP(A53,'Données projet'!$A$269:$I$289,6,0)*VLOOKUP('Données projet'!$B$18,Paramètres!$A$1:$I$89,7,0))</f>
        <v>0.13200000000000001</v>
      </c>
      <c r="HF53" s="16">
        <f>IF(ISNA(VLOOKUP(A53,'Données projet'!$A$269:$I$289,7,0)),0%,VLOOKUP(A53,'Données projet'!$A$269:$I$289,7,0))</f>
        <v>0.18</v>
      </c>
      <c r="HG53" s="21">
        <f>EXP(-LN(2)/35)*HG52+(1-EXP(-LN(2)/35))/(LN(2)/35)*HC53*HD53*VLOOKUP('Données projet'!$B$18,Paramètres!$A$1:$I$89,3,0)*0.475*44/12</f>
        <v>40.039476384255337</v>
      </c>
      <c r="HH53" s="21">
        <f>EXP(-LN(2)/25)*HH52+(1-EXP(-LN(2)/25))/(LN(2)/25)*Calculateur!HC53*Calculateur!HE53*VLOOKUP('Données projet'!$B$18,Paramètres!$A$1:$I$89,3,0)*0.475*44/12</f>
        <v>26.108764093153599</v>
      </c>
      <c r="HI53" s="21">
        <f>EXP(-LN(2)/2)*HI52+(1-EXP(-LN(2)/2))/(LN(2)/2)*HC53*HF53*VLOOKUP('Données projet'!$B$18,Paramètres!$A$1:$I$89,3,0)*0.475*44/12</f>
        <v>4.6418940384052885</v>
      </c>
      <c r="HJ53" s="22">
        <f t="shared" si="30"/>
        <v>70.790134515814216</v>
      </c>
    </row>
    <row r="54" spans="1:218" x14ac:dyDescent="0.2">
      <c r="A54" s="10">
        <f t="shared" si="31"/>
        <v>51</v>
      </c>
      <c r="B54" s="71">
        <f>'Scénario référence'!$B$16*5+'Scénario référence'!$B$17*0+'Scénario référence'!$B$18*5</f>
        <v>3.3000000000000003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12.100000000000001</v>
      </c>
      <c r="H54" s="65">
        <f t="shared" si="1"/>
        <v>208.26666666666665</v>
      </c>
      <c r="I54" s="6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63.241098472584426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5.6</v>
      </c>
      <c r="N54" s="13">
        <f>IF('Données projet'!$A$36&gt;35,N53+M54-V53,IF(A54&lt;'Données projet'!$A$36,$K$205^A54,IF(A54='Données projet'!$A$36,'Données projet'!$B$36,N53+M54-V53)))</f>
        <v>112.59999999999995</v>
      </c>
      <c r="O54" s="13">
        <f>N54*VLOOKUP('Données projet'!$B$9,Paramètres!$A$1:$I$89,3,0)*VLOOKUP('Données projet'!$B$9,Paramètres!$A$1:$I$89,5,0)</f>
        <v>114.17639999999996</v>
      </c>
      <c r="P54" s="13">
        <f t="shared" si="33"/>
        <v>30.312832781759997</v>
      </c>
      <c r="Q54" s="20">
        <f t="shared" si="53"/>
        <v>251.65208042823193</v>
      </c>
      <c r="R54" s="57">
        <f t="shared" si="0"/>
        <v>520.20277482770814</v>
      </c>
      <c r="S54" s="57">
        <f ca="1">AVERAGE(OFFSET($R$3,0,0,'Données projet'!$E$9+1,1))-AVERAGE(OFFSET($H$3,0,0,'Données projet'!$E$9+1,1))</f>
        <v>332.70145542047612</v>
      </c>
      <c r="T54" s="57">
        <f t="shared" si="34"/>
        <v>172.22433737900428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3.6069983989000569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3.6069983989000569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63.241098472584426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>
        <f>VLOOKUP(A54,'Données projet'!$A$61:$I$81,2,0)</f>
        <v>179.02</v>
      </c>
      <c r="AG54" s="12">
        <f>VLOOKUP(A54,'Données projet'!$A$61:$I$81,9,0)</f>
        <v>9.2800000000000011</v>
      </c>
      <c r="AH54" s="12">
        <f t="array" ref="AH54">INDEX(AG:AG,MIN(IF(ISNUMBER(AG54:AG250),ROW(AG54:AG250),"")))</f>
        <v>9.2800000000000011</v>
      </c>
      <c r="AI54" s="13">
        <f>IF('Données projet'!$A$62&gt;35,AI53+AH54-AQ53,IF(A54&lt;'Données projet'!$A$62,$AF$205^A54,IF(A54='Données projet'!$A$62,'Données projet'!$B$62,AI53+AH54-AQ53)))</f>
        <v>179.02000000000004</v>
      </c>
      <c r="AJ54" s="13">
        <f>AI54*VLOOKUP('Données projet'!$B$10,Paramètres!$A$1:$I$89,3,0)*VLOOKUP('Données projet'!$B$10,Paramètres!$A$1:$I$89,5,0)</f>
        <v>161.97729600000002</v>
      </c>
      <c r="AK54" s="13">
        <f t="shared" si="35"/>
        <v>41.288180733775725</v>
      </c>
      <c r="AL54" s="20">
        <f t="shared" si="4"/>
        <v>354.02070531132608</v>
      </c>
      <c r="AM54" s="57">
        <f t="shared" si="5"/>
        <v>622.57139971080232</v>
      </c>
      <c r="AN54" s="57">
        <f ca="1">AVERAGE(OFFSET($AM$3,0,0,'Données projet'!$E$10+1,1))-AVERAGE(OFFSET($H$3,0,0,'Données projet'!$E$10+1,1))</f>
        <v>469.4210143164521</v>
      </c>
      <c r="AO54" s="57">
        <f t="shared" si="36"/>
        <v>308.4508386530556</v>
      </c>
      <c r="AP54" s="15">
        <f>IF(ISNA(VLOOKUP(A54,'Données projet'!$A$61:$I$81,3,0)),0,VLOOKUP(A54,'Données projet'!$A$61:$I$81,3,0))</f>
        <v>2</v>
      </c>
      <c r="AQ54" s="15">
        <f>IF(ISNA(VLOOKUP(A54,'Données projet'!$A$61:$I$81,4,0)),0,VLOOKUP(A54,'Données projet'!$A$61:$I$81,4,0))</f>
        <v>46.13</v>
      </c>
      <c r="AR54" s="16">
        <f>IF(ISNA(VLOOKUP(A54,'Données projet'!$A$61:$I$81,5,0)),0%,VLOOKUP(A54,'Données projet'!$A$61:$I$81,5,0)*VLOOKUP('Données projet'!$B$10,Paramètres!$A$1:$I$89,7,0))</f>
        <v>8.6000000000000007E-2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9.5102955152299646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9.5102955152299646</v>
      </c>
      <c r="AY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63.241098472584426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7.4</v>
      </c>
      <c r="BD54" s="12">
        <f>IF('Données projet'!$A$88&gt;35,BD53+BC54-BL53,IF(A54&lt;'Données projet'!$A$88,$BA$205^A54,IF(A54='Données projet'!$A$88,'Données projet'!$B$88,BD53+BC54-BL53)))</f>
        <v>249.40000000000003</v>
      </c>
      <c r="BE54" s="13">
        <f>BD54*VLOOKUP('Données projet'!$B$11,Paramètres!$A$1:$I$89,3,0)*VLOOKUP('Données projet'!$B$11,Paramètres!$A$1:$I$89,5,0)</f>
        <v>182.86008000000001</v>
      </c>
      <c r="BF54" s="13">
        <f t="shared" si="37"/>
        <v>45.957916284909473</v>
      </c>
      <c r="BG54" s="20">
        <f t="shared" si="7"/>
        <v>398.52467686288401</v>
      </c>
      <c r="BH54" s="57">
        <f t="shared" si="8"/>
        <v>667.07537126236025</v>
      </c>
      <c r="BI54" s="57">
        <f ca="1">AVERAGE(OFFSET($BH$3,0,0,'Données projet'!$E$11+1,1))-AVERAGE(OFFSET($H$3,0,0,'Données projet'!$E$11+1,1))</f>
        <v>344.32981377462971</v>
      </c>
      <c r="BJ54" s="57">
        <f t="shared" si="38"/>
        <v>334.42512656625763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21.453402275954932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21.453402275954932</v>
      </c>
      <c r="BT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63.241098472584426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8.6</v>
      </c>
      <c r="BY54" s="12">
        <f>IF('Données projet'!$A$114&gt;35,BY53+BX54-CG53,IF(A54&lt;'Données projet'!$A$114,$BV$205^A54,IF(A54='Données projet'!$A$114,'Données projet'!$B$114,BY53+BX54-CG53)))</f>
        <v>239.60000000000002</v>
      </c>
      <c r="BZ54" s="13">
        <f>BY54*VLOOKUP('Données projet'!$B$12,Paramètres!$A$1:$I$89,3,0)*VLOOKUP('Données projet'!$B$12,Paramètres!$A$1:$I$89,5,0)</f>
        <v>228.00336000000001</v>
      </c>
      <c r="CA54" s="13">
        <f t="shared" si="39"/>
        <v>55.850742452867522</v>
      </c>
      <c r="CB54" s="20">
        <f t="shared" si="10"/>
        <v>494.37922843874429</v>
      </c>
      <c r="CC54" s="57">
        <f t="shared" si="11"/>
        <v>762.92992283822059</v>
      </c>
      <c r="CD54" s="57">
        <f ca="1">AVERAGE(OFFSET($CC$3,0,0,'Données projet'!$E$12+1,1))-AVERAGE(OFFSET($H$3,0,0,'Données projet'!$E$12+1,1))</f>
        <v>498.77732039282807</v>
      </c>
      <c r="CE54" s="57">
        <f t="shared" si="40"/>
        <v>384.57317421826531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10.571121083448656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10.571121083448656</v>
      </c>
      <c r="CO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63.241098472584426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>
        <f>VLOOKUP(A54,'Données projet'!$A$139:$I$159,2,0)</f>
        <v>179.02</v>
      </c>
      <c r="CR54" s="12">
        <f>VLOOKUP(A54,'Données projet'!$A$139:$I$159,9,0)</f>
        <v>9.2800000000000011</v>
      </c>
      <c r="CS54" s="12">
        <f t="array" ref="CS54">INDEX(CR:CR,MIN(IF(ISNUMBER(CR54:CR250),ROW(CR54:CR250),"")))</f>
        <v>9.2800000000000011</v>
      </c>
      <c r="CT54" s="12">
        <f>IF('Données projet'!$A$140&gt;35,CT53+CS54-DB53,IF(A54&lt;'Données projet'!$A$140,$CQ$205^A54,IF(A54='Données projet'!$A$140,'Données projet'!$B$140,CT53+CS54-DB53)))</f>
        <v>179.02000000000004</v>
      </c>
      <c r="CU54" s="17">
        <f>CT54*VLOOKUP('Données projet'!$B$13,Paramètres!$A$1:$I$89,3,0)*VLOOKUP('Données projet'!$B$13,Paramètres!$A$1:$I$89,5,0)</f>
        <v>120.08661600000002</v>
      </c>
      <c r="CV54" s="13">
        <f t="shared" si="41"/>
        <v>31.695200205303845</v>
      </c>
      <c r="CW54" s="20">
        <f t="shared" si="13"/>
        <v>264.35332989090426</v>
      </c>
      <c r="CX54" s="57">
        <f t="shared" si="14"/>
        <v>532.90402429038045</v>
      </c>
      <c r="CY54" s="57">
        <f ca="1">AVERAGE(OFFSET($CX$3,0,0,'Données projet'!$E$13+1,1))-AVERAGE(OFFSET($H$3,0,0,'Données projet'!$E$13+1,1))</f>
        <v>365.99625753737246</v>
      </c>
      <c r="CZ54" s="57">
        <f t="shared" si="42"/>
        <v>242.84814712692287</v>
      </c>
      <c r="DA54" s="15">
        <f>IF(ISNA(VLOOKUP(A54,'Données projet'!$A$139:$I$159,3,0)),0,VLOOKUP(A54,'Données projet'!$A$139:$I$159,3,0))</f>
        <v>2</v>
      </c>
      <c r="DB54" s="15">
        <f>IF(ISNA(VLOOKUP(A54,'Données projet'!$A$139:$I$159,4,0)),0,VLOOKUP(A54,'Données projet'!$A$139:$I$159,4,0))</f>
        <v>46.13</v>
      </c>
      <c r="DC54" s="16">
        <f>IF(ISNA(VLOOKUP(A54,'Données projet'!$A$139:$I$159,5,0)),0%,VLOOKUP(A54,'Données projet'!$A$139:$I$159,5,0)*VLOOKUP('Données projet'!$B$13,Paramètres!$A$1:$I$89,7,0))</f>
        <v>0.10600000000000001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8.6904424535722082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8.6904424535722082</v>
      </c>
      <c r="DJ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63.241098472584426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6.8</v>
      </c>
      <c r="DO54" s="12">
        <f>IF('Données projet'!$A$166&gt;35,DO53+DN54-DW53,IF(A54&lt;'Données projet'!$A$166,$DL$205^A54,IF(A54='Données projet'!$A$166,'Données projet'!$B$166,DO53+DN54-DW53)))</f>
        <v>225.8</v>
      </c>
      <c r="DP54" s="17">
        <f>DO54*VLOOKUP('Données projet'!$B$14,Paramètres!$A$1:$I$89,3,0)*VLOOKUP('Données projet'!$B$14,Paramètres!$A$1:$I$89,5,0)</f>
        <v>147.94416000000001</v>
      </c>
      <c r="DQ54" s="13">
        <f t="shared" si="43"/>
        <v>38.111014021992816</v>
      </c>
      <c r="DR54" s="20">
        <f t="shared" si="16"/>
        <v>324.0460947549708</v>
      </c>
      <c r="DS54" s="57">
        <f t="shared" si="17"/>
        <v>592.59678915444704</v>
      </c>
      <c r="DT54" s="57">
        <f ca="1">AVERAGE(OFFSET($DS$3,0,0,'Données projet'!$E$14+1,1))-AVERAGE(OFFSET($H$3,0,0,'Données projet'!$E$14+1,1))</f>
        <v>313.79279628660527</v>
      </c>
      <c r="DU54" s="57">
        <f t="shared" si="44"/>
        <v>317.45469955216254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10.063820716261692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10.063820716261692</v>
      </c>
      <c r="EE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63.241098472584426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>
        <f>VLOOKUP(A54,'Données projet'!$A$191:$I$211,2,0)</f>
        <v>455</v>
      </c>
      <c r="EH54" s="12">
        <f>VLOOKUP(A54,'Données projet'!$A$191:$I$211,9,0)</f>
        <v>19.777777777777779</v>
      </c>
      <c r="EI54" s="12">
        <f t="array" ref="EI54">INDEX(EH:EH,MIN(IF(ISNUMBER(EH54:EH250),ROW(EH54:EH250),"")))</f>
        <v>19.777777777777779</v>
      </c>
      <c r="EJ54" s="12">
        <f>IF('Données projet'!$A$192&gt;35,EJ53+EI54-ER53,IF(A54&lt;'Données projet'!$A$192,$EG$205^A54,IF(A54='Données projet'!$A$192,'Données projet'!$B$192,EJ53+EI54-ER53)))</f>
        <v>455.00000000000011</v>
      </c>
      <c r="EK54" s="17">
        <f>EJ54*VLOOKUP('Données projet'!$B$15,Paramètres!$A$1:$I$89,3,0)*VLOOKUP('Données projet'!$B$15,Paramètres!$A$1:$I$89,5,0)</f>
        <v>390.39000000000016</v>
      </c>
      <c r="EL54" s="13">
        <f t="shared" si="45"/>
        <v>89.825636339119924</v>
      </c>
      <c r="EM54" s="20">
        <f t="shared" si="19"/>
        <v>836.37556662396753</v>
      </c>
      <c r="EN54" s="57">
        <f t="shared" si="20"/>
        <v>1104.9262610234437</v>
      </c>
      <c r="EO54" s="57">
        <f ca="1">AVERAGE(OFFSET($EN$3,0,0,'Données projet'!$E$15+1,1))-AVERAGE(OFFSET($H$3,0,0,'Données projet'!$E$15+1,1))</f>
        <v>643.04899298561475</v>
      </c>
      <c r="EP54" s="57">
        <f t="shared" si="46"/>
        <v>474.94999304483031</v>
      </c>
      <c r="EQ54" s="15">
        <f>IF(ISNA(VLOOKUP(A54,'Données projet'!$A$191:$I$211,3,0)),0,VLOOKUP(A54,'Données projet'!$A$191:$I$211,3,0))</f>
        <v>9</v>
      </c>
      <c r="ER54" s="15">
        <f>IF(ISNA(VLOOKUP(A54,'Données projet'!$A$191:$I$211,4,0)),0,VLOOKUP(A54,'Données projet'!$A$191:$I$211,4,0))</f>
        <v>119</v>
      </c>
      <c r="ES54" s="16">
        <f>IF(ISNA(VLOOKUP(A54,'Données projet'!$A$191:$I$211,5,0)),0%,VLOOKUP(A54,'Données projet'!$A$191:$I$211,5,0)*VLOOKUP('Données projet'!$B$15,Paramètres!$A$1:$I$89,7,0))</f>
        <v>0.318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73.34225530698771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73.34225530698771</v>
      </c>
      <c r="EZ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63.241098472584426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7.4</v>
      </c>
      <c r="FE54" s="12">
        <f>IF('Données projet'!$A$218&gt;35,FE53+FD54-FM53,IF(A54&lt;'Données projet'!$A$218,$FB$205^A54,IF(A54='Données projet'!$A$218,'Données projet'!$B$218,FE53+FD54-FM53)))</f>
        <v>249.40000000000003</v>
      </c>
      <c r="FF54" s="17">
        <f>FE54*VLOOKUP('Données projet'!$B$16,Paramètres!$A$1:$I$89,3,0)*VLOOKUP('Données projet'!$B$16,Paramètres!$A$1:$I$89,5,0)</f>
        <v>202.31328000000002</v>
      </c>
      <c r="FG54" s="13">
        <f t="shared" si="47"/>
        <v>50.25221588808207</v>
      </c>
      <c r="FH54" s="20">
        <f t="shared" si="22"/>
        <v>439.88490533840962</v>
      </c>
      <c r="FI54" s="57">
        <f t="shared" si="23"/>
        <v>708.43559973788592</v>
      </c>
      <c r="FJ54" s="57">
        <f ca="1">AVERAGE(OFFSET($FI$3,0,0,'Données projet'!$E$16+1,1))-AVERAGE(OFFSET($H$3,0,0,'Données projet'!$E$16+1,1))</f>
        <v>375.34603719604439</v>
      </c>
      <c r="FK54" s="57">
        <f t="shared" si="48"/>
        <v>363.99476973672211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29.255604489130025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29.255604489130025</v>
      </c>
      <c r="FU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63.241098472584426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25.907499999999999</v>
      </c>
      <c r="FZ54" s="12">
        <f>IF('Données projet'!$A$244&gt;35,FZ53+FY54-GH53,IF(A54&lt;'Données projet'!$A$244,$FW$205^A54,IF(A54='Données projet'!$A$244,'Données projet'!$B$244,FZ53+FY54-GH53)))</f>
        <v>630.0274999999998</v>
      </c>
      <c r="GA54" s="17">
        <f>FZ54*VLOOKUP('Données projet'!$B$17,Paramètres!$A$1:$I$89,3,0)*VLOOKUP('Données projet'!$B$17,Paramètres!$A$1:$I$89,5,0)</f>
        <v>352.18537249999991</v>
      </c>
      <c r="GB54" s="13">
        <f t="shared" si="49"/>
        <v>82.012338985740371</v>
      </c>
      <c r="GC54" s="20">
        <f t="shared" si="25"/>
        <v>756.22768083766425</v>
      </c>
      <c r="GD54" s="57">
        <f t="shared" si="26"/>
        <v>1024.7783752371406</v>
      </c>
      <c r="GE54" s="57">
        <f ca="1">AVERAGE(OFFSET($GD$3,0,0,'Données projet'!$E$17+1,1))-AVERAGE(OFFSET($H$3,0,0,'Données projet'!$E$17+1,1))</f>
        <v>414.47327143450701</v>
      </c>
      <c r="GF54" s="57">
        <f t="shared" si="50"/>
        <v>546.83385887302961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74.533529656210007</v>
      </c>
      <c r="GM54" s="21">
        <f>EXP(-LN(2)/25)*GM53+(1-EXP(-LN(2)/25))/(LN(2)/25)*Calculateur!GH54*Calculateur!GJ54*VLOOKUP('Données projet'!$B$17,Paramètres!$A$1:$I$89,3,0)*0.475*44/12</f>
        <v>34.81722053342407</v>
      </c>
      <c r="GN54" s="21">
        <f>EXP(-LN(2)/2)*GN53+(1-EXP(-LN(2)/2))/(LN(2)/2)*GH54*GK54*VLOOKUP('Données projet'!$B$17,Paramètres!$A$1:$I$89,3,0)*0.475*44/12</f>
        <v>3.483732196665581</v>
      </c>
      <c r="GO54" s="21">
        <f t="shared" si="27"/>
        <v>112.83448238629967</v>
      </c>
      <c r="GP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63.241098472584426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10.6</v>
      </c>
      <c r="GU54" s="12">
        <f>IF('Données projet'!$A$270&gt;35,GU53+GT54-HC53,IF(A54&lt;'Données projet'!$A$270,$GR$205^A54,IF(A54='Données projet'!$A$270,'Données projet'!$B$270,GU53+GT54-HC53)))</f>
        <v>314.60000000000014</v>
      </c>
      <c r="GV54" s="17">
        <f>GU54*VLOOKUP('Données projet'!$B$18,Paramètres!$A$1:$I$89,3,0)*VLOOKUP('Données projet'!$B$18,Paramètres!$A$1:$I$89,5,0)</f>
        <v>171.77160000000009</v>
      </c>
      <c r="GW54" s="13">
        <f t="shared" si="51"/>
        <v>43.486563328347827</v>
      </c>
      <c r="GX54" s="20">
        <f t="shared" si="28"/>
        <v>374.90796779687253</v>
      </c>
      <c r="GY54" s="57">
        <f t="shared" si="29"/>
        <v>643.45866219634877</v>
      </c>
      <c r="GZ54" s="57">
        <f ca="1">AVERAGE(OFFSET($GY$3,0,0,'Données projet'!$E$18+1,1))-AVERAGE(OFFSET($H$3,0,0,'Données projet'!$E$18+1,1))</f>
        <v>381.00532469288714</v>
      </c>
      <c r="HA54" s="57">
        <f t="shared" si="52"/>
        <v>314.875259641757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>
        <f>EXP(-LN(2)/35)*HG53+(1-EXP(-LN(2)/35))/(LN(2)/35)*HC54*HD54*VLOOKUP('Données projet'!$B$18,Paramètres!$A$1:$I$89,3,0)*0.475*44/12</f>
        <v>39.254326674029244</v>
      </c>
      <c r="HH54" s="21">
        <f>EXP(-LN(2)/25)*HH53+(1-EXP(-LN(2)/25))/(LN(2)/25)*Calculateur!HC54*Calculateur!HE54*VLOOKUP('Données projet'!$B$18,Paramètres!$A$1:$I$89,3,0)*0.475*44/12</f>
        <v>25.394818566026082</v>
      </c>
      <c r="HI54" s="21">
        <f>EXP(-LN(2)/2)*HI53+(1-EXP(-LN(2)/2))/(LN(2)/2)*HC54*HF54*VLOOKUP('Données projet'!$B$18,Paramètres!$A$1:$I$89,3,0)*0.475*44/12</f>
        <v>3.2823147521057878</v>
      </c>
      <c r="HJ54" s="22">
        <f t="shared" si="30"/>
        <v>67.931459992161123</v>
      </c>
    </row>
    <row r="55" spans="1:218" x14ac:dyDescent="0.2">
      <c r="A55" s="10">
        <f t="shared" si="31"/>
        <v>52</v>
      </c>
      <c r="B55" s="71">
        <f>'Scénario référence'!$B$16*5+'Scénario référence'!$B$17*0+'Scénario référence'!$B$18*5</f>
        <v>3.3000000000000003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12.100000000000001</v>
      </c>
      <c r="H55" s="65">
        <f t="shared" si="1"/>
        <v>208.26666666666665</v>
      </c>
      <c r="I55" s="6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63.358350303445008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5.6</v>
      </c>
      <c r="N55" s="13">
        <f>IF('Données projet'!$A$36&gt;35,N54+M55-V54,IF(A55&lt;'Données projet'!$A$36,$K$205^A55,IF(A55='Données projet'!$A$36,'Données projet'!$B$36,N54+M55-V54)))</f>
        <v>118.19999999999995</v>
      </c>
      <c r="O55" s="13">
        <f>N55*VLOOKUP('Données projet'!$B$9,Paramètres!$A$1:$I$89,3,0)*VLOOKUP('Données projet'!$B$9,Paramètres!$A$1:$I$89,5,0)</f>
        <v>119.85479999999995</v>
      </c>
      <c r="P55" s="13">
        <f t="shared" si="33"/>
        <v>31.641131392625841</v>
      </c>
      <c r="Q55" s="20">
        <f t="shared" si="53"/>
        <v>263.85541384215657</v>
      </c>
      <c r="R55" s="57">
        <f t="shared" si="0"/>
        <v>532.83603162145494</v>
      </c>
      <c r="S55" s="57">
        <f ca="1">AVERAGE(OFFSET($R$3,0,0,'Données projet'!$E$9+1,1))-AVERAGE(OFFSET($H$3,0,0,'Données projet'!$E$9+1,1))</f>
        <v>332.70145542047612</v>
      </c>
      <c r="T55" s="57">
        <f t="shared" si="34"/>
        <v>172.22433737900428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3.536267360349413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3.536267360349413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63.358350303445008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7.5833333333333242</v>
      </c>
      <c r="AI55" s="13">
        <f>IF('Données projet'!$A$62&gt;35,AI54+AH55-AQ54,IF(A55&lt;'Données projet'!$A$62,$AF$205^A55,IF(A55='Données projet'!$A$62,'Données projet'!$B$62,AI54+AH55-AQ54)))</f>
        <v>140.47333333333336</v>
      </c>
      <c r="AJ55" s="13">
        <f>AI55*VLOOKUP('Données projet'!$B$10,Paramètres!$A$1:$I$89,3,0)*VLOOKUP('Données projet'!$B$10,Paramètres!$A$1:$I$89,5,0)</f>
        <v>127.10027200000002</v>
      </c>
      <c r="AK55" s="13">
        <f t="shared" si="35"/>
        <v>33.325440183913663</v>
      </c>
      <c r="AL55" s="20">
        <f t="shared" si="4"/>
        <v>279.40811538698296</v>
      </c>
      <c r="AM55" s="57">
        <f t="shared" si="5"/>
        <v>548.38873316628133</v>
      </c>
      <c r="AN55" s="57">
        <f ca="1">AVERAGE(OFFSET($AM$3,0,0,'Données projet'!$E$10+1,1))-AVERAGE(OFFSET($H$3,0,0,'Données projet'!$E$10+1,1))</f>
        <v>469.4210143164521</v>
      </c>
      <c r="AO55" s="57">
        <f t="shared" si="36"/>
        <v>308.4508386530556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9.3238044208837962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9.3238044208837962</v>
      </c>
      <c r="AY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63.358350303445008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7.4</v>
      </c>
      <c r="BD55" s="12">
        <f>IF('Données projet'!$A$88&gt;35,BD54+BC55-BL54,IF(A55&lt;'Données projet'!$A$88,$BA$205^A55,IF(A55='Données projet'!$A$88,'Données projet'!$B$88,BD54+BC55-BL54)))</f>
        <v>256.8</v>
      </c>
      <c r="BE55" s="13">
        <f>BD55*VLOOKUP('Données projet'!$B$11,Paramètres!$A$1:$I$89,3,0)*VLOOKUP('Données projet'!$B$11,Paramètres!$A$1:$I$89,5,0)</f>
        <v>188.28576000000001</v>
      </c>
      <c r="BF55" s="13">
        <f t="shared" si="37"/>
        <v>47.160759045639651</v>
      </c>
      <c r="BG55" s="20">
        <f t="shared" si="7"/>
        <v>410.06935400448907</v>
      </c>
      <c r="BH55" s="57">
        <f t="shared" si="8"/>
        <v>679.04997178378744</v>
      </c>
      <c r="BI55" s="57">
        <f ca="1">AVERAGE(OFFSET($BH$3,0,0,'Données projet'!$E$11+1,1))-AVERAGE(OFFSET($H$3,0,0,'Données projet'!$E$11+1,1))</f>
        <v>344.32981377462971</v>
      </c>
      <c r="BJ55" s="57">
        <f t="shared" si="38"/>
        <v>334.42512656625763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21.032714142606778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21.032714142606778</v>
      </c>
      <c r="BT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63.358350303445008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8.6</v>
      </c>
      <c r="BY55" s="12">
        <f>IF('Données projet'!$A$114&gt;35,BY54+BX55-CG54,IF(A55&lt;'Données projet'!$A$114,$BV$205^A55,IF(A55='Données projet'!$A$114,'Données projet'!$B$114,BY54+BX55-CG54)))</f>
        <v>248.20000000000002</v>
      </c>
      <c r="BZ55" s="13">
        <f>BY55*VLOOKUP('Données projet'!$B$12,Paramètres!$A$1:$I$89,3,0)*VLOOKUP('Données projet'!$B$12,Paramètres!$A$1:$I$89,5,0)</f>
        <v>236.18712000000002</v>
      </c>
      <c r="CA55" s="13">
        <f t="shared" si="39"/>
        <v>57.61840772987285</v>
      </c>
      <c r="CB55" s="20">
        <f t="shared" si="10"/>
        <v>511.7112941295286</v>
      </c>
      <c r="CC55" s="57">
        <f t="shared" si="11"/>
        <v>780.69191190882702</v>
      </c>
      <c r="CD55" s="57">
        <f ca="1">AVERAGE(OFFSET($CC$3,0,0,'Données projet'!$E$12+1,1))-AVERAGE(OFFSET($H$3,0,0,'Données projet'!$E$12+1,1))</f>
        <v>498.77732039282807</v>
      </c>
      <c r="CE55" s="57">
        <f t="shared" si="40"/>
        <v>384.57317421826531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10.363827846749427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10.363827846749427</v>
      </c>
      <c r="CO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63.358350303445008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7.5833333333333242</v>
      </c>
      <c r="CT55" s="12">
        <f>IF('Données projet'!$A$140&gt;35,CT54+CS55-DB54,IF(A55&lt;'Données projet'!$A$140,$CQ$205^A55,IF(A55='Données projet'!$A$140,'Données projet'!$B$140,CT54+CS55-DB54)))</f>
        <v>140.47333333333336</v>
      </c>
      <c r="CU55" s="17">
        <f>CT55*VLOOKUP('Données projet'!$B$13,Paramètres!$A$1:$I$89,3,0)*VLOOKUP('Données projet'!$B$13,Paramètres!$A$1:$I$89,5,0)</f>
        <v>94.229512000000014</v>
      </c>
      <c r="CV55" s="13">
        <f t="shared" si="41"/>
        <v>25.58253911378937</v>
      </c>
      <c r="CW55" s="20">
        <f t="shared" si="13"/>
        <v>208.67265568984985</v>
      </c>
      <c r="CX55" s="57">
        <f t="shared" si="14"/>
        <v>477.65327346914819</v>
      </c>
      <c r="CY55" s="57">
        <f ca="1">AVERAGE(OFFSET($CX$3,0,0,'Données projet'!$E$13+1,1))-AVERAGE(OFFSET($H$3,0,0,'Données projet'!$E$13+1,1))</f>
        <v>365.99625753737246</v>
      </c>
      <c r="CZ55" s="57">
        <f t="shared" si="42"/>
        <v>242.84814712692287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8.5200281777041589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8.5200281777041589</v>
      </c>
      <c r="DJ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63.358350303445008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6.8</v>
      </c>
      <c r="DO55" s="12">
        <f>IF('Données projet'!$A$166&gt;35,DO54+DN55-DW54,IF(A55&lt;'Données projet'!$A$166,$DL$205^A55,IF(A55='Données projet'!$A$166,'Données projet'!$B$166,DO54+DN55-DW54)))</f>
        <v>232.60000000000002</v>
      </c>
      <c r="DP55" s="17">
        <f>DO55*VLOOKUP('Données projet'!$B$14,Paramètres!$A$1:$I$89,3,0)*VLOOKUP('Données projet'!$B$14,Paramètres!$A$1:$I$89,5,0)</f>
        <v>152.39952000000002</v>
      </c>
      <c r="DQ55" s="13">
        <f t="shared" si="43"/>
        <v>39.123380466709264</v>
      </c>
      <c r="DR55" s="20">
        <f t="shared" si="16"/>
        <v>333.56905164618536</v>
      </c>
      <c r="DS55" s="57">
        <f t="shared" si="17"/>
        <v>602.54966942548367</v>
      </c>
      <c r="DT55" s="57">
        <f ca="1">AVERAGE(OFFSET($DS$3,0,0,'Données projet'!$E$14+1,1))-AVERAGE(OFFSET($H$3,0,0,'Données projet'!$E$14+1,1))</f>
        <v>313.79279628660527</v>
      </c>
      <c r="DU55" s="57">
        <f t="shared" si="44"/>
        <v>317.45469955216254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9.866475330340327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9.866475330340327</v>
      </c>
      <c r="EE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63.358350303445008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15.75</v>
      </c>
      <c r="EJ55" s="12">
        <f>IF('Données projet'!$A$192&gt;35,EJ54+EI55-ER54,IF(A55&lt;'Données projet'!$A$192,$EG$205^A55,IF(A55='Données projet'!$A$192,'Données projet'!$B$192,EJ54+EI55-ER54)))</f>
        <v>351.75000000000011</v>
      </c>
      <c r="EK55" s="17">
        <f>EJ55*VLOOKUP('Données projet'!$B$15,Paramètres!$A$1:$I$89,3,0)*VLOOKUP('Données projet'!$B$15,Paramètres!$A$1:$I$89,5,0)</f>
        <v>301.80150000000015</v>
      </c>
      <c r="EL55" s="13">
        <f t="shared" si="45"/>
        <v>71.553995376057969</v>
      </c>
      <c r="EM55" s="20">
        <f t="shared" si="19"/>
        <v>650.26082111330118</v>
      </c>
      <c r="EN55" s="57">
        <f t="shared" si="20"/>
        <v>919.24143889259949</v>
      </c>
      <c r="EO55" s="57">
        <f ca="1">AVERAGE(OFFSET($EN$3,0,0,'Données projet'!$E$15+1,1))-AVERAGE(OFFSET($H$3,0,0,'Données projet'!$E$15+1,1))</f>
        <v>643.04899298561475</v>
      </c>
      <c r="EP55" s="57">
        <f t="shared" si="46"/>
        <v>474.94999304483031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71.904058414776273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71.904058414776273</v>
      </c>
      <c r="EZ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63.358350303445008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7.4</v>
      </c>
      <c r="FE55" s="12">
        <f>IF('Données projet'!$A$218&gt;35,FE54+FD55-FM54,IF(A55&lt;'Données projet'!$A$218,$FB$205^A55,IF(A55='Données projet'!$A$218,'Données projet'!$B$218,FE54+FD55-FM54)))</f>
        <v>256.8</v>
      </c>
      <c r="FF55" s="17">
        <f>FE55*VLOOKUP('Données projet'!$B$16,Paramètres!$A$1:$I$89,3,0)*VLOOKUP('Données projet'!$B$16,Paramètres!$A$1:$I$89,5,0)</f>
        <v>208.31616</v>
      </c>
      <c r="FG55" s="13">
        <f t="shared" si="47"/>
        <v>51.567452064520282</v>
      </c>
      <c r="FH55" s="20">
        <f t="shared" si="22"/>
        <v>452.63062434570611</v>
      </c>
      <c r="FI55" s="57">
        <f t="shared" si="23"/>
        <v>721.61124212500454</v>
      </c>
      <c r="FJ55" s="57">
        <f ca="1">AVERAGE(OFFSET($FI$3,0,0,'Données projet'!$E$16+1,1))-AVERAGE(OFFSET($H$3,0,0,'Données projet'!$E$16+1,1))</f>
        <v>375.34603719604439</v>
      </c>
      <c r="FK55" s="57">
        <f t="shared" si="48"/>
        <v>363.99476973672211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28.68191992925496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28.68191992925496</v>
      </c>
      <c r="FU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63.358350303445008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25.907499999999999</v>
      </c>
      <c r="FZ55" s="12">
        <f>IF('Données projet'!$A$244&gt;35,FZ54+FY55-GH54,IF(A55&lt;'Données projet'!$A$244,$FW$205^A55,IF(A55='Données projet'!$A$244,'Données projet'!$B$244,FZ54+FY55-GH54)))</f>
        <v>655.93499999999983</v>
      </c>
      <c r="GA55" s="17">
        <f>FZ55*VLOOKUP('Données projet'!$B$17,Paramètres!$A$1:$I$89,3,0)*VLOOKUP('Données projet'!$B$17,Paramètres!$A$1:$I$89,5,0)</f>
        <v>366.66766499999994</v>
      </c>
      <c r="GB55" s="13">
        <f t="shared" si="49"/>
        <v>84.985208773200995</v>
      </c>
      <c r="GC55" s="20">
        <f t="shared" si="25"/>
        <v>786.62875515499161</v>
      </c>
      <c r="GD55" s="57">
        <f t="shared" si="26"/>
        <v>1055.6093729342899</v>
      </c>
      <c r="GE55" s="57">
        <f ca="1">AVERAGE(OFFSET($GD$3,0,0,'Données projet'!$E$17+1,1))-AVERAGE(OFFSET($H$3,0,0,'Données projet'!$E$17+1,1))</f>
        <v>414.47327143450701</v>
      </c>
      <c r="GF55" s="57">
        <f t="shared" si="50"/>
        <v>546.83385887302961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73.071972600615922</v>
      </c>
      <c r="GM55" s="21">
        <f>EXP(-LN(2)/25)*GM54+(1-EXP(-LN(2)/25))/(LN(2)/25)*Calculateur!GH55*Calculateur!GJ55*VLOOKUP('Données projet'!$B$17,Paramètres!$A$1:$I$89,3,0)*0.475*44/12</f>
        <v>33.865141806979537</v>
      </c>
      <c r="GN55" s="21">
        <f>EXP(-LN(2)/2)*GN54+(1-EXP(-LN(2)/2))/(LN(2)/2)*GH55*GK55*VLOOKUP('Données projet'!$B$17,Paramètres!$A$1:$I$89,3,0)*0.475*44/12</f>
        <v>2.4633706601001397</v>
      </c>
      <c r="GO55" s="21">
        <f t="shared" si="27"/>
        <v>109.4004850676956</v>
      </c>
      <c r="GP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63.358350303445008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10.6</v>
      </c>
      <c r="GU55" s="12">
        <f>IF('Données projet'!$A$270&gt;35,GU54+GT55-HC54,IF(A55&lt;'Données projet'!$A$270,$GR$205^A55,IF(A55='Données projet'!$A$270,'Données projet'!$B$270,GU54+GT55-HC54)))</f>
        <v>325.20000000000016</v>
      </c>
      <c r="GV55" s="17">
        <f>GU55*VLOOKUP('Données projet'!$B$18,Paramètres!$A$1:$I$89,3,0)*VLOOKUP('Données projet'!$B$18,Paramètres!$A$1:$I$89,5,0)</f>
        <v>177.55920000000009</v>
      </c>
      <c r="GW55" s="13">
        <f t="shared" si="51"/>
        <v>44.778722400109068</v>
      </c>
      <c r="GX55" s="20">
        <f t="shared" si="28"/>
        <v>387.23854818019009</v>
      </c>
      <c r="GY55" s="57">
        <f t="shared" si="29"/>
        <v>656.21916595948846</v>
      </c>
      <c r="GZ55" s="57">
        <f ca="1">AVERAGE(OFFSET($GY$3,0,0,'Données projet'!$E$18+1,1))-AVERAGE(OFFSET($H$3,0,0,'Données projet'!$E$18+1,1))</f>
        <v>381.00532469288714</v>
      </c>
      <c r="HA55" s="57">
        <f t="shared" si="52"/>
        <v>314.875259641757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>
        <f>EXP(-LN(2)/35)*HG54+(1-EXP(-LN(2)/35))/(LN(2)/35)*HC55*HD55*VLOOKUP('Données projet'!$B$18,Paramètres!$A$1:$I$89,3,0)*0.475*44/12</f>
        <v>38.484573270726649</v>
      </c>
      <c r="HH55" s="21">
        <f>EXP(-LN(2)/25)*HH54+(1-EXP(-LN(2)/25))/(LN(2)/25)*Calculateur!HC55*Calculateur!HE55*VLOOKUP('Données projet'!$B$18,Paramètres!$A$1:$I$89,3,0)*0.475*44/12</f>
        <v>24.700395916882631</v>
      </c>
      <c r="HI55" s="21">
        <f>EXP(-LN(2)/2)*HI54+(1-EXP(-LN(2)/2))/(LN(2)/2)*HC55*HF55*VLOOKUP('Données projet'!$B$18,Paramètres!$A$1:$I$89,3,0)*0.475*44/12</f>
        <v>2.3209470192026442</v>
      </c>
      <c r="HJ55" s="22">
        <f t="shared" si="30"/>
        <v>65.505916206811932</v>
      </c>
    </row>
    <row r="56" spans="1:218" x14ac:dyDescent="0.2">
      <c r="A56" s="10">
        <f t="shared" si="31"/>
        <v>53</v>
      </c>
      <c r="B56" s="71">
        <f>'Scénario référence'!$B$16*5+'Scénario référence'!$B$17*0+'Scénario référence'!$B$18*5</f>
        <v>3.3000000000000003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12.100000000000001</v>
      </c>
      <c r="H56" s="65">
        <f t="shared" si="1"/>
        <v>208.26666666666665</v>
      </c>
      <c r="I56" s="6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63.473568077175983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5.6</v>
      </c>
      <c r="N56" s="13">
        <f>IF('Données projet'!$A$36&gt;35,N55+M56-V55,IF(A56&lt;'Données projet'!$A$36,$K$205^A56,IF(A56='Données projet'!$A$36,'Données projet'!$B$36,N55+M56-V55)))</f>
        <v>123.79999999999994</v>
      </c>
      <c r="O56" s="13">
        <f>N56*VLOOKUP('Données projet'!$B$9,Paramètres!$A$1:$I$89,3,0)*VLOOKUP('Données projet'!$B$9,Paramètres!$A$1:$I$89,5,0)</f>
        <v>125.53319999999997</v>
      </c>
      <c r="P56" s="13">
        <f t="shared" si="33"/>
        <v>32.962122082003134</v>
      </c>
      <c r="Q56" s="20">
        <f t="shared" si="53"/>
        <v>276.046019292822</v>
      </c>
      <c r="R56" s="57">
        <f t="shared" si="0"/>
        <v>545.44910224246723</v>
      </c>
      <c r="S56" s="57">
        <f ca="1">AVERAGE(OFFSET($R$3,0,0,'Données projet'!$E$9+1,1))-AVERAGE(OFFSET($H$3,0,0,'Données projet'!$E$9+1,1))</f>
        <v>332.70145542047612</v>
      </c>
      <c r="T56" s="57">
        <f t="shared" si="34"/>
        <v>172.22433737900428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3.4669233143230738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3.4669233143230738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63.473568077175983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7.5833333333333242</v>
      </c>
      <c r="AI56" s="13">
        <f>IF('Données projet'!$A$62&gt;35,AI55+AH56-AQ55,IF(A56&lt;'Données projet'!$A$62,$AF$205^A56,IF(A56='Données projet'!$A$62,'Données projet'!$B$62,AI55+AH56-AQ55)))</f>
        <v>148.05666666666667</v>
      </c>
      <c r="AJ56" s="13">
        <f>AI56*VLOOKUP('Données projet'!$B$10,Paramètres!$A$1:$I$89,3,0)*VLOOKUP('Données projet'!$B$10,Paramètres!$A$1:$I$89,5,0)</f>
        <v>133.96167199999999</v>
      </c>
      <c r="AK56" s="13">
        <f t="shared" si="35"/>
        <v>34.910179926312189</v>
      </c>
      <c r="AL56" s="20">
        <f t="shared" si="4"/>
        <v>294.11847543832704</v>
      </c>
      <c r="AM56" s="57">
        <f t="shared" si="5"/>
        <v>563.52155838797228</v>
      </c>
      <c r="AN56" s="57">
        <f ca="1">AVERAGE(OFFSET($AM$3,0,0,'Données projet'!$E$10+1,1))-AVERAGE(OFFSET($H$3,0,0,'Données projet'!$E$10+1,1))</f>
        <v>469.4210143164521</v>
      </c>
      <c r="AO56" s="57">
        <f t="shared" si="36"/>
        <v>308.4508386530556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9.1409703031494214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9.1409703031494214</v>
      </c>
      <c r="AY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63.473568077175983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7.4</v>
      </c>
      <c r="BD56" s="12">
        <f>IF('Données projet'!$A$88&gt;35,BD55+BC56-BL55,IF(A56&lt;'Données projet'!$A$88,$BA$205^A56,IF(A56='Données projet'!$A$88,'Données projet'!$B$88,BD55+BC56-BL55)))</f>
        <v>264.2</v>
      </c>
      <c r="BE56" s="13">
        <f>BD56*VLOOKUP('Données projet'!$B$11,Paramètres!$A$1:$I$89,3,0)*VLOOKUP('Données projet'!$B$11,Paramètres!$A$1:$I$89,5,0)</f>
        <v>193.71143999999998</v>
      </c>
      <c r="BF56" s="13">
        <f t="shared" si="37"/>
        <v>48.359573394195209</v>
      </c>
      <c r="BG56" s="20">
        <f t="shared" si="7"/>
        <v>421.60701499488988</v>
      </c>
      <c r="BH56" s="57">
        <f t="shared" si="8"/>
        <v>691.01009794453512</v>
      </c>
      <c r="BI56" s="57">
        <f ca="1">AVERAGE(OFFSET($BH$3,0,0,'Données projet'!$E$11+1,1))-AVERAGE(OFFSET($H$3,0,0,'Données projet'!$E$11+1,1))</f>
        <v>344.32981377462971</v>
      </c>
      <c r="BJ56" s="57">
        <f t="shared" si="38"/>
        <v>334.42512656625763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20.620275446959159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20.620275446959159</v>
      </c>
      <c r="BT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63.473568077175983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8.6</v>
      </c>
      <c r="BY56" s="12">
        <f>IF('Données projet'!$A$114&gt;35,BY55+BX56-CG55,IF(A56&lt;'Données projet'!$A$114,$BV$205^A56,IF(A56='Données projet'!$A$114,'Données projet'!$B$114,BY55+BX56-CG55)))</f>
        <v>256.8</v>
      </c>
      <c r="BZ56" s="13">
        <f>BY56*VLOOKUP('Données projet'!$B$12,Paramètres!$A$1:$I$89,3,0)*VLOOKUP('Données projet'!$B$12,Paramètres!$A$1:$I$89,5,0)</f>
        <v>244.37088</v>
      </c>
      <c r="CA56" s="13">
        <f t="shared" si="39"/>
        <v>59.378956514447331</v>
      </c>
      <c r="CB56" s="20">
        <f t="shared" si="10"/>
        <v>529.03096526266245</v>
      </c>
      <c r="CC56" s="57">
        <f t="shared" si="11"/>
        <v>798.43404821230774</v>
      </c>
      <c r="CD56" s="57">
        <f ca="1">AVERAGE(OFFSET($CC$3,0,0,'Données projet'!$E$12+1,1))-AVERAGE(OFFSET($H$3,0,0,'Données projet'!$E$12+1,1))</f>
        <v>498.77732039282807</v>
      </c>
      <c r="CE56" s="57">
        <f t="shared" si="40"/>
        <v>384.57317421826531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10.160599503985479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10.160599503985479</v>
      </c>
      <c r="CO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63.473568077175983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7.5833333333333242</v>
      </c>
      <c r="CT56" s="12">
        <f>IF('Données projet'!$A$140&gt;35,CT55+CS56-DB55,IF(A56&lt;'Données projet'!$A$140,$CQ$205^A56,IF(A56='Données projet'!$A$140,'Données projet'!$B$140,CT55+CS56-DB55)))</f>
        <v>148.05666666666667</v>
      </c>
      <c r="CU56" s="17">
        <f>CT56*VLOOKUP('Données projet'!$B$13,Paramètres!$A$1:$I$89,3,0)*VLOOKUP('Données projet'!$B$13,Paramètres!$A$1:$I$89,5,0)</f>
        <v>99.316412</v>
      </c>
      <c r="CV56" s="13">
        <f t="shared" si="41"/>
        <v>26.799077176643117</v>
      </c>
      <c r="CW56" s="20">
        <f t="shared" si="13"/>
        <v>219.65114364932006</v>
      </c>
      <c r="CX56" s="57">
        <f t="shared" si="14"/>
        <v>489.05422659896533</v>
      </c>
      <c r="CY56" s="57">
        <f ca="1">AVERAGE(OFFSET($CX$3,0,0,'Données projet'!$E$13+1,1))-AVERAGE(OFFSET($H$3,0,0,'Données projet'!$E$13+1,1))</f>
        <v>365.99625753737246</v>
      </c>
      <c r="CZ56" s="57">
        <f t="shared" si="42"/>
        <v>242.84814712692287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8.3529556218434369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8.3529556218434369</v>
      </c>
      <c r="DJ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63.473568077175983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6.8</v>
      </c>
      <c r="DO56" s="12">
        <f>IF('Données projet'!$A$166&gt;35,DO55+DN56-DW55,IF(A56&lt;'Données projet'!$A$166,$DL$205^A56,IF(A56='Données projet'!$A$166,'Données projet'!$B$166,DO55+DN56-DW55)))</f>
        <v>239.40000000000003</v>
      </c>
      <c r="DP56" s="17">
        <f>DO56*VLOOKUP('Données projet'!$B$14,Paramètres!$A$1:$I$89,3,0)*VLOOKUP('Données projet'!$B$14,Paramètres!$A$1:$I$89,5,0)</f>
        <v>156.85488000000004</v>
      </c>
      <c r="DQ56" s="13">
        <f t="shared" si="43"/>
        <v>40.132307243083858</v>
      </c>
      <c r="DR56" s="20">
        <f t="shared" si="16"/>
        <v>343.08601778170441</v>
      </c>
      <c r="DS56" s="57">
        <f t="shared" si="17"/>
        <v>612.48910073134971</v>
      </c>
      <c r="DT56" s="57">
        <f ca="1">AVERAGE(OFFSET($DS$3,0,0,'Données projet'!$E$14+1,1))-AVERAGE(OFFSET($H$3,0,0,'Données projet'!$E$14+1,1))</f>
        <v>313.79279628660527</v>
      </c>
      <c r="DU56" s="57">
        <f t="shared" si="44"/>
        <v>317.45469955216254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9.672999767068081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9.672999767068081</v>
      </c>
      <c r="EE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63.473568077175983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15.75</v>
      </c>
      <c r="EJ56" s="12">
        <f>IF('Données projet'!$A$192&gt;35,EJ55+EI56-ER55,IF(A56&lt;'Données projet'!$A$192,$EG$205^A56,IF(A56='Données projet'!$A$192,'Données projet'!$B$192,EJ55+EI56-ER55)))</f>
        <v>367.50000000000011</v>
      </c>
      <c r="EK56" s="17">
        <f>EJ56*VLOOKUP('Données projet'!$B$15,Paramètres!$A$1:$I$89,3,0)*VLOOKUP('Données projet'!$B$15,Paramètres!$A$1:$I$89,5,0)</f>
        <v>315.31500000000017</v>
      </c>
      <c r="EL56" s="13">
        <f t="shared" si="45"/>
        <v>74.377713122664133</v>
      </c>
      <c r="EM56" s="20">
        <f t="shared" si="19"/>
        <v>678.71480868864035</v>
      </c>
      <c r="EN56" s="57">
        <f t="shared" si="20"/>
        <v>948.11789163828553</v>
      </c>
      <c r="EO56" s="57">
        <f ca="1">AVERAGE(OFFSET($EN$3,0,0,'Données projet'!$E$15+1,1))-AVERAGE(OFFSET($H$3,0,0,'Données projet'!$E$15+1,1))</f>
        <v>643.04899298561475</v>
      </c>
      <c r="EP56" s="57">
        <f t="shared" si="46"/>
        <v>474.94999304483031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70.494063686407614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70.494063686407614</v>
      </c>
      <c r="EZ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63.473568077175983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7.4</v>
      </c>
      <c r="FE56" s="12">
        <f>IF('Données projet'!$A$218&gt;35,FE55+FD56-FM55,IF(A56&lt;'Données projet'!$A$218,$FB$205^A56,IF(A56='Données projet'!$A$218,'Données projet'!$B$218,FE55+FD56-FM55)))</f>
        <v>264.2</v>
      </c>
      <c r="FF56" s="17">
        <f>FE56*VLOOKUP('Données projet'!$B$16,Paramètres!$A$1:$I$89,3,0)*VLOOKUP('Données projet'!$B$16,Paramètres!$A$1:$I$89,5,0)</f>
        <v>214.31903999999997</v>
      </c>
      <c r="FG56" s="13">
        <f t="shared" si="47"/>
        <v>52.878283414659698</v>
      </c>
      <c r="FH56" s="20">
        <f t="shared" si="22"/>
        <v>465.3686716138655</v>
      </c>
      <c r="FI56" s="57">
        <f t="shared" si="23"/>
        <v>734.77175456351074</v>
      </c>
      <c r="FJ56" s="57">
        <f ca="1">AVERAGE(OFFSET($FI$3,0,0,'Données projet'!$E$16+1,1))-AVERAGE(OFFSET($H$3,0,0,'Données projet'!$E$16+1,1))</f>
        <v>375.34603719604439</v>
      </c>
      <c r="FK56" s="57">
        <f t="shared" si="48"/>
        <v>363.99476973672211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28.119484973686014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28.119484973686014</v>
      </c>
      <c r="FU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63.473568077175983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25.907499999999999</v>
      </c>
      <c r="FZ56" s="12">
        <f>IF('Données projet'!$A$244&gt;35,FZ55+FY56-GH55,IF(A56&lt;'Données projet'!$A$244,$FW$205^A56,IF(A56='Données projet'!$A$244,'Données projet'!$B$244,FZ55+FY56-GH55)))</f>
        <v>681.84249999999986</v>
      </c>
      <c r="GA56" s="17">
        <f>FZ56*VLOOKUP('Données projet'!$B$17,Paramètres!$A$1:$I$89,3,0)*VLOOKUP('Données projet'!$B$17,Paramètres!$A$1:$I$89,5,0)</f>
        <v>381.14995749999991</v>
      </c>
      <c r="GB56" s="13">
        <f t="shared" si="49"/>
        <v>87.944438543914515</v>
      </c>
      <c r="GC56" s="20">
        <f t="shared" si="25"/>
        <v>817.00607310981752</v>
      </c>
      <c r="GD56" s="57">
        <f t="shared" si="26"/>
        <v>1086.4091560594627</v>
      </c>
      <c r="GE56" s="57">
        <f ca="1">AVERAGE(OFFSET($GD$3,0,0,'Données projet'!$E$17+1,1))-AVERAGE(OFFSET($H$3,0,0,'Données projet'!$E$17+1,1))</f>
        <v>414.47327143450701</v>
      </c>
      <c r="GF56" s="57">
        <f t="shared" si="50"/>
        <v>546.83385887302961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71.639075787420254</v>
      </c>
      <c r="GM56" s="21">
        <f>EXP(-LN(2)/25)*GM55+(1-EXP(-LN(2)/25))/(LN(2)/25)*Calculateur!GH56*Calculateur!GJ56*VLOOKUP('Données projet'!$B$17,Paramètres!$A$1:$I$89,3,0)*0.475*44/12</f>
        <v>32.939097723377273</v>
      </c>
      <c r="GN56" s="21">
        <f>EXP(-LN(2)/2)*GN55+(1-EXP(-LN(2)/2))/(LN(2)/2)*GH56*GK56*VLOOKUP('Données projet'!$B$17,Paramètres!$A$1:$I$89,3,0)*0.475*44/12</f>
        <v>1.7418660983327907</v>
      </c>
      <c r="GO56" s="21">
        <f t="shared" si="27"/>
        <v>106.32003960913032</v>
      </c>
      <c r="GP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63.473568077175983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10.6</v>
      </c>
      <c r="GU56" s="12">
        <f>IF('Données projet'!$A$270&gt;35,GU55+GT56-HC55,IF(A56&lt;'Données projet'!$A$270,$GR$205^A56,IF(A56='Données projet'!$A$270,'Données projet'!$B$270,GU55+GT56-HC55)))</f>
        <v>335.80000000000018</v>
      </c>
      <c r="GV56" s="17">
        <f>GU56*VLOOKUP('Données projet'!$B$18,Paramètres!$A$1:$I$89,3,0)*VLOOKUP('Données projet'!$B$18,Paramètres!$A$1:$I$89,5,0)</f>
        <v>183.34680000000009</v>
      </c>
      <c r="GW56" s="13">
        <f t="shared" si="51"/>
        <v>46.065987269469773</v>
      </c>
      <c r="GX56" s="20">
        <f t="shared" si="28"/>
        <v>399.56060449432658</v>
      </c>
      <c r="GY56" s="57">
        <f t="shared" si="29"/>
        <v>668.96368744397182</v>
      </c>
      <c r="GZ56" s="57">
        <f ca="1">AVERAGE(OFFSET($GY$3,0,0,'Données projet'!$E$18+1,1))-AVERAGE(OFFSET($H$3,0,0,'Données projet'!$E$18+1,1))</f>
        <v>381.00532469288714</v>
      </c>
      <c r="HA56" s="57">
        <f t="shared" si="52"/>
        <v>314.875259641757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>
        <f>EXP(-LN(2)/35)*HG55+(1-EXP(-LN(2)/35))/(LN(2)/35)*HC56*HD56*VLOOKUP('Données projet'!$B$18,Paramètres!$A$1:$I$89,3,0)*0.475*44/12</f>
        <v>37.729914262159603</v>
      </c>
      <c r="HH56" s="21">
        <f>EXP(-LN(2)/25)*HH55+(1-EXP(-LN(2)/25))/(LN(2)/25)*Calculateur!HC56*Calculateur!HE56*VLOOKUP('Données projet'!$B$18,Paramètres!$A$1:$I$89,3,0)*0.475*44/12</f>
        <v>24.024962291598108</v>
      </c>
      <c r="HI56" s="21">
        <f>EXP(-LN(2)/2)*HI55+(1-EXP(-LN(2)/2))/(LN(2)/2)*HC56*HF56*VLOOKUP('Données projet'!$B$18,Paramètres!$A$1:$I$89,3,0)*0.475*44/12</f>
        <v>1.6411573760528939</v>
      </c>
      <c r="HJ56" s="22">
        <f t="shared" si="30"/>
        <v>63.396033929810606</v>
      </c>
    </row>
    <row r="57" spans="1:218" x14ac:dyDescent="0.2">
      <c r="A57" s="10">
        <f t="shared" si="31"/>
        <v>54</v>
      </c>
      <c r="B57" s="71">
        <f>'Scénario référence'!$B$16*5+'Scénario référence'!$B$17*0+'Scénario référence'!$B$18*5</f>
        <v>3.3000000000000003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12.100000000000001</v>
      </c>
      <c r="H57" s="65">
        <f t="shared" si="1"/>
        <v>208.26666666666665</v>
      </c>
      <c r="I57" s="6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63.58678708012107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5.6</v>
      </c>
      <c r="N57" s="13">
        <f>IF('Données projet'!$A$36&gt;35,N56+M57-V56,IF(A57&lt;'Données projet'!$A$36,$K$205^A57,IF(A57='Données projet'!$A$36,'Données projet'!$B$36,N56+M57-V56)))</f>
        <v>129.39999999999995</v>
      </c>
      <c r="O57" s="13">
        <f>N57*VLOOKUP('Données projet'!$B$9,Paramètres!$A$1:$I$89,3,0)*VLOOKUP('Données projet'!$B$9,Paramètres!$A$1:$I$89,5,0)</f>
        <v>131.21159999999995</v>
      </c>
      <c r="P57" s="13">
        <f t="shared" si="33"/>
        <v>34.276173183172517</v>
      </c>
      <c r="Q57" s="20">
        <f t="shared" si="53"/>
        <v>288.22453829402536</v>
      </c>
      <c r="R57" s="57">
        <f t="shared" si="0"/>
        <v>558.04275758780261</v>
      </c>
      <c r="S57" s="57">
        <f ca="1">AVERAGE(OFFSET($R$3,0,0,'Données projet'!$E$9+1,1))-AVERAGE(OFFSET($H$3,0,0,'Données projet'!$E$9+1,1))</f>
        <v>332.70145542047612</v>
      </c>
      <c r="T57" s="57">
        <f t="shared" si="34"/>
        <v>172.22433737900428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3.3989390627436191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3.3989390627436191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63.58678708012107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>
        <f>VLOOKUP(A57,'Données projet'!$A$61:$I$81,2,0)</f>
        <v>155.63999999999999</v>
      </c>
      <c r="AG57" s="12">
        <f>VLOOKUP(A57,'Données projet'!$A$61:$I$81,9,0)</f>
        <v>7.5833333333333242</v>
      </c>
      <c r="AH57" s="12">
        <f t="array" ref="AH57">INDEX(AG:AG,MIN(IF(ISNUMBER(AG57:AG253),ROW(AG57:AG253),"")))</f>
        <v>7.5833333333333242</v>
      </c>
      <c r="AI57" s="13">
        <f>IF('Données projet'!$A$62&gt;35,AI56+AH57-AQ56,IF(A57&lt;'Données projet'!$A$62,$AF$205^A57,IF(A57='Données projet'!$A$62,'Données projet'!$B$62,AI56+AH57-AQ56)))</f>
        <v>155.63999999999999</v>
      </c>
      <c r="AJ57" s="13">
        <f>AI57*VLOOKUP('Données projet'!$B$10,Paramètres!$A$1:$I$89,3,0)*VLOOKUP('Données projet'!$B$10,Paramètres!$A$1:$I$89,5,0)</f>
        <v>140.82307199999997</v>
      </c>
      <c r="AK57" s="13">
        <f t="shared" si="35"/>
        <v>36.485495356718914</v>
      </c>
      <c r="AL57" s="20">
        <f t="shared" si="4"/>
        <v>308.81242147961865</v>
      </c>
      <c r="AM57" s="57">
        <f t="shared" si="5"/>
        <v>578.63064077339595</v>
      </c>
      <c r="AN57" s="57">
        <f ca="1">AVERAGE(OFFSET($AM$3,0,0,'Données projet'!$E$10+1,1))-AVERAGE(OFFSET($H$3,0,0,'Données projet'!$E$10+1,1))</f>
        <v>469.4210143164521</v>
      </c>
      <c r="AO57" s="57">
        <f t="shared" si="36"/>
        <v>308.4508386530556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8.9617214509460172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8.9617214509460172</v>
      </c>
      <c r="AY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63.58678708012107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7.4</v>
      </c>
      <c r="BD57" s="12">
        <f>IF('Données projet'!$A$88&gt;35,BD56+BC57-BL56,IF(A57&lt;'Données projet'!$A$88,$BA$205^A57,IF(A57='Données projet'!$A$88,'Données projet'!$B$88,BD56+BC57-BL56)))</f>
        <v>271.59999999999997</v>
      </c>
      <c r="BE57" s="13">
        <f>BD57*VLOOKUP('Données projet'!$B$11,Paramètres!$A$1:$I$89,3,0)*VLOOKUP('Données projet'!$B$11,Paramètres!$A$1:$I$89,5,0)</f>
        <v>199.13711999999995</v>
      </c>
      <c r="BF57" s="13">
        <f t="shared" si="37"/>
        <v>49.554485124576232</v>
      </c>
      <c r="BG57" s="20">
        <f t="shared" si="7"/>
        <v>433.13787892530354</v>
      </c>
      <c r="BH57" s="57">
        <f t="shared" si="8"/>
        <v>702.95609821908079</v>
      </c>
      <c r="BI57" s="57">
        <f ca="1">AVERAGE(OFFSET($BH$3,0,0,'Données projet'!$E$11+1,1))-AVERAGE(OFFSET($H$3,0,0,'Données projet'!$E$11+1,1))</f>
        <v>344.32981377462971</v>
      </c>
      <c r="BJ57" s="57">
        <f t="shared" si="38"/>
        <v>334.42512656625763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20.215924422570424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20.215924422570424</v>
      </c>
      <c r="BT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63.58678708012107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8.6</v>
      </c>
      <c r="BY57" s="12">
        <f>IF('Données projet'!$A$114&gt;35,BY56+BX57-CG56,IF(A57&lt;'Données projet'!$A$114,$BV$205^A57,IF(A57='Données projet'!$A$114,'Données projet'!$B$114,BY56+BX57-CG56)))</f>
        <v>265.40000000000003</v>
      </c>
      <c r="BZ57" s="13">
        <f>BY57*VLOOKUP('Données projet'!$B$12,Paramètres!$A$1:$I$89,3,0)*VLOOKUP('Données projet'!$B$12,Paramètres!$A$1:$I$89,5,0)</f>
        <v>252.55464000000001</v>
      </c>
      <c r="CA57" s="13">
        <f t="shared" si="39"/>
        <v>61.132654455470067</v>
      </c>
      <c r="CB57" s="20">
        <f t="shared" si="10"/>
        <v>546.33870450994368</v>
      </c>
      <c r="CC57" s="57">
        <f t="shared" si="11"/>
        <v>816.15692380372093</v>
      </c>
      <c r="CD57" s="57">
        <f ca="1">AVERAGE(OFFSET($CC$3,0,0,'Données projet'!$E$12+1,1))-AVERAGE(OFFSET($H$3,0,0,'Données projet'!$E$12+1,1))</f>
        <v>498.77732039282807</v>
      </c>
      <c r="CE57" s="57">
        <f t="shared" si="40"/>
        <v>384.57317421826531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9.9613563450660827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9.9613563450660827</v>
      </c>
      <c r="CO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63.58678708012107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>
        <f>VLOOKUP(A57,'Données projet'!$A$139:$I$159,2,0)</f>
        <v>155.63999999999999</v>
      </c>
      <c r="CR57" s="12">
        <f>VLOOKUP(A57,'Données projet'!$A$139:$I$159,9,0)</f>
        <v>7.5833333333333242</v>
      </c>
      <c r="CS57" s="12">
        <f t="array" ref="CS57">INDEX(CR:CR,MIN(IF(ISNUMBER(CR57:CR253),ROW(CR57:CR253),"")))</f>
        <v>7.5833333333333242</v>
      </c>
      <c r="CT57" s="12">
        <f>IF('Données projet'!$A$140&gt;35,CT56+CS57-DB56,IF(A57&lt;'Données projet'!$A$140,$CQ$205^A57,IF(A57='Données projet'!$A$140,'Données projet'!$B$140,CT56+CS57-DB56)))</f>
        <v>155.63999999999999</v>
      </c>
      <c r="CU57" s="17">
        <f>CT57*VLOOKUP('Données projet'!$B$13,Paramètres!$A$1:$I$89,3,0)*VLOOKUP('Données projet'!$B$13,Paramètres!$A$1:$I$89,5,0)</f>
        <v>104.40331199999999</v>
      </c>
      <c r="CV57" s="13">
        <f t="shared" si="41"/>
        <v>28.008380591467606</v>
      </c>
      <c r="CW57" s="20">
        <f t="shared" si="13"/>
        <v>230.61703126347268</v>
      </c>
      <c r="CX57" s="57">
        <f t="shared" si="14"/>
        <v>500.4352505572499</v>
      </c>
      <c r="CY57" s="57">
        <f ca="1">AVERAGE(OFFSET($CX$3,0,0,'Données projet'!$E$13+1,1))-AVERAGE(OFFSET($H$3,0,0,'Données projet'!$E$13+1,1))</f>
        <v>365.99625753737246</v>
      </c>
      <c r="CZ57" s="57">
        <f t="shared" si="42"/>
        <v>242.84814712692287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8.1891592568989466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8.1891592568989466</v>
      </c>
      <c r="DJ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63.58678708012107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6.8</v>
      </c>
      <c r="DO57" s="12">
        <f>IF('Données projet'!$A$166&gt;35,DO56+DN57-DW56,IF(A57&lt;'Données projet'!$A$166,$DL$205^A57,IF(A57='Données projet'!$A$166,'Données projet'!$B$166,DO56+DN57-DW56)))</f>
        <v>246.20000000000005</v>
      </c>
      <c r="DP57" s="17">
        <f>DO57*VLOOKUP('Données projet'!$B$14,Paramètres!$A$1:$I$89,3,0)*VLOOKUP('Données projet'!$B$14,Paramètres!$A$1:$I$89,5,0)</f>
        <v>161.31024000000002</v>
      </c>
      <c r="DQ57" s="13">
        <f t="shared" si="43"/>
        <v>41.137903274661106</v>
      </c>
      <c r="DR57" s="20">
        <f t="shared" si="16"/>
        <v>352.59718287003483</v>
      </c>
      <c r="DS57" s="57">
        <f t="shared" si="17"/>
        <v>622.41540216381213</v>
      </c>
      <c r="DT57" s="57">
        <f ca="1">AVERAGE(OFFSET($DS$3,0,0,'Données projet'!$E$14+1,1))-AVERAGE(OFFSET($H$3,0,0,'Données projet'!$E$14+1,1))</f>
        <v>313.79279628660527</v>
      </c>
      <c r="DU57" s="57">
        <f t="shared" si="44"/>
        <v>317.45469955216254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9.4833181415831618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9.4833181415831618</v>
      </c>
      <c r="EE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63.58678708012107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15.75</v>
      </c>
      <c r="EJ57" s="12">
        <f>IF('Données projet'!$A$192&gt;35,EJ56+EI57-ER56,IF(A57&lt;'Données projet'!$A$192,$EG$205^A57,IF(A57='Données projet'!$A$192,'Données projet'!$B$192,EJ56+EI57-ER56)))</f>
        <v>383.25000000000011</v>
      </c>
      <c r="EK57" s="17">
        <f>EJ57*VLOOKUP('Données projet'!$B$15,Paramètres!$A$1:$I$89,3,0)*VLOOKUP('Données projet'!$B$15,Paramètres!$A$1:$I$89,5,0)</f>
        <v>328.82850000000013</v>
      </c>
      <c r="EL57" s="13">
        <f t="shared" si="45"/>
        <v>77.187375084656068</v>
      </c>
      <c r="EM57" s="20">
        <f t="shared" si="19"/>
        <v>707.14431577244295</v>
      </c>
      <c r="EN57" s="57">
        <f t="shared" si="20"/>
        <v>976.9625350662202</v>
      </c>
      <c r="EO57" s="57">
        <f ca="1">AVERAGE(OFFSET($EN$3,0,0,'Données projet'!$E$15+1,1))-AVERAGE(OFFSET($H$3,0,0,'Données projet'!$E$15+1,1))</f>
        <v>643.04899298561475</v>
      </c>
      <c r="EP57" s="57">
        <f t="shared" si="46"/>
        <v>474.94999304483031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69.111718094650399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69.111718094650399</v>
      </c>
      <c r="EZ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63.58678708012107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7.4</v>
      </c>
      <c r="FE57" s="12">
        <f>IF('Données projet'!$A$218&gt;35,FE56+FD57-FM56,IF(A57&lt;'Données projet'!$A$218,$FB$205^A57,IF(A57='Données projet'!$A$218,'Données projet'!$B$218,FE56+FD57-FM56)))</f>
        <v>271.59999999999997</v>
      </c>
      <c r="FF57" s="17">
        <f>FE57*VLOOKUP('Données projet'!$B$16,Paramètres!$A$1:$I$89,3,0)*VLOOKUP('Données projet'!$B$16,Paramètres!$A$1:$I$89,5,0)</f>
        <v>220.32192000000001</v>
      </c>
      <c r="FG57" s="13">
        <f t="shared" si="47"/>
        <v>54.18484748666976</v>
      </c>
      <c r="FH57" s="20">
        <f t="shared" si="22"/>
        <v>478.09928670594991</v>
      </c>
      <c r="FI57" s="57">
        <f t="shared" si="23"/>
        <v>747.91750599972715</v>
      </c>
      <c r="FJ57" s="57">
        <f ca="1">AVERAGE(OFFSET($FI$3,0,0,'Données projet'!$E$16+1,1))-AVERAGE(OFFSET($H$3,0,0,'Données projet'!$E$16+1,1))</f>
        <v>375.34603719604439</v>
      </c>
      <c r="FK57" s="57">
        <f t="shared" si="48"/>
        <v>363.99476973672211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27.568079024544325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27.568079024544325</v>
      </c>
      <c r="FU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63.58678708012107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>
        <f>VLOOKUP(A57,'Données projet'!$A$243:$I$263,2,0)</f>
        <v>707.75</v>
      </c>
      <c r="FX57" s="12">
        <f>VLOOKUP(A57,'Données projet'!$A$243:$I$263,9,0)</f>
        <v>25.907499999999999</v>
      </c>
      <c r="FY57" s="12">
        <f t="array" ref="FY57">INDEX(FX:FX,MIN(IF(ISNUMBER(FX57:FX253),ROW(FX57:FX253),"")))</f>
        <v>25.907499999999999</v>
      </c>
      <c r="FZ57" s="12">
        <f>IF('Données projet'!$A$244&gt;35,FZ56+FY57-GH56,IF(A57&lt;'Données projet'!$A$244,$FW$205^A57,IF(A57='Données projet'!$A$244,'Données projet'!$B$244,FZ56+FY57-GH56)))</f>
        <v>707.74999999999989</v>
      </c>
      <c r="GA57" s="17">
        <f>FZ57*VLOOKUP('Données projet'!$B$17,Paramètres!$A$1:$I$89,3,0)*VLOOKUP('Données projet'!$B$17,Paramètres!$A$1:$I$89,5,0)</f>
        <v>395.63224999999994</v>
      </c>
      <c r="GB57" s="13">
        <f t="shared" si="49"/>
        <v>90.890605900198707</v>
      </c>
      <c r="GC57" s="20">
        <f t="shared" si="25"/>
        <v>847.360640692846</v>
      </c>
      <c r="GD57" s="57">
        <f t="shared" si="26"/>
        <v>1117.1788599866231</v>
      </c>
      <c r="GE57" s="57">
        <f ca="1">AVERAGE(OFFSET($GD$3,0,0,'Données projet'!$E$17+1,1))-AVERAGE(OFFSET($H$3,0,0,'Données projet'!$E$17+1,1))</f>
        <v>414.47327143450701</v>
      </c>
      <c r="GF57" s="57">
        <f t="shared" si="50"/>
        <v>546.83385887302961</v>
      </c>
      <c r="GG57" s="15">
        <f>IF(ISNA(VLOOKUP(A57,'Données projet'!$A$243:$I$263,3,0)),0,VLOOKUP(A57,'Données projet'!$A$243:$I$263,3,0))</f>
        <v>7</v>
      </c>
      <c r="GH57" s="15">
        <f>IF(ISNA(VLOOKUP(A57,'Données projet'!$A$243:$I$263,4,0)),0,VLOOKUP(A57,'Données projet'!$A$243:$I$263,4,0))</f>
        <v>707.75</v>
      </c>
      <c r="GI57" s="16">
        <f>IF(ISNA(VLOOKUP(A57,'Données projet'!$A$243:$I$263,5,0)),0%,VLOOKUP(A57,'Données projet'!$A$243:$I$263,5,0)*VLOOKUP('Données projet'!$B$17,Paramètres!$A$1:$I$89,7,0))</f>
        <v>0.44000000000000006</v>
      </c>
      <c r="GJ57" s="16">
        <f>IF(ISNA(VLOOKUP(A57,'Données projet'!$A$243:$I$263,6,0)),0%,VLOOKUP(A57,'Données projet'!$A$243:$I$263,6,0)*VLOOKUP('Données projet'!$B$17,Paramètres!$A$1:$I$89,7,0))</f>
        <v>6.0500000000000005E-2</v>
      </c>
      <c r="GK57" s="16">
        <f>IF(ISNA(VLOOKUP(A57,'Données projet'!$A$243:$I$263,7,0)),0%,VLOOKUP(A57,'Données projet'!$A$243:$I$263,7,0))</f>
        <v>0.09</v>
      </c>
      <c r="GL57" s="21">
        <f>EXP(-LN(2)/35)*GL56+(1-EXP(-LN(2)/35))/(LN(2)/35)*GH57*GI57*VLOOKUP('Données projet'!$B$17,Paramètres!$A$1:$I$89,3,0)*0.475*44/12</f>
        <v>301.16021652800146</v>
      </c>
      <c r="GM57" s="21">
        <f>EXP(-LN(2)/25)*GM56+(1-EXP(-LN(2)/25))/(LN(2)/25)*Calculateur!GH57*Calculateur!GJ57*VLOOKUP('Données projet'!$B$17,Paramètres!$A$1:$I$89,3,0)*0.475*44/12</f>
        <v>63.66567205135317</v>
      </c>
      <c r="GN57" s="21">
        <f>EXP(-LN(2)/2)*GN56+(1-EXP(-LN(2)/2))/(LN(2)/2)*GH57*GK57*VLOOKUP('Données projet'!$B$17,Paramètres!$A$1:$I$89,3,0)*0.475*44/12</f>
        <v>41.546970355425934</v>
      </c>
      <c r="GO57" s="21">
        <f t="shared" si="27"/>
        <v>406.37285893478054</v>
      </c>
      <c r="GP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63.58678708012107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10.6</v>
      </c>
      <c r="GU57" s="12">
        <f>IF('Données projet'!$A$270&gt;35,GU56+GT57-HC56,IF(A57&lt;'Données projet'!$A$270,$GR$205^A57,IF(A57='Données projet'!$A$270,'Données projet'!$B$270,GU56+GT57-HC56)))</f>
        <v>346.4000000000002</v>
      </c>
      <c r="GV57" s="17">
        <f>GU57*VLOOKUP('Données projet'!$B$18,Paramètres!$A$1:$I$89,3,0)*VLOOKUP('Données projet'!$B$18,Paramètres!$A$1:$I$89,5,0)</f>
        <v>189.13440000000011</v>
      </c>
      <c r="GW57" s="13">
        <f t="shared" si="51"/>
        <v>47.348530153301503</v>
      </c>
      <c r="GX57" s="20">
        <f t="shared" si="28"/>
        <v>411.874436683667</v>
      </c>
      <c r="GY57" s="57">
        <f t="shared" si="29"/>
        <v>681.69265597744425</v>
      </c>
      <c r="GZ57" s="57">
        <f ca="1">AVERAGE(OFFSET($GY$3,0,0,'Données projet'!$E$18+1,1))-AVERAGE(OFFSET($H$3,0,0,'Données projet'!$E$18+1,1))</f>
        <v>381.00532469288714</v>
      </c>
      <c r="HA57" s="57">
        <f t="shared" si="52"/>
        <v>314.875259641757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>
        <f>EXP(-LN(2)/35)*HG56+(1-EXP(-LN(2)/35))/(LN(2)/35)*HC57*HD57*VLOOKUP('Données projet'!$B$18,Paramètres!$A$1:$I$89,3,0)*0.475*44/12</f>
        <v>36.990053656454009</v>
      </c>
      <c r="HH57" s="21">
        <f>EXP(-LN(2)/25)*HH56+(1-EXP(-LN(2)/25))/(LN(2)/25)*Calculateur!HC57*Calculateur!HE57*VLOOKUP('Données projet'!$B$18,Paramètres!$A$1:$I$89,3,0)*0.475*44/12</f>
        <v>23.367998434316501</v>
      </c>
      <c r="HI57" s="21">
        <f>EXP(-LN(2)/2)*HI56+(1-EXP(-LN(2)/2))/(LN(2)/2)*HC57*HF57*VLOOKUP('Données projet'!$B$18,Paramètres!$A$1:$I$89,3,0)*0.475*44/12</f>
        <v>1.1604735096013221</v>
      </c>
      <c r="HJ57" s="22">
        <f t="shared" si="30"/>
        <v>61.518525600371838</v>
      </c>
    </row>
    <row r="58" spans="1:218" x14ac:dyDescent="0.2">
      <c r="A58" s="10">
        <f t="shared" si="31"/>
        <v>55</v>
      </c>
      <c r="B58" s="71">
        <f>'Scénario référence'!$B$16*5+'Scénario référence'!$B$17*0+'Scénario référence'!$B$18*5</f>
        <v>3.3000000000000003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12.100000000000001</v>
      </c>
      <c r="H58" s="65">
        <f t="shared" si="1"/>
        <v>208.26666666666665</v>
      </c>
      <c r="I58" s="6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63.698041986484853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135</v>
      </c>
      <c r="L58" s="12">
        <f>VLOOKUP(A58,'Données projet'!$A$35:$I$55,9,0)</f>
        <v>5.6</v>
      </c>
      <c r="M58" s="12">
        <f t="array" ref="M58">INDEX(L:L,MIN(IF(ISNUMBER(L58:L254),ROW(L58:L254),"")))</f>
        <v>5.6</v>
      </c>
      <c r="N58" s="13">
        <f>IF('Données projet'!$A$36&gt;35,N57+M58-V57,IF(A58&lt;'Données projet'!$A$36,$K$205^A58,IF(A58='Données projet'!$A$36,'Données projet'!$B$36,N57+M58-V57)))</f>
        <v>134.99999999999994</v>
      </c>
      <c r="O58" s="13">
        <f>N58*VLOOKUP('Données projet'!$B$9,Paramètres!$A$1:$I$89,3,0)*VLOOKUP('Données projet'!$B$9,Paramètres!$A$1:$I$89,5,0)</f>
        <v>136.88999999999996</v>
      </c>
      <c r="P58" s="13">
        <f t="shared" si="33"/>
        <v>35.583619346017713</v>
      </c>
      <c r="Q58" s="20">
        <f t="shared" si="53"/>
        <v>300.3915536943141</v>
      </c>
      <c r="R58" s="57">
        <f t="shared" si="0"/>
        <v>570.61770764475864</v>
      </c>
      <c r="S58" s="57">
        <f ca="1">AVERAGE(OFFSET($R$3,0,0,'Données projet'!$E$9+1,1))-AVERAGE(OFFSET($H$3,0,0,'Données projet'!$E$9+1,1))</f>
        <v>332.70145542047612</v>
      </c>
      <c r="T58" s="57">
        <f t="shared" si="34"/>
        <v>172.22433737900428</v>
      </c>
      <c r="U58" s="15">
        <f>IF(ISNA(VLOOKUP(A58,'Données projet'!$A$35:$I$55,3,0)),0,VLOOKUP(A58,'Données projet'!$A$35:$I$55,3,0))</f>
        <v>7</v>
      </c>
      <c r="V58" s="15">
        <f>IF(ISNA(VLOOKUP(A58,'Données projet'!$A$35:$I$55,4,0)),0,VLOOKUP(A58,'Données projet'!$A$35:$I$55,4,0))</f>
        <v>14</v>
      </c>
      <c r="W58" s="16">
        <f>IF(ISNA(VLOOKUP(A58,'Données projet'!$A$35:$I$55,5,0)),0%,VLOOKUP(A58,'Données projet'!$A$35:$I$55,5,0)*VLOOKUP('Données projet'!$B$9,Paramètres!$A$1:$I$89,7,0))</f>
        <v>0.129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5.3567181593839575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5.3567181593839575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63.698041986484853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8.6400000000000059</v>
      </c>
      <c r="AI58" s="13">
        <f>IF('Données projet'!$A$62&gt;35,AI57+AH58-AQ57,IF(A58&lt;'Données projet'!$A$62,$AF$205^A58,IF(A58='Données projet'!$A$62,'Données projet'!$B$62,AI57+AH58-AQ57)))</f>
        <v>164.28</v>
      </c>
      <c r="AJ58" s="13">
        <f>AI58*VLOOKUP('Données projet'!$B$10,Paramètres!$A$1:$I$89,3,0)*VLOOKUP('Données projet'!$B$10,Paramètres!$A$1:$I$89,5,0)</f>
        <v>148.64054400000001</v>
      </c>
      <c r="AK58" s="13">
        <f t="shared" si="35"/>
        <v>38.269480857470057</v>
      </c>
      <c r="AL58" s="20">
        <f t="shared" si="4"/>
        <v>325.53495996009366</v>
      </c>
      <c r="AM58" s="57">
        <f t="shared" si="5"/>
        <v>595.76111391053814</v>
      </c>
      <c r="AN58" s="57">
        <f ca="1">AVERAGE(OFFSET($AM$3,0,0,'Données projet'!$E$10+1,1))-AVERAGE(OFFSET($H$3,0,0,'Données projet'!$E$10+1,1))</f>
        <v>469.4210143164521</v>
      </c>
      <c r="AO58" s="57">
        <f t="shared" si="36"/>
        <v>308.4508386530556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8.785987559403317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8.785987559403317</v>
      </c>
      <c r="AY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63.698041986484853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279</v>
      </c>
      <c r="BB58" s="12">
        <f>VLOOKUP(A58,'Données projet'!$A$87:$I$107,9,0)</f>
        <v>7.4</v>
      </c>
      <c r="BC58" s="12">
        <f t="array" ref="BC58">INDEX(BB:BB,MIN(IF(ISNUMBER(BB58:BB254),ROW(BB58:BB254),"")))</f>
        <v>7.4</v>
      </c>
      <c r="BD58" s="12">
        <f>IF('Données projet'!$A$88&gt;35,BD57+BC58-BL57,IF(A58&lt;'Données projet'!$A$88,$BA$205^A58,IF(A58='Données projet'!$A$88,'Données projet'!$B$88,BD57+BC58-BL57)))</f>
        <v>278.99999999999994</v>
      </c>
      <c r="BE58" s="13">
        <f>BD58*VLOOKUP('Données projet'!$B$11,Paramètres!$A$1:$I$89,3,0)*VLOOKUP('Données projet'!$B$11,Paramètres!$A$1:$I$89,5,0)</f>
        <v>204.56279999999995</v>
      </c>
      <c r="BF58" s="13">
        <f t="shared" si="37"/>
        <v>50.74561278586372</v>
      </c>
      <c r="BG58" s="20">
        <f t="shared" si="7"/>
        <v>444.66215226871259</v>
      </c>
      <c r="BH58" s="57">
        <f t="shared" si="8"/>
        <v>714.88830621915713</v>
      </c>
      <c r="BI58" s="57">
        <f ca="1">AVERAGE(OFFSET($BH$3,0,0,'Données projet'!$E$11+1,1))-AVERAGE(OFFSET($H$3,0,0,'Données projet'!$E$11+1,1))</f>
        <v>344.32981377462971</v>
      </c>
      <c r="BJ58" s="57">
        <f t="shared" si="38"/>
        <v>334.42512656625763</v>
      </c>
      <c r="BK58" s="15">
        <f>IF(ISNA(VLOOKUP(A58,'Données projet'!$A$87:$I$107,3,0)),0,VLOOKUP(A58,'Données projet'!$A$87:$I$107,3,0))</f>
        <v>10</v>
      </c>
      <c r="BL58" s="15">
        <f>IF(ISNA(VLOOKUP(A58,'Données projet'!$A$87:$I$107,4,0)),0,VLOOKUP(A58,'Données projet'!$A$87:$I$107,4,0))</f>
        <v>16</v>
      </c>
      <c r="BM58" s="16">
        <f>IF(ISNA(VLOOKUP(A58,'Données projet'!$A$87:$I$107,5,0)),0%,VLOOKUP(A58,'Données projet'!$A$87:$I$107,5,0)*VLOOKUP('Données projet'!$B$11,Paramètres!$A$1:$I$89,7,0))</f>
        <v>0.25800000000000001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23.165373957165432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23.165373957165432</v>
      </c>
      <c r="BT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63.698041986484853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274</v>
      </c>
      <c r="BW58" s="12">
        <f>VLOOKUP(A58,'Données projet'!$A$113:$I$133,9,0)</f>
        <v>8.6</v>
      </c>
      <c r="BX58" s="12">
        <f t="array" ref="BX58">INDEX(BW:BW,MIN(IF(ISNUMBER(BW58:BW254),ROW(BW58:BW254),"")))</f>
        <v>8.6</v>
      </c>
      <c r="BY58" s="12">
        <f>IF('Données projet'!$A$114&gt;35,BY57+BX58-CG57,IF(A58&lt;'Données projet'!$A$114,$BV$205^A58,IF(A58='Données projet'!$A$114,'Données projet'!$B$114,BY57+BX58-CG57)))</f>
        <v>274.00000000000006</v>
      </c>
      <c r="BZ58" s="13">
        <f>BY58*VLOOKUP('Données projet'!$B$12,Paramètres!$A$1:$I$89,3,0)*VLOOKUP('Données projet'!$B$12,Paramètres!$A$1:$I$89,5,0)</f>
        <v>260.73840000000007</v>
      </c>
      <c r="CA58" s="13">
        <f t="shared" si="39"/>
        <v>62.879749008354764</v>
      </c>
      <c r="CB58" s="20">
        <f t="shared" si="10"/>
        <v>563.634942856218</v>
      </c>
      <c r="CC58" s="57">
        <f t="shared" si="11"/>
        <v>833.86109680666254</v>
      </c>
      <c r="CD58" s="57">
        <f ca="1">AVERAGE(OFFSET($CC$3,0,0,'Données projet'!$E$12+1,1))-AVERAGE(OFFSET($H$3,0,0,'Données projet'!$E$12+1,1))</f>
        <v>498.77732039282807</v>
      </c>
      <c r="CE58" s="57">
        <f t="shared" si="40"/>
        <v>384.57317421826531</v>
      </c>
      <c r="CF58" s="15">
        <f>IF(ISNA(VLOOKUP(A58,'Données projet'!$A$113:$I$133,3,0)),0,VLOOKUP(A58,'Données projet'!$A$113:$I$133,3,0))</f>
        <v>7</v>
      </c>
      <c r="CG58" s="15">
        <f>IF(ISNA(VLOOKUP(A58,'Données projet'!$A$113:$I$133,4,0)),0,VLOOKUP(A58,'Données projet'!$A$113:$I$133,4,0))</f>
        <v>33</v>
      </c>
      <c r="CH58" s="16">
        <f>IF(ISNA(VLOOKUP(A58,'Données projet'!$A$113:$I$133,5,0)),0%,VLOOKUP(A58,'Données projet'!$A$113:$I$133,5,0)*VLOOKUP('Données projet'!$B$12,Paramètres!$A$1:$I$89,7,0))</f>
        <v>0.17200000000000001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15.736977043283112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15.736977043283112</v>
      </c>
      <c r="CO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63.698041986484853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8.6400000000000059</v>
      </c>
      <c r="CT58" s="12">
        <f>IF('Données projet'!$A$140&gt;35,CT57+CS58-DB57,IF(A58&lt;'Données projet'!$A$140,$CQ$205^A58,IF(A58='Données projet'!$A$140,'Données projet'!$B$140,CT57+CS58-DB57)))</f>
        <v>164.28</v>
      </c>
      <c r="CU58" s="17">
        <f>CT58*VLOOKUP('Données projet'!$B$13,Paramètres!$A$1:$I$89,3,0)*VLOOKUP('Données projet'!$B$13,Paramètres!$A$1:$I$89,5,0)</f>
        <v>110.19902400000001</v>
      </c>
      <c r="CV58" s="13">
        <f t="shared" si="41"/>
        <v>29.377871244840286</v>
      </c>
      <c r="CW58" s="20">
        <f t="shared" si="13"/>
        <v>243.09642588476348</v>
      </c>
      <c r="CX58" s="57">
        <f t="shared" si="14"/>
        <v>513.32257983520799</v>
      </c>
      <c r="CY58" s="57">
        <f ca="1">AVERAGE(OFFSET($CX$3,0,0,'Données projet'!$E$13+1,1))-AVERAGE(OFFSET($H$3,0,0,'Données projet'!$E$13+1,1))</f>
        <v>365.99625753737246</v>
      </c>
      <c r="CZ58" s="57">
        <f t="shared" si="42"/>
        <v>242.84814712692287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8.0285748387651008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8.0285748387651008</v>
      </c>
      <c r="DJ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63.698041986484853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253</v>
      </c>
      <c r="DM58" s="12">
        <f>VLOOKUP(A58,'Données projet'!$A$165:$I$185,9,0)</f>
        <v>6.8</v>
      </c>
      <c r="DN58" s="12">
        <f t="array" ref="DN58">INDEX(DM:DM,MIN(IF(ISNUMBER(DM58:DM254),ROW(DM58:DM254),"")))</f>
        <v>6.8</v>
      </c>
      <c r="DO58" s="12">
        <f>IF('Données projet'!$A$166&gt;35,DO57+DN58-DW57,IF(A58&lt;'Données projet'!$A$166,$DL$205^A58,IF(A58='Données projet'!$A$166,'Données projet'!$B$166,DO57+DN58-DW57)))</f>
        <v>253.00000000000006</v>
      </c>
      <c r="DP58" s="17">
        <f>DO58*VLOOKUP('Données projet'!$B$14,Paramètres!$A$1:$I$89,3,0)*VLOOKUP('Données projet'!$B$14,Paramètres!$A$1:$I$89,5,0)</f>
        <v>165.76560000000003</v>
      </c>
      <c r="DQ58" s="13">
        <f t="shared" si="43"/>
        <v>42.140271125684265</v>
      </c>
      <c r="DR58" s="20">
        <f t="shared" si="16"/>
        <v>362.10272554390014</v>
      </c>
      <c r="DS58" s="57">
        <f t="shared" si="17"/>
        <v>632.32887949434462</v>
      </c>
      <c r="DT58" s="57">
        <f ca="1">AVERAGE(OFFSET($DS$3,0,0,'Données projet'!$E$14+1,1))-AVERAGE(OFFSET($H$3,0,0,'Données projet'!$E$14+1,1))</f>
        <v>313.79279628660527</v>
      </c>
      <c r="DU58" s="57">
        <f t="shared" si="44"/>
        <v>317.45469955216254</v>
      </c>
      <c r="DV58" s="15">
        <f>IF(ISNA(VLOOKUP(A58,'Données projet'!$A$165:$I$185,3,0)),0,VLOOKUP(A58,'Données projet'!$A$165:$I$185,3,0))</f>
        <v>10</v>
      </c>
      <c r="DW58" s="15">
        <f>IF(ISNA(VLOOKUP(A58,'Données projet'!$A$165:$I$185,4,0)),0,VLOOKUP(A58,'Données projet'!$A$165:$I$185,4,0))</f>
        <v>25</v>
      </c>
      <c r="DX58" s="16">
        <f>IF(ISNA(VLOOKUP(A58,'Données projet'!$A$165:$I$185,5,0)),0%,VLOOKUP(A58,'Données projet'!$A$165:$I$185,5,0)*VLOOKUP('Données projet'!$B$14,Paramètres!$A$1:$I$89,7,0))</f>
        <v>0.17200000000000001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12.411864085560588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12.411864085560588</v>
      </c>
      <c r="EE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63.698041986484853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15.75</v>
      </c>
      <c r="EJ58" s="12">
        <f>IF('Données projet'!$A$192&gt;35,EJ57+EI58-ER57,IF(A58&lt;'Données projet'!$A$192,$EG$205^A58,IF(A58='Données projet'!$A$192,'Données projet'!$B$192,EJ57+EI58-ER57)))</f>
        <v>399.00000000000011</v>
      </c>
      <c r="EK58" s="17">
        <f>EJ58*VLOOKUP('Données projet'!$B$15,Paramètres!$A$1:$I$89,3,0)*VLOOKUP('Données projet'!$B$15,Paramètres!$A$1:$I$89,5,0)</f>
        <v>342.34200000000016</v>
      </c>
      <c r="EL58" s="13">
        <f t="shared" si="45"/>
        <v>79.983624963231122</v>
      </c>
      <c r="EM58" s="20">
        <f t="shared" si="19"/>
        <v>735.55046347762789</v>
      </c>
      <c r="EN58" s="57">
        <f t="shared" si="20"/>
        <v>1005.7766174280723</v>
      </c>
      <c r="EO58" s="57">
        <f ca="1">AVERAGE(OFFSET($EN$3,0,0,'Données projet'!$E$15+1,1))-AVERAGE(OFFSET($H$3,0,0,'Données projet'!$E$15+1,1))</f>
        <v>643.04899298561475</v>
      </c>
      <c r="EP58" s="57">
        <f t="shared" si="46"/>
        <v>474.94999304483031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67.75647945679998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67.75647945679998</v>
      </c>
      <c r="EZ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63.698041986484853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279</v>
      </c>
      <c r="FC58" s="12">
        <f>VLOOKUP(A58,'Données projet'!$A$217:$I$237,9,0)</f>
        <v>7.4</v>
      </c>
      <c r="FD58" s="12">
        <f t="array" ref="FD58">INDEX(FC:FC,MIN(IF(ISNUMBER(FC58:FC254),ROW(FC58:FC254),"")))</f>
        <v>7.4</v>
      </c>
      <c r="FE58" s="12">
        <f>IF('Données projet'!$A$218&gt;35,FE57+FD58-FM57,IF(A58&lt;'Données projet'!$A$218,$FB$205^A58,IF(A58='Données projet'!$A$218,'Données projet'!$B$218,FE57+FD58-FM57)))</f>
        <v>278.99999999999994</v>
      </c>
      <c r="FF58" s="17">
        <f>FE58*VLOOKUP('Données projet'!$B$16,Paramètres!$A$1:$I$89,3,0)*VLOOKUP('Données projet'!$B$16,Paramètres!$A$1:$I$89,5,0)</f>
        <v>226.32479999999998</v>
      </c>
      <c r="FG58" s="13">
        <f t="shared" si="47"/>
        <v>55.48727390683667</v>
      </c>
      <c r="FH58" s="20">
        <f t="shared" si="22"/>
        <v>490.82269538774045</v>
      </c>
      <c r="FI58" s="57">
        <f t="shared" si="23"/>
        <v>761.04884933818494</v>
      </c>
      <c r="FJ58" s="57">
        <f ca="1">AVERAGE(OFFSET($FI$3,0,0,'Données projet'!$E$16+1,1))-AVERAGE(OFFSET($H$3,0,0,'Données projet'!$E$16+1,1))</f>
        <v>375.34603719604439</v>
      </c>
      <c r="FK58" s="57">
        <f t="shared" si="48"/>
        <v>363.99476973672211</v>
      </c>
      <c r="FL58" s="15">
        <f>IF(ISNA(VLOOKUP(A58,'Données projet'!$A$217:$I$237,3,0)),0,VLOOKUP(A58,'Données projet'!$A$217:$I$237,3,0))</f>
        <v>10</v>
      </c>
      <c r="FM58" s="15">
        <f>IF(ISNA(VLOOKUP(A58,'Données projet'!$A$217:$I$237,4,0)),0,VLOOKUP(A58,'Données projet'!$A$217:$I$237,4,0))</f>
        <v>16</v>
      </c>
      <c r="FN58" s="16">
        <f>IF(ISNA(VLOOKUP(A58,'Données projet'!$A$217:$I$237,5,0)),0%,VLOOKUP(A58,'Données projet'!$A$217:$I$237,5,0)*VLOOKUP('Données projet'!$B$16,Paramètres!$A$1:$I$89,7,0))</f>
        <v>0.318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31.590188335451717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31.590188335451717</v>
      </c>
      <c r="FU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63.698041986484853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-1.1368683772161603E-13</v>
      </c>
      <c r="GA58" s="17">
        <f>FZ58*VLOOKUP('Données projet'!$B$17,Paramètres!$A$1:$I$89,3,0)*VLOOKUP('Données projet'!$B$17,Paramètres!$A$1:$I$89,5,0)</f>
        <v>-6.3550942286383367E-14</v>
      </c>
      <c r="GB58" s="13" t="e">
        <f t="shared" si="49"/>
        <v>#NUM!</v>
      </c>
      <c r="GC58" s="20" t="e">
        <f t="shared" si="25"/>
        <v>#NUM!</v>
      </c>
      <c r="GD58" s="57" t="e">
        <f t="shared" si="26"/>
        <v>#NUM!</v>
      </c>
      <c r="GE58" s="57">
        <f ca="1">AVERAGE(OFFSET($GD$3,0,0,'Données projet'!$E$17+1,1))-AVERAGE(OFFSET($H$3,0,0,'Données projet'!$E$17+1,1))</f>
        <v>414.47327143450701</v>
      </c>
      <c r="GF58" s="57">
        <f t="shared" si="50"/>
        <v>546.83385887302961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295.25464837148161</v>
      </c>
      <c r="GM58" s="21">
        <f>EXP(-LN(2)/25)*GM57+(1-EXP(-LN(2)/25))/(LN(2)/25)*Calculateur!GH58*Calculateur!GJ58*VLOOKUP('Données projet'!$B$17,Paramètres!$A$1:$I$89,3,0)*0.475*44/12</f>
        <v>61.924730901076735</v>
      </c>
      <c r="GN58" s="21">
        <f>EXP(-LN(2)/2)*GN57+(1-EXP(-LN(2)/2))/(LN(2)/2)*GH58*GK58*VLOOKUP('Données projet'!$B$17,Paramètres!$A$1:$I$89,3,0)*0.475*44/12</f>
        <v>29.378144476078145</v>
      </c>
      <c r="GO58" s="21">
        <f t="shared" si="27"/>
        <v>386.55752374863647</v>
      </c>
      <c r="GP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63.698041986484853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>
        <f>VLOOKUP(A58,'Données projet'!$A$269:$I$289,2,0)</f>
        <v>357</v>
      </c>
      <c r="GS58" s="12">
        <f>VLOOKUP(A58,'Données projet'!$A$269:$I$289,9,0)</f>
        <v>10.6</v>
      </c>
      <c r="GT58" s="12">
        <f t="array" ref="GT58">INDEX(GS:GS,MIN(IF(ISNUMBER(GS58:GS254),ROW(GS58:GS254),"")))</f>
        <v>10.6</v>
      </c>
      <c r="GU58" s="12">
        <f>IF('Données projet'!$A$270&gt;35,GU57+GT58-HC57,IF(A58&lt;'Données projet'!$A$270,$GR$205^A58,IF(A58='Données projet'!$A$270,'Données projet'!$B$270,GU57+GT58-HC57)))</f>
        <v>357.00000000000023</v>
      </c>
      <c r="GV58" s="17">
        <f>GU58*VLOOKUP('Données projet'!$B$18,Paramètres!$A$1:$I$89,3,0)*VLOOKUP('Données projet'!$B$18,Paramètres!$A$1:$I$89,5,0)</f>
        <v>194.92200000000011</v>
      </c>
      <c r="GW58" s="13">
        <f t="shared" si="51"/>
        <v>48.62651212979501</v>
      </c>
      <c r="GX58" s="20">
        <f t="shared" si="28"/>
        <v>424.18032529272642</v>
      </c>
      <c r="GY58" s="57">
        <f t="shared" si="29"/>
        <v>694.40647924317091</v>
      </c>
      <c r="GZ58" s="57">
        <f ca="1">AVERAGE(OFFSET($GY$3,0,0,'Données projet'!$E$18+1,1))-AVERAGE(OFFSET($H$3,0,0,'Données projet'!$E$18+1,1))</f>
        <v>381.00532469288714</v>
      </c>
      <c r="HA58" s="57">
        <f t="shared" si="52"/>
        <v>314.875259641757</v>
      </c>
      <c r="HB58" s="15">
        <f>IF(ISNA(VLOOKUP(A58,'Données projet'!$A$269:$I$289,3,0)),0,VLOOKUP(A58,'Données projet'!$A$269:$I$289,3,0))</f>
        <v>10</v>
      </c>
      <c r="HC58" s="15">
        <f>IF(ISNA(VLOOKUP(A58,'Données projet'!$A$269:$I$289,4,0)),0,VLOOKUP(A58,'Données projet'!$A$269:$I$289,4,0))</f>
        <v>29</v>
      </c>
      <c r="HD58" s="16">
        <f>IF(ISNA(VLOOKUP(A58,'Données projet'!$A$269:$I$289,5,0)),0%,VLOOKUP(A58,'Données projet'!$A$269:$I$289,5,0)*VLOOKUP('Données projet'!$B$18,Paramètres!$A$1:$I$89,7,0))</f>
        <v>0.36</v>
      </c>
      <c r="HE58" s="16">
        <f>IF(ISNA(VLOOKUP(A58,'Données projet'!$A$269:$I$289,6,0)),0%,VLOOKUP(A58,'Données projet'!$A$269:$I$289,6,0)*VLOOKUP('Données projet'!$B$18,Paramètres!$A$1:$I$89,7,0))</f>
        <v>0.13200000000000001</v>
      </c>
      <c r="HF58" s="16">
        <f>IF(ISNA(VLOOKUP(A58,'Données projet'!$A$269:$I$289,7,0)),0%,VLOOKUP(A58,'Données projet'!$A$269:$I$289,7,0))</f>
        <v>0.18</v>
      </c>
      <c r="HG58" s="21">
        <f>EXP(-LN(2)/35)*HG57+(1-EXP(-LN(2)/35))/(LN(2)/35)*HC58*HD58*VLOOKUP('Données projet'!$B$18,Paramètres!$A$1:$I$89,3,0)*0.475*44/12</f>
        <v>43.82643703743058</v>
      </c>
      <c r="HH58" s="21">
        <f>EXP(-LN(2)/25)*HH57+(1-EXP(-LN(2)/25))/(LN(2)/25)*Calculateur!HC58*Calculateur!HE58*VLOOKUP('Données projet'!$B$18,Paramètres!$A$1:$I$89,3,0)*0.475*44/12</f>
        <v>25.490718811642051</v>
      </c>
      <c r="HI58" s="21">
        <f>EXP(-LN(2)/2)*HI57+(1-EXP(-LN(2)/2))/(LN(2)/2)*HC58*HF58*VLOOKUP('Données projet'!$B$18,Paramètres!$A$1:$I$89,3,0)*0.475*44/12</f>
        <v>4.047576603852578</v>
      </c>
      <c r="HJ58" s="22">
        <f t="shared" si="30"/>
        <v>73.36473245292521</v>
      </c>
    </row>
    <row r="59" spans="1:218" x14ac:dyDescent="0.2">
      <c r="A59" s="10">
        <f t="shared" si="31"/>
        <v>56</v>
      </c>
      <c r="B59" s="71">
        <f>'Scénario référence'!$B$16*5+'Scénario référence'!$B$17*0+'Scénario référence'!$B$18*5</f>
        <v>3.3000000000000003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12.100000000000001</v>
      </c>
      <c r="H59" s="65">
        <f t="shared" si="1"/>
        <v>208.26666666666665</v>
      </c>
      <c r="I59" s="6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63.807366868951917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5.4</v>
      </c>
      <c r="N59" s="13">
        <f>IF('Données projet'!$A$36&gt;35,N58+M59-V58,IF(A59&lt;'Données projet'!$A$36,$K$205^A59,IF(A59='Données projet'!$A$36,'Données projet'!$B$36,N58+M59-V58)))</f>
        <v>126.39999999999995</v>
      </c>
      <c r="O59" s="13">
        <f>N59*VLOOKUP('Données projet'!$B$9,Paramètres!$A$1:$I$89,3,0)*VLOOKUP('Données projet'!$B$9,Paramètres!$A$1:$I$89,5,0)</f>
        <v>128.16959999999995</v>
      </c>
      <c r="P59" s="13">
        <f t="shared" si="33"/>
        <v>33.573059214253476</v>
      </c>
      <c r="Q59" s="20">
        <f t="shared" si="53"/>
        <v>281.70179813149139</v>
      </c>
      <c r="R59" s="57">
        <f t="shared" si="0"/>
        <v>552.32880998431506</v>
      </c>
      <c r="S59" s="57">
        <f ca="1">AVERAGE(OFFSET($R$3,0,0,'Données projet'!$E$9+1,1))-AVERAGE(OFFSET($H$3,0,0,'Données projet'!$E$9+1,1))</f>
        <v>332.70145542047612</v>
      </c>
      <c r="T59" s="57">
        <f t="shared" si="34"/>
        <v>172.22433737900428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5.251676183553899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5.251676183553899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63.807366868951917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8.6400000000000059</v>
      </c>
      <c r="AI59" s="13">
        <f>IF('Données projet'!$A$62&gt;35,AI58+AH59-AQ58,IF(A59&lt;'Données projet'!$A$62,$AF$205^A59,IF(A59='Données projet'!$A$62,'Données projet'!$B$62,AI58+AH59-AQ58)))</f>
        <v>172.92000000000002</v>
      </c>
      <c r="AJ59" s="13">
        <f>AI59*VLOOKUP('Données projet'!$B$10,Paramètres!$A$1:$I$89,3,0)*VLOOKUP('Données projet'!$B$10,Paramètres!$A$1:$I$89,5,0)</f>
        <v>156.45801600000001</v>
      </c>
      <c r="AK59" s="13">
        <f t="shared" si="35"/>
        <v>40.042573142690991</v>
      </c>
      <c r="AL59" s="20">
        <f t="shared" si="4"/>
        <v>342.23852609018689</v>
      </c>
      <c r="AM59" s="57">
        <f t="shared" si="5"/>
        <v>612.86553794301062</v>
      </c>
      <c r="AN59" s="57">
        <f ca="1">AVERAGE(OFFSET($AM$3,0,0,'Données projet'!$E$10+1,1))-AVERAGE(OFFSET($H$3,0,0,'Données projet'!$E$10+1,1))</f>
        <v>469.4210143164521</v>
      </c>
      <c r="AO59" s="57">
        <f t="shared" si="36"/>
        <v>308.4508386530556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8.613699702286679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8.613699702286679</v>
      </c>
      <c r="AY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63.807366868951917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6.2</v>
      </c>
      <c r="BD59" s="12">
        <f>IF('Données projet'!$A$88&gt;35,BD58+BC59-BL58,IF(A59&lt;'Données projet'!$A$88,$BA$205^A59,IF(A59='Données projet'!$A$88,'Données projet'!$B$88,BD58+BC59-BL58)))</f>
        <v>269.19999999999993</v>
      </c>
      <c r="BE59" s="13">
        <f>BD59*VLOOKUP('Données projet'!$B$11,Paramètres!$A$1:$I$89,3,0)*VLOOKUP('Données projet'!$B$11,Paramètres!$A$1:$I$89,5,0)</f>
        <v>197.37743999999995</v>
      </c>
      <c r="BF59" s="13">
        <f t="shared" si="37"/>
        <v>49.167366395757924</v>
      </c>
      <c r="BG59" s="20">
        <f t="shared" si="7"/>
        <v>429.39887113927824</v>
      </c>
      <c r="BH59" s="57">
        <f t="shared" si="8"/>
        <v>700.02588299210197</v>
      </c>
      <c r="BI59" s="57">
        <f ca="1">AVERAGE(OFFSET($BH$3,0,0,'Données projet'!$E$11+1,1))-AVERAGE(OFFSET($H$3,0,0,'Données projet'!$E$11+1,1))</f>
        <v>344.32981377462971</v>
      </c>
      <c r="BJ59" s="57">
        <f t="shared" si="38"/>
        <v>334.42512656625763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22.711115103348362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22.711115103348362</v>
      </c>
      <c r="BT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63.807366868951917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8.6</v>
      </c>
      <c r="BY59" s="12">
        <f>IF('Données projet'!$A$114&gt;35,BY58+BX59-CG58,IF(A59&lt;'Données projet'!$A$114,$BV$205^A59,IF(A59='Données projet'!$A$114,'Données projet'!$B$114,BY58+BX59-CG58)))</f>
        <v>249.60000000000008</v>
      </c>
      <c r="BZ59" s="13">
        <f>BY59*VLOOKUP('Données projet'!$B$12,Paramètres!$A$1:$I$89,3,0)*VLOOKUP('Données projet'!$B$12,Paramètres!$A$1:$I$89,5,0)</f>
        <v>237.51936000000009</v>
      </c>
      <c r="CA59" s="13">
        <f t="shared" si="39"/>
        <v>57.905486397207483</v>
      </c>
      <c r="CB59" s="20">
        <f t="shared" si="10"/>
        <v>514.53160747513652</v>
      </c>
      <c r="CC59" s="57">
        <f t="shared" si="11"/>
        <v>785.1586193279602</v>
      </c>
      <c r="CD59" s="57">
        <f ca="1">AVERAGE(OFFSET($CC$3,0,0,'Données projet'!$E$12+1,1))-AVERAGE(OFFSET($H$3,0,0,'Données projet'!$E$12+1,1))</f>
        <v>498.77732039282807</v>
      </c>
      <c r="CE59" s="57">
        <f t="shared" si="40"/>
        <v>384.57317421826531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15.428384522072543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15.428384522072543</v>
      </c>
      <c r="CO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63.807366868951917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8.6400000000000059</v>
      </c>
      <c r="CT59" s="12">
        <f>IF('Données projet'!$A$140&gt;35,CT58+CS59-DB58,IF(A59&lt;'Données projet'!$A$140,$CQ$205^A59,IF(A59='Données projet'!$A$140,'Données projet'!$B$140,CT58+CS59-DB58)))</f>
        <v>172.92000000000002</v>
      </c>
      <c r="CU59" s="17">
        <f>CT59*VLOOKUP('Données projet'!$B$13,Paramètres!$A$1:$I$89,3,0)*VLOOKUP('Données projet'!$B$13,Paramètres!$A$1:$I$89,5,0)</f>
        <v>115.99473600000002</v>
      </c>
      <c r="CV59" s="13">
        <f t="shared" si="41"/>
        <v>30.73899963470376</v>
      </c>
      <c r="CW59" s="20">
        <f t="shared" si="13"/>
        <v>255.56125623044241</v>
      </c>
      <c r="CX59" s="57">
        <f t="shared" si="14"/>
        <v>526.18826808326617</v>
      </c>
      <c r="CY59" s="57">
        <f ca="1">AVERAGE(OFFSET($CX$3,0,0,'Données projet'!$E$13+1,1))-AVERAGE(OFFSET($H$3,0,0,'Données projet'!$E$13+1,1))</f>
        <v>365.99625753737246</v>
      </c>
      <c r="CZ59" s="57">
        <f t="shared" si="42"/>
        <v>242.84814712692287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7.871139383124035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7.871139383124035</v>
      </c>
      <c r="DJ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63.807366868951917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6.4</v>
      </c>
      <c r="DO59" s="12">
        <f>IF('Données projet'!$A$166&gt;35,DO58+DN59-DW58,IF(A59&lt;'Données projet'!$A$166,$DL$205^A59,IF(A59='Données projet'!$A$166,'Données projet'!$B$166,DO58+DN59-DW58)))</f>
        <v>234.40000000000003</v>
      </c>
      <c r="DP59" s="17">
        <f>DO59*VLOOKUP('Données projet'!$B$14,Paramètres!$A$1:$I$89,3,0)*VLOOKUP('Données projet'!$B$14,Paramètres!$A$1:$I$89,5,0)</f>
        <v>153.57888000000003</v>
      </c>
      <c r="DQ59" s="13">
        <f t="shared" si="43"/>
        <v>39.390779474606148</v>
      </c>
      <c r="DR59" s="20">
        <f t="shared" si="16"/>
        <v>336.08882358493906</v>
      </c>
      <c r="DS59" s="57">
        <f t="shared" si="17"/>
        <v>606.71583543776273</v>
      </c>
      <c r="DT59" s="57">
        <f ca="1">AVERAGE(OFFSET($DS$3,0,0,'Données projet'!$E$14+1,1))-AVERAGE(OFFSET($H$3,0,0,'Données projet'!$E$14+1,1))</f>
        <v>313.79279628660527</v>
      </c>
      <c r="DU59" s="57">
        <f t="shared" si="44"/>
        <v>317.45469955216254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12.168475001332313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12.168475001332313</v>
      </c>
      <c r="EE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63.807366868951917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15.75</v>
      </c>
      <c r="EJ59" s="12">
        <f>IF('Données projet'!$A$192&gt;35,EJ58+EI59-ER58,IF(A59&lt;'Données projet'!$A$192,$EG$205^A59,IF(A59='Données projet'!$A$192,'Données projet'!$B$192,EJ58+EI59-ER58)))</f>
        <v>414.75000000000011</v>
      </c>
      <c r="EK59" s="17">
        <f>EJ59*VLOOKUP('Données projet'!$B$15,Paramètres!$A$1:$I$89,3,0)*VLOOKUP('Données projet'!$B$15,Paramètres!$A$1:$I$89,5,0)</f>
        <v>355.85550000000012</v>
      </c>
      <c r="EL59" s="13">
        <f t="shared" si="45"/>
        <v>82.76705276410857</v>
      </c>
      <c r="EM59" s="20">
        <f t="shared" si="19"/>
        <v>763.93427939748926</v>
      </c>
      <c r="EN59" s="57">
        <f t="shared" si="20"/>
        <v>1034.5612912503129</v>
      </c>
      <c r="EO59" s="57">
        <f ca="1">AVERAGE(OFFSET($EN$3,0,0,'Données projet'!$E$15+1,1))-AVERAGE(OFFSET($H$3,0,0,'Données projet'!$E$15+1,1))</f>
        <v>643.04899298561475</v>
      </c>
      <c r="EP59" s="57">
        <f t="shared" si="46"/>
        <v>474.94999304483031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66.427816222023864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66.427816222023864</v>
      </c>
      <c r="EZ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63.807366868951917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6.2</v>
      </c>
      <c r="FE59" s="12">
        <f>IF('Données projet'!$A$218&gt;35,FE58+FD59-FM58,IF(A59&lt;'Données projet'!$A$218,$FB$205^A59,IF(A59='Données projet'!$A$218,'Données projet'!$B$218,FE58+FD59-FM58)))</f>
        <v>269.19999999999993</v>
      </c>
      <c r="FF59" s="17">
        <f>FE59*VLOOKUP('Données projet'!$B$16,Paramètres!$A$1:$I$89,3,0)*VLOOKUP('Données projet'!$B$16,Paramètres!$A$1:$I$89,5,0)</f>
        <v>218.37503999999998</v>
      </c>
      <c r="FG59" s="13">
        <f t="shared" si="47"/>
        <v>53.761556452013281</v>
      </c>
      <c r="FH59" s="20">
        <f t="shared" si="22"/>
        <v>473.97123882058969</v>
      </c>
      <c r="FI59" s="57">
        <f t="shared" si="23"/>
        <v>744.59825067341342</v>
      </c>
      <c r="FJ59" s="57">
        <f ca="1">AVERAGE(OFFSET($FI$3,0,0,'Données projet'!$E$16+1,1))-AVERAGE(OFFSET($H$3,0,0,'Données projet'!$E$16+1,1))</f>
        <v>375.34603719604439</v>
      </c>
      <c r="FK59" s="57">
        <f t="shared" si="48"/>
        <v>363.99476973672211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30.970724010305826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30.970724010305826</v>
      </c>
      <c r="FU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63.807366868951917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-1.1368683772161603E-13</v>
      </c>
      <c r="GA59" s="17">
        <f>FZ59*VLOOKUP('Données projet'!$B$17,Paramètres!$A$1:$I$89,3,0)*VLOOKUP('Données projet'!$B$17,Paramètres!$A$1:$I$89,5,0)</f>
        <v>-6.3550942286383367E-14</v>
      </c>
      <c r="GB59" s="13" t="e">
        <f t="shared" si="49"/>
        <v>#NUM!</v>
      </c>
      <c r="GC59" s="20" t="e">
        <f t="shared" si="25"/>
        <v>#NUM!</v>
      </c>
      <c r="GD59" s="57" t="e">
        <f t="shared" si="26"/>
        <v>#NUM!</v>
      </c>
      <c r="GE59" s="57">
        <f ca="1">AVERAGE(OFFSET($GD$3,0,0,'Données projet'!$E$17+1,1))-AVERAGE(OFFSET($H$3,0,0,'Données projet'!$E$17+1,1))</f>
        <v>414.47327143450701</v>
      </c>
      <c r="GF59" s="57">
        <f t="shared" si="50"/>
        <v>546.83385887302961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289.46488480447022</v>
      </c>
      <c r="GM59" s="21">
        <f>EXP(-LN(2)/25)*GM58+(1-EXP(-LN(2)/25))/(LN(2)/25)*Calculateur!GH59*Calculateur!GJ59*VLOOKUP('Données projet'!$B$17,Paramètres!$A$1:$I$89,3,0)*0.475*44/12</f>
        <v>60.231395878106724</v>
      </c>
      <c r="GN59" s="21">
        <f>EXP(-LN(2)/2)*GN58+(1-EXP(-LN(2)/2))/(LN(2)/2)*GH59*GK59*VLOOKUP('Données projet'!$B$17,Paramètres!$A$1:$I$89,3,0)*0.475*44/12</f>
        <v>20.773485177712971</v>
      </c>
      <c r="GO59" s="21">
        <f t="shared" si="27"/>
        <v>370.4697658602899</v>
      </c>
      <c r="GP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63.807366868951917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9.4</v>
      </c>
      <c r="GU59" s="12">
        <f>IF('Données projet'!$A$270&gt;35,GU58+GT59-HC58,IF(A59&lt;'Données projet'!$A$270,$GR$205^A59,IF(A59='Données projet'!$A$270,'Données projet'!$B$270,GU58+GT59-HC58)))</f>
        <v>337.4000000000002</v>
      </c>
      <c r="GV59" s="17">
        <f>GU59*VLOOKUP('Données projet'!$B$18,Paramètres!$A$1:$I$89,3,0)*VLOOKUP('Données projet'!$B$18,Paramètres!$A$1:$I$89,5,0)</f>
        <v>184.22040000000013</v>
      </c>
      <c r="GW59" s="13">
        <f t="shared" si="51"/>
        <v>46.259877150586824</v>
      </c>
      <c r="GX59" s="20">
        <f t="shared" si="28"/>
        <v>401.41981603727226</v>
      </c>
      <c r="GY59" s="57">
        <f t="shared" si="29"/>
        <v>672.04682789009598</v>
      </c>
      <c r="GZ59" s="57">
        <f ca="1">AVERAGE(OFFSET($GY$3,0,0,'Données projet'!$E$18+1,1))-AVERAGE(OFFSET($H$3,0,0,'Données projet'!$E$18+1,1))</f>
        <v>381.00532469288714</v>
      </c>
      <c r="HA59" s="57">
        <f t="shared" si="52"/>
        <v>314.875259641757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>
        <f>EXP(-LN(2)/35)*HG58+(1-EXP(-LN(2)/35))/(LN(2)/35)*HC59*HD59*VLOOKUP('Données projet'!$B$18,Paramètres!$A$1:$I$89,3,0)*0.475*44/12</f>
        <v>42.967027338613647</v>
      </c>
      <c r="HH59" s="21">
        <f>EXP(-LN(2)/25)*HH58+(1-EXP(-LN(2)/25))/(LN(2)/25)*Calculateur!HC59*Calculateur!HE59*VLOOKUP('Données projet'!$B$18,Paramètres!$A$1:$I$89,3,0)*0.475*44/12</f>
        <v>24.793673765239056</v>
      </c>
      <c r="HI59" s="21">
        <f>EXP(-LN(2)/2)*HI58+(1-EXP(-LN(2)/2))/(LN(2)/2)*HC59*HF59*VLOOKUP('Données projet'!$B$18,Paramètres!$A$1:$I$89,3,0)*0.475*44/12</f>
        <v>2.8620688639561744</v>
      </c>
      <c r="HJ59" s="22">
        <f t="shared" si="30"/>
        <v>70.622769967808878</v>
      </c>
    </row>
    <row r="60" spans="1:218" x14ac:dyDescent="0.2">
      <c r="A60" s="10">
        <f t="shared" si="31"/>
        <v>57</v>
      </c>
      <c r="B60" s="71">
        <f>'Scénario référence'!$B$16*5+'Scénario référence'!$B$17*0+'Scénario référence'!$B$18*5</f>
        <v>3.3000000000000003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12.100000000000001</v>
      </c>
      <c r="H60" s="65">
        <f t="shared" si="1"/>
        <v>208.26666666666665</v>
      </c>
      <c r="I60" s="6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63.914795209121991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5.4</v>
      </c>
      <c r="N60" s="13">
        <f>IF('Données projet'!$A$36&gt;35,N59+M60-V59,IF(A60&lt;'Données projet'!$A$36,$K$205^A60,IF(A60='Données projet'!$A$36,'Données projet'!$B$36,N59+M60-V59)))</f>
        <v>131.79999999999995</v>
      </c>
      <c r="O60" s="13">
        <f>N60*VLOOKUP('Données projet'!$B$9,Paramètres!$A$1:$I$89,3,0)*VLOOKUP('Données projet'!$B$9,Paramètres!$A$1:$I$89,5,0)</f>
        <v>133.64519999999996</v>
      </c>
      <c r="P60" s="13">
        <f t="shared" si="33"/>
        <v>34.837297589797373</v>
      </c>
      <c r="Q60" s="20">
        <f t="shared" si="53"/>
        <v>293.44034996889701</v>
      </c>
      <c r="R60" s="57">
        <f t="shared" si="0"/>
        <v>564.46126573567767</v>
      </c>
      <c r="S60" s="57">
        <f ca="1">AVERAGE(OFFSET($R$3,0,0,'Données projet'!$E$9+1,1))-AVERAGE(OFFSET($H$3,0,0,'Données projet'!$E$9+1,1))</f>
        <v>332.70145542047612</v>
      </c>
      <c r="T60" s="57">
        <f t="shared" si="34"/>
        <v>172.22433737900428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5.1486940168005884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5.1486940168005884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63.914795209121991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>
        <f>VLOOKUP(A60,'Données projet'!$A$61:$I$81,2,0)</f>
        <v>181.56</v>
      </c>
      <c r="AG60" s="12">
        <f>VLOOKUP(A60,'Données projet'!$A$61:$I$81,9,0)</f>
        <v>8.6400000000000059</v>
      </c>
      <c r="AH60" s="12">
        <f t="array" ref="AH60">INDEX(AG:AG,MIN(IF(ISNUMBER(AG60:AG256),ROW(AG60:AG256),"")))</f>
        <v>8.6400000000000059</v>
      </c>
      <c r="AI60" s="13">
        <f>IF('Données projet'!$A$62&gt;35,AI59+AH60-AQ59,IF(A60&lt;'Données projet'!$A$62,$AF$205^A60,IF(A60='Données projet'!$A$62,'Données projet'!$B$62,AI59+AH60-AQ59)))</f>
        <v>181.56000000000003</v>
      </c>
      <c r="AJ60" s="13">
        <f>AI60*VLOOKUP('Données projet'!$B$10,Paramètres!$A$1:$I$89,3,0)*VLOOKUP('Données projet'!$B$10,Paramètres!$A$1:$I$89,5,0)</f>
        <v>164.27548800000002</v>
      </c>
      <c r="AK60" s="13">
        <f t="shared" si="35"/>
        <v>41.80537860289941</v>
      </c>
      <c r="AL60" s="20">
        <f t="shared" si="4"/>
        <v>358.92417600004984</v>
      </c>
      <c r="AM60" s="57">
        <f t="shared" si="5"/>
        <v>629.9450917668305</v>
      </c>
      <c r="AN60" s="57">
        <f ca="1">AVERAGE(OFFSET($AM$3,0,0,'Données projet'!$E$10+1,1))-AVERAGE(OFFSET($H$3,0,0,'Données projet'!$E$10+1,1))</f>
        <v>469.4210143164521</v>
      </c>
      <c r="AO60" s="57">
        <f t="shared" si="36"/>
        <v>308.4508386530556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8.4447903049628827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8.4447903049628827</v>
      </c>
      <c r="AY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63.914795209121991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6.2</v>
      </c>
      <c r="BD60" s="12">
        <f>IF('Données projet'!$A$88&gt;35,BD59+BC60-BL59,IF(A60&lt;'Données projet'!$A$88,$BA$205^A60,IF(A60='Données projet'!$A$88,'Données projet'!$B$88,BD59+BC60-BL59)))</f>
        <v>275.39999999999992</v>
      </c>
      <c r="BE60" s="13">
        <f>BD60*VLOOKUP('Données projet'!$B$11,Paramètres!$A$1:$I$89,3,0)*VLOOKUP('Données projet'!$B$11,Paramètres!$A$1:$I$89,5,0)</f>
        <v>201.92327999999995</v>
      </c>
      <c r="BF60" s="13">
        <f t="shared" si="37"/>
        <v>50.166610737265309</v>
      </c>
      <c r="BG60" s="20">
        <f t="shared" si="7"/>
        <v>439.05655970073695</v>
      </c>
      <c r="BH60" s="57">
        <f t="shared" si="8"/>
        <v>710.07747546751762</v>
      </c>
      <c r="BI60" s="57">
        <f ca="1">AVERAGE(OFFSET($BH$3,0,0,'Données projet'!$E$11+1,1))-AVERAGE(OFFSET($H$3,0,0,'Données projet'!$E$11+1,1))</f>
        <v>344.32981377462971</v>
      </c>
      <c r="BJ60" s="57">
        <f t="shared" si="38"/>
        <v>334.42512656625763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22.265763988584101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22.265763988584101</v>
      </c>
      <c r="BT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63.914795209121991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8.6</v>
      </c>
      <c r="BY60" s="12">
        <f>IF('Données projet'!$A$114&gt;35,BY59+BX60-CG59,IF(A60&lt;'Données projet'!$A$114,$BV$205^A60,IF(A60='Données projet'!$A$114,'Données projet'!$B$114,BY59+BX60-CG59)))</f>
        <v>258.2000000000001</v>
      </c>
      <c r="BZ60" s="13">
        <f>BY60*VLOOKUP('Données projet'!$B$12,Paramètres!$A$1:$I$89,3,0)*VLOOKUP('Données projet'!$B$12,Paramètres!$A$1:$I$89,5,0)</f>
        <v>245.7031200000001</v>
      </c>
      <c r="CA60" s="13">
        <f t="shared" si="39"/>
        <v>59.664902329356607</v>
      </c>
      <c r="CB60" s="20">
        <f t="shared" si="10"/>
        <v>531.84930555696292</v>
      </c>
      <c r="CC60" s="57">
        <f t="shared" si="11"/>
        <v>802.87022132374364</v>
      </c>
      <c r="CD60" s="57">
        <f ca="1">AVERAGE(OFFSET($CC$3,0,0,'Données projet'!$E$12+1,1))-AVERAGE(OFFSET($H$3,0,0,'Données projet'!$E$12+1,1))</f>
        <v>498.77732039282807</v>
      </c>
      <c r="CE60" s="57">
        <f t="shared" si="40"/>
        <v>384.57317421826531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15.125843311980061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15.125843311980061</v>
      </c>
      <c r="CO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63.914795209121991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>
        <f>VLOOKUP(A60,'Données projet'!$A$139:$I$159,2,0)</f>
        <v>181.56</v>
      </c>
      <c r="CR60" s="12">
        <f>VLOOKUP(A60,'Données projet'!$A$139:$I$159,9,0)</f>
        <v>8.6400000000000059</v>
      </c>
      <c r="CS60" s="12">
        <f t="array" ref="CS60">INDEX(CR:CR,MIN(IF(ISNUMBER(CR60:CR256),ROW(CR60:CR256),"")))</f>
        <v>8.6400000000000059</v>
      </c>
      <c r="CT60" s="12">
        <f>IF('Données projet'!$A$140&gt;35,CT59+CS60-DB59,IF(A60&lt;'Données projet'!$A$140,$CQ$205^A60,IF(A60='Données projet'!$A$140,'Données projet'!$B$140,CT59+CS60-DB59)))</f>
        <v>181.56000000000003</v>
      </c>
      <c r="CU60" s="17">
        <f>CT60*VLOOKUP('Données projet'!$B$13,Paramètres!$A$1:$I$89,3,0)*VLOOKUP('Données projet'!$B$13,Paramètres!$A$1:$I$89,5,0)</f>
        <v>121.79044800000001</v>
      </c>
      <c r="CV60" s="13">
        <f t="shared" si="41"/>
        <v>32.092231261560194</v>
      </c>
      <c r="CW60" s="20">
        <f t="shared" si="13"/>
        <v>268.01233304721734</v>
      </c>
      <c r="CX60" s="57">
        <f t="shared" si="14"/>
        <v>539.03324881399794</v>
      </c>
      <c r="CY60" s="57">
        <f ca="1">AVERAGE(OFFSET($CX$3,0,0,'Données projet'!$E$13+1,1))-AVERAGE(OFFSET($H$3,0,0,'Données projet'!$E$13+1,1))</f>
        <v>365.99625753737246</v>
      </c>
      <c r="CZ60" s="57">
        <f t="shared" si="42"/>
        <v>242.84814712692287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7.7167911407419449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7.7167911407419449</v>
      </c>
      <c r="DJ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63.914795209121991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6.4</v>
      </c>
      <c r="DO60" s="12">
        <f>IF('Données projet'!$A$166&gt;35,DO59+DN60-DW59,IF(A60&lt;'Données projet'!$A$166,$DL$205^A60,IF(A60='Données projet'!$A$166,'Données projet'!$B$166,DO59+DN60-DW59)))</f>
        <v>240.80000000000004</v>
      </c>
      <c r="DP60" s="17">
        <f>DO60*VLOOKUP('Données projet'!$B$14,Paramètres!$A$1:$I$89,3,0)*VLOOKUP('Données projet'!$B$14,Paramètres!$A$1:$I$89,5,0)</f>
        <v>157.77216000000001</v>
      </c>
      <c r="DQ60" s="13">
        <f t="shared" si="43"/>
        <v>40.339610539653599</v>
      </c>
      <c r="DR60" s="20">
        <f t="shared" si="16"/>
        <v>345.04466702323003</v>
      </c>
      <c r="DS60" s="57">
        <f t="shared" si="17"/>
        <v>616.06558279001069</v>
      </c>
      <c r="DT60" s="57">
        <f ca="1">AVERAGE(OFFSET($DS$3,0,0,'Données projet'!$E$14+1,1))-AVERAGE(OFFSET($H$3,0,0,'Données projet'!$E$14+1,1))</f>
        <v>313.79279628660527</v>
      </c>
      <c r="DU60" s="57">
        <f t="shared" si="44"/>
        <v>317.45469955216254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11.929858628593072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11.929858628593072</v>
      </c>
      <c r="EE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63.914795209121991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15.75</v>
      </c>
      <c r="EJ60" s="12">
        <f>IF('Données projet'!$A$192&gt;35,EJ59+EI60-ER59,IF(A60&lt;'Données projet'!$A$192,$EG$205^A60,IF(A60='Données projet'!$A$192,'Données projet'!$B$192,EJ59+EI60-ER59)))</f>
        <v>430.50000000000011</v>
      </c>
      <c r="EK60" s="17">
        <f>EJ60*VLOOKUP('Données projet'!$B$15,Paramètres!$A$1:$I$89,3,0)*VLOOKUP('Données projet'!$B$15,Paramètres!$A$1:$I$89,5,0)</f>
        <v>369.36900000000014</v>
      </c>
      <c r="EL60" s="13">
        <f t="shared" si="45"/>
        <v>85.538201144343986</v>
      </c>
      <c r="EM60" s="20">
        <f t="shared" si="19"/>
        <v>792.29670865973264</v>
      </c>
      <c r="EN60" s="57">
        <f t="shared" si="20"/>
        <v>1063.3176244265132</v>
      </c>
      <c r="EO60" s="57">
        <f ca="1">AVERAGE(OFFSET($EN$3,0,0,'Données projet'!$E$15+1,1))-AVERAGE(OFFSET($H$3,0,0,'Données projet'!$E$15+1,1))</f>
        <v>643.04899298561475</v>
      </c>
      <c r="EP60" s="57">
        <f t="shared" si="46"/>
        <v>474.94999304483031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65.125207262877154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65.125207262877154</v>
      </c>
      <c r="EZ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63.914795209121991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6.2</v>
      </c>
      <c r="FE60" s="12">
        <f>IF('Données projet'!$A$218&gt;35,FE59+FD60-FM59,IF(A60&lt;'Données projet'!$A$218,$FB$205^A60,IF(A60='Données projet'!$A$218,'Données projet'!$B$218,FE59+FD60-FM59)))</f>
        <v>275.39999999999992</v>
      </c>
      <c r="FF60" s="17">
        <f>FE60*VLOOKUP('Données projet'!$B$16,Paramètres!$A$1:$I$89,3,0)*VLOOKUP('Données projet'!$B$16,Paramètres!$A$1:$I$89,5,0)</f>
        <v>223.40447999999995</v>
      </c>
      <c r="FG60" s="13">
        <f t="shared" si="47"/>
        <v>54.854170008795911</v>
      </c>
      <c r="FH60" s="20">
        <f t="shared" si="22"/>
        <v>484.63381543198619</v>
      </c>
      <c r="FI60" s="57">
        <f t="shared" si="23"/>
        <v>755.65473119876685</v>
      </c>
      <c r="FJ60" s="57">
        <f ca="1">AVERAGE(OFFSET($FI$3,0,0,'Données projet'!$E$16+1,1))-AVERAGE(OFFSET($H$3,0,0,'Données projet'!$E$16+1,1))</f>
        <v>375.34603719604439</v>
      </c>
      <c r="FK60" s="57">
        <f t="shared" si="48"/>
        <v>363.99476973672211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30.363407002740114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30.363407002740114</v>
      </c>
      <c r="FU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63.914795209121991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-1.1368683772161603E-13</v>
      </c>
      <c r="GA60" s="17">
        <f>FZ60*VLOOKUP('Données projet'!$B$17,Paramètres!$A$1:$I$89,3,0)*VLOOKUP('Données projet'!$B$17,Paramètres!$A$1:$I$89,5,0)</f>
        <v>-6.3550942286383367E-14</v>
      </c>
      <c r="GB60" s="13" t="e">
        <f t="shared" si="49"/>
        <v>#NUM!</v>
      </c>
      <c r="GC60" s="20" t="e">
        <f t="shared" si="25"/>
        <v>#NUM!</v>
      </c>
      <c r="GD60" s="57" t="e">
        <f t="shared" si="26"/>
        <v>#NUM!</v>
      </c>
      <c r="GE60" s="57">
        <f ca="1">AVERAGE(OFFSET($GD$3,0,0,'Données projet'!$E$17+1,1))-AVERAGE(OFFSET($H$3,0,0,'Données projet'!$E$17+1,1))</f>
        <v>414.47327143450701</v>
      </c>
      <c r="GF60" s="57">
        <f t="shared" si="50"/>
        <v>546.83385887302961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283.78865496960083</v>
      </c>
      <c r="GM60" s="21">
        <f>EXP(-LN(2)/25)*GM59+(1-EXP(-LN(2)/25))/(LN(2)/25)*Calculateur!GH60*Calculateur!GJ60*VLOOKUP('Données projet'!$B$17,Paramètres!$A$1:$I$89,3,0)*0.475*44/12</f>
        <v>58.584365190388446</v>
      </c>
      <c r="GN60" s="21">
        <f>EXP(-LN(2)/2)*GN59+(1-EXP(-LN(2)/2))/(LN(2)/2)*GH60*GK60*VLOOKUP('Données projet'!$B$17,Paramètres!$A$1:$I$89,3,0)*0.475*44/12</f>
        <v>14.689072238039074</v>
      </c>
      <c r="GO60" s="21">
        <f t="shared" si="27"/>
        <v>357.06209239802831</v>
      </c>
      <c r="GP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63.914795209121991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9.4</v>
      </c>
      <c r="GU60" s="12">
        <f>IF('Données projet'!$A$270&gt;35,GU59+GT60-HC59,IF(A60&lt;'Données projet'!$A$270,$GR$205^A60,IF(A60='Données projet'!$A$270,'Données projet'!$B$270,GU59+GT60-HC59)))</f>
        <v>346.80000000000018</v>
      </c>
      <c r="GV60" s="17">
        <f>GU60*VLOOKUP('Données projet'!$B$18,Paramètres!$A$1:$I$89,3,0)*VLOOKUP('Données projet'!$B$18,Paramètres!$A$1:$I$89,5,0)</f>
        <v>189.35280000000009</v>
      </c>
      <c r="GW60" s="13">
        <f t="shared" si="51"/>
        <v>47.396837717691639</v>
      </c>
      <c r="GX60" s="20">
        <f t="shared" si="28"/>
        <v>412.33895235831307</v>
      </c>
      <c r="GY60" s="57">
        <f t="shared" si="29"/>
        <v>683.35986812509373</v>
      </c>
      <c r="GZ60" s="57">
        <f ca="1">AVERAGE(OFFSET($GY$3,0,0,'Données projet'!$E$18+1,1))-AVERAGE(OFFSET($H$3,0,0,'Données projet'!$E$18+1,1))</f>
        <v>381.00532469288714</v>
      </c>
      <c r="HA60" s="57">
        <f t="shared" si="52"/>
        <v>314.875259641757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>
        <f>EXP(-LN(2)/35)*HG59+(1-EXP(-LN(2)/35))/(LN(2)/35)*HC60*HD60*VLOOKUP('Données projet'!$B$18,Paramètres!$A$1:$I$89,3,0)*0.475*44/12</f>
        <v>42.124470139802355</v>
      </c>
      <c r="HH60" s="21">
        <f>EXP(-LN(2)/25)*HH59+(1-EXP(-LN(2)/25))/(LN(2)/25)*Calculateur!HC60*Calculateur!HE60*VLOOKUP('Données projet'!$B$18,Paramètres!$A$1:$I$89,3,0)*0.475*44/12</f>
        <v>24.115689452285956</v>
      </c>
      <c r="HI60" s="21">
        <f>EXP(-LN(2)/2)*HI59+(1-EXP(-LN(2)/2))/(LN(2)/2)*HC60*HF60*VLOOKUP('Données projet'!$B$18,Paramètres!$A$1:$I$89,3,0)*0.475*44/12</f>
        <v>2.0237883019262894</v>
      </c>
      <c r="HJ60" s="22">
        <f t="shared" si="30"/>
        <v>68.263947894014592</v>
      </c>
    </row>
    <row r="61" spans="1:218" x14ac:dyDescent="0.2">
      <c r="A61" s="10">
        <f t="shared" si="31"/>
        <v>58</v>
      </c>
      <c r="B61" s="71">
        <f>'Scénario référence'!$B$16*5+'Scénario référence'!$B$17*0+'Scénario référence'!$B$18*5</f>
        <v>3.3000000000000003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12.100000000000001</v>
      </c>
      <c r="H61" s="65">
        <f t="shared" si="1"/>
        <v>208.26666666666665</v>
      </c>
      <c r="I61" s="6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64.020359907763918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5.4</v>
      </c>
      <c r="N61" s="13">
        <f>IF('Données projet'!$A$36&gt;35,N60+M61-V60,IF(A61&lt;'Données projet'!$A$36,$K$205^A61,IF(A61='Données projet'!$A$36,'Données projet'!$B$36,N60+M61-V60)))</f>
        <v>137.19999999999996</v>
      </c>
      <c r="O61" s="13">
        <f>N61*VLOOKUP('Données projet'!$B$9,Paramètres!$A$1:$I$89,3,0)*VLOOKUP('Données projet'!$B$9,Paramètres!$A$1:$I$89,5,0)</f>
        <v>139.12079999999997</v>
      </c>
      <c r="P61" s="13">
        <f t="shared" si="33"/>
        <v>36.095519333110218</v>
      </c>
      <c r="Q61" s="20">
        <f t="shared" si="53"/>
        <v>305.16842283850025</v>
      </c>
      <c r="R61" s="57">
        <f t="shared" si="0"/>
        <v>576.57640916696801</v>
      </c>
      <c r="S61" s="57">
        <f ca="1">AVERAGE(OFFSET($R$3,0,0,'Données projet'!$E$9+1,1))-AVERAGE(OFFSET($H$3,0,0,'Données projet'!$E$9+1,1))</f>
        <v>332.70145542047612</v>
      </c>
      <c r="T61" s="57">
        <f t="shared" si="34"/>
        <v>172.22433737900428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5.0477312675243908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5.0477312675243908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64.020359907763918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8.8149999999999977</v>
      </c>
      <c r="AI61" s="13">
        <f>IF('Données projet'!$A$62&gt;35,AI60+AH61-AQ60,IF(A61&lt;'Données projet'!$A$62,$AF$205^A61,IF(A61='Données projet'!$A$62,'Données projet'!$B$62,AI60+AH61-AQ60)))</f>
        <v>190.37500000000003</v>
      </c>
      <c r="AJ61" s="13">
        <f>AI61*VLOOKUP('Données projet'!$B$10,Paramètres!$A$1:$I$89,3,0)*VLOOKUP('Données projet'!$B$10,Paramètres!$A$1:$I$89,5,0)</f>
        <v>172.25130000000001</v>
      </c>
      <c r="AK61" s="13">
        <f t="shared" si="35"/>
        <v>43.593853176958397</v>
      </c>
      <c r="AL61" s="20">
        <f t="shared" si="4"/>
        <v>375.93030844986924</v>
      </c>
      <c r="AM61" s="57">
        <f t="shared" si="5"/>
        <v>647.33829477833694</v>
      </c>
      <c r="AN61" s="57">
        <f ca="1">AVERAGE(OFFSET($AM$3,0,0,'Données projet'!$E$10+1,1))-AVERAGE(OFFSET($H$3,0,0,'Données projet'!$E$10+1,1))</f>
        <v>469.4210143164521</v>
      </c>
      <c r="AO61" s="57">
        <f t="shared" si="36"/>
        <v>308.4508386530556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8.2791931178960461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8.2791931178960461</v>
      </c>
      <c r="AY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64.020359907763918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6.2</v>
      </c>
      <c r="BD61" s="12">
        <f>IF('Données projet'!$A$88&gt;35,BD60+BC61-BL60,IF(A61&lt;'Données projet'!$A$88,$BA$205^A61,IF(A61='Données projet'!$A$88,'Données projet'!$B$88,BD60+BC61-BL60)))</f>
        <v>281.59999999999991</v>
      </c>
      <c r="BE61" s="13">
        <f>BD61*VLOOKUP('Données projet'!$B$11,Paramètres!$A$1:$I$89,3,0)*VLOOKUP('Données projet'!$B$11,Paramètres!$A$1:$I$89,5,0)</f>
        <v>206.46911999999992</v>
      </c>
      <c r="BF61" s="13">
        <f t="shared" si="37"/>
        <v>51.163239774028327</v>
      </c>
      <c r="BG61" s="20">
        <f t="shared" si="7"/>
        <v>448.70969327309916</v>
      </c>
      <c r="BH61" s="57">
        <f t="shared" si="8"/>
        <v>720.11767960156681</v>
      </c>
      <c r="BI61" s="57">
        <f ca="1">AVERAGE(OFFSET($BH$3,0,0,'Données projet'!$E$11+1,1))-AVERAGE(OFFSET($H$3,0,0,'Données projet'!$E$11+1,1))</f>
        <v>344.32981377462971</v>
      </c>
      <c r="BJ61" s="57">
        <f t="shared" si="38"/>
        <v>334.42512656625763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21.829145937543011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21.829145937543011</v>
      </c>
      <c r="BT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64.020359907763918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8.6</v>
      </c>
      <c r="BY61" s="12">
        <f>IF('Données projet'!$A$114&gt;35,BY60+BX61-CG60,IF(A61&lt;'Données projet'!$A$114,$BV$205^A61,IF(A61='Données projet'!$A$114,'Données projet'!$B$114,BY60+BX61-CG60)))</f>
        <v>266.80000000000013</v>
      </c>
      <c r="BZ61" s="13">
        <f>BY61*VLOOKUP('Données projet'!$B$12,Paramètres!$A$1:$I$89,3,0)*VLOOKUP('Données projet'!$B$12,Paramètres!$A$1:$I$89,5,0)</f>
        <v>253.88688000000013</v>
      </c>
      <c r="CA61" s="13">
        <f t="shared" si="39"/>
        <v>61.417508891277024</v>
      </c>
      <c r="CB61" s="20">
        <f t="shared" si="10"/>
        <v>549.15514398564108</v>
      </c>
      <c r="CC61" s="57">
        <f t="shared" si="11"/>
        <v>820.56313031410878</v>
      </c>
      <c r="CD61" s="57">
        <f ca="1">AVERAGE(OFFSET($CC$3,0,0,'Données projet'!$E$12+1,1))-AVERAGE(OFFSET($H$3,0,0,'Données projet'!$E$12+1,1))</f>
        <v>498.77732039282807</v>
      </c>
      <c r="CE61" s="57">
        <f t="shared" si="40"/>
        <v>384.57317421826531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14.829234750485575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14.829234750485575</v>
      </c>
      <c r="CO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64.020359907763918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8.8149999999999977</v>
      </c>
      <c r="CT61" s="12">
        <f>IF('Données projet'!$A$140&gt;35,CT60+CS61-DB60,IF(A61&lt;'Données projet'!$A$140,$CQ$205^A61,IF(A61='Données projet'!$A$140,'Données projet'!$B$140,CT60+CS61-DB60)))</f>
        <v>190.37500000000003</v>
      </c>
      <c r="CU61" s="17">
        <f>CT61*VLOOKUP('Données projet'!$B$13,Paramètres!$A$1:$I$89,3,0)*VLOOKUP('Données projet'!$B$13,Paramètres!$A$1:$I$89,5,0)</f>
        <v>127.70355000000002</v>
      </c>
      <c r="CV61" s="13">
        <f t="shared" si="41"/>
        <v>33.465167987748359</v>
      </c>
      <c r="CW61" s="20">
        <f t="shared" si="13"/>
        <v>280.7021838286617</v>
      </c>
      <c r="CX61" s="57">
        <f t="shared" si="14"/>
        <v>552.11017015712946</v>
      </c>
      <c r="CY61" s="57">
        <f ca="1">AVERAGE(OFFSET($CX$3,0,0,'Données projet'!$E$13+1,1))-AVERAGE(OFFSET($H$3,0,0,'Données projet'!$E$13+1,1))</f>
        <v>365.99625753737246</v>
      </c>
      <c r="CZ61" s="57">
        <f t="shared" si="42"/>
        <v>242.84814712692287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7.5654695732498354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7.5654695732498354</v>
      </c>
      <c r="DJ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64.020359907763918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6.4</v>
      </c>
      <c r="DO61" s="12">
        <f>IF('Données projet'!$A$166&gt;35,DO60+DN61-DW60,IF(A61&lt;'Données projet'!$A$166,$DL$205^A61,IF(A61='Données projet'!$A$166,'Données projet'!$B$166,DO60+DN61-DW60)))</f>
        <v>247.20000000000005</v>
      </c>
      <c r="DP61" s="17">
        <f>DO61*VLOOKUP('Données projet'!$B$14,Paramètres!$A$1:$I$89,3,0)*VLOOKUP('Données projet'!$B$14,Paramètres!$A$1:$I$89,5,0)</f>
        <v>161.96544000000003</v>
      </c>
      <c r="DQ61" s="13">
        <f t="shared" si="43"/>
        <v>41.285510388923619</v>
      </c>
      <c r="DR61" s="20">
        <f t="shared" si="16"/>
        <v>353.99540526070876</v>
      </c>
      <c r="DS61" s="57">
        <f t="shared" si="17"/>
        <v>625.40339158917641</v>
      </c>
      <c r="DT61" s="57">
        <f ca="1">AVERAGE(OFFSET($DS$3,0,0,'Données projet'!$E$14+1,1))-AVERAGE(OFFSET($H$3,0,0,'Données projet'!$E$14+1,1))</f>
        <v>313.79279628660527</v>
      </c>
      <c r="DU61" s="57">
        <f t="shared" si="44"/>
        <v>317.45469955216254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11.695921377381632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11.695921377381632</v>
      </c>
      <c r="EE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64.020359907763918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15.75</v>
      </c>
      <c r="EJ61" s="12">
        <f>IF('Données projet'!$A$192&gt;35,EJ60+EI61-ER60,IF(A61&lt;'Données projet'!$A$192,$EG$205^A61,IF(A61='Données projet'!$A$192,'Données projet'!$B$192,EJ60+EI61-ER60)))</f>
        <v>446.25000000000011</v>
      </c>
      <c r="EK61" s="17">
        <f>EJ61*VLOOKUP('Données projet'!$B$15,Paramètres!$A$1:$I$89,3,0)*VLOOKUP('Données projet'!$B$15,Paramètres!$A$1:$I$89,5,0)</f>
        <v>382.88250000000016</v>
      </c>
      <c r="EL61" s="13">
        <f t="shared" si="45"/>
        <v>88.297570804235008</v>
      </c>
      <c r="EM61" s="20">
        <f t="shared" si="19"/>
        <v>820.63862331737619</v>
      </c>
      <c r="EN61" s="57">
        <f t="shared" si="20"/>
        <v>1092.046609645844</v>
      </c>
      <c r="EO61" s="57">
        <f ca="1">AVERAGE(OFFSET($EN$3,0,0,'Données projet'!$E$15+1,1))-AVERAGE(OFFSET($H$3,0,0,'Données projet'!$E$15+1,1))</f>
        <v>643.04899298561475</v>
      </c>
      <c r="EP61" s="57">
        <f t="shared" si="46"/>
        <v>474.94999304483031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63.848141670906294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63.848141670906294</v>
      </c>
      <c r="EZ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64.020359907763918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6.2</v>
      </c>
      <c r="FE61" s="12">
        <f>IF('Données projet'!$A$218&gt;35,FE60+FD61-FM60,IF(A61&lt;'Données projet'!$A$218,$FB$205^A61,IF(A61='Données projet'!$A$218,'Données projet'!$B$218,FE60+FD61-FM60)))</f>
        <v>281.59999999999991</v>
      </c>
      <c r="FF61" s="17">
        <f>FE61*VLOOKUP('Données projet'!$B$16,Paramètres!$A$1:$I$89,3,0)*VLOOKUP('Données projet'!$B$16,Paramètres!$A$1:$I$89,5,0)</f>
        <v>228.43391999999994</v>
      </c>
      <c r="FG61" s="13">
        <f t="shared" si="47"/>
        <v>55.943923887219448</v>
      </c>
      <c r="FH61" s="20">
        <f t="shared" si="22"/>
        <v>495.29141143690708</v>
      </c>
      <c r="FI61" s="57">
        <f t="shared" si="23"/>
        <v>766.69939776537478</v>
      </c>
      <c r="FJ61" s="57">
        <f ca="1">AVERAGE(OFFSET($FI$3,0,0,'Données projet'!$E$16+1,1))-AVERAGE(OFFSET($H$3,0,0,'Données projet'!$E$16+1,1))</f>
        <v>375.34603719604439</v>
      </c>
      <c r="FK61" s="57">
        <f t="shared" si="48"/>
        <v>363.99476973672211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29.767999111265969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29.767999111265969</v>
      </c>
      <c r="FU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64.020359907763918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-1.1368683772161603E-13</v>
      </c>
      <c r="GA61" s="17">
        <f>FZ61*VLOOKUP('Données projet'!$B$17,Paramètres!$A$1:$I$89,3,0)*VLOOKUP('Données projet'!$B$17,Paramètres!$A$1:$I$89,5,0)</f>
        <v>-6.3550942286383367E-14</v>
      </c>
      <c r="GB61" s="13" t="e">
        <f t="shared" si="49"/>
        <v>#NUM!</v>
      </c>
      <c r="GC61" s="20" t="e">
        <f t="shared" si="25"/>
        <v>#NUM!</v>
      </c>
      <c r="GD61" s="57" t="e">
        <f t="shared" si="26"/>
        <v>#NUM!</v>
      </c>
      <c r="GE61" s="57">
        <f ca="1">AVERAGE(OFFSET($GD$3,0,0,'Données projet'!$E$17+1,1))-AVERAGE(OFFSET($H$3,0,0,'Données projet'!$E$17+1,1))</f>
        <v>414.47327143450701</v>
      </c>
      <c r="GF61" s="57">
        <f t="shared" si="50"/>
        <v>546.83385887302961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278.22373253963485</v>
      </c>
      <c r="GM61" s="21">
        <f>EXP(-LN(2)/25)*GM60+(1-EXP(-LN(2)/25))/(LN(2)/25)*Calculateur!GH61*Calculateur!GJ61*VLOOKUP('Données projet'!$B$17,Paramètres!$A$1:$I$89,3,0)*0.475*44/12</f>
        <v>56.982372643439405</v>
      </c>
      <c r="GN61" s="21">
        <f>EXP(-LN(2)/2)*GN60+(1-EXP(-LN(2)/2))/(LN(2)/2)*GH61*GK61*VLOOKUP('Données projet'!$B$17,Paramètres!$A$1:$I$89,3,0)*0.475*44/12</f>
        <v>10.386742588856487</v>
      </c>
      <c r="GO61" s="21">
        <f t="shared" si="27"/>
        <v>345.59284777193074</v>
      </c>
      <c r="GP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64.020359907763918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9.4</v>
      </c>
      <c r="GU61" s="12">
        <f>IF('Données projet'!$A$270&gt;35,GU60+GT61-HC60,IF(A61&lt;'Données projet'!$A$270,$GR$205^A61,IF(A61='Données projet'!$A$270,'Données projet'!$B$270,GU60+GT61-HC60)))</f>
        <v>356.20000000000016</v>
      </c>
      <c r="GV61" s="17">
        <f>GU61*VLOOKUP('Données projet'!$B$18,Paramètres!$A$1:$I$89,3,0)*VLOOKUP('Données projet'!$B$18,Paramètres!$A$1:$I$89,5,0)</f>
        <v>194.48520000000011</v>
      </c>
      <c r="GW61" s="13">
        <f t="shared" si="51"/>
        <v>48.530216343846071</v>
      </c>
      <c r="GX61" s="20">
        <f t="shared" si="28"/>
        <v>423.25185013219874</v>
      </c>
      <c r="GY61" s="57">
        <f t="shared" si="29"/>
        <v>694.65983646066638</v>
      </c>
      <c r="GZ61" s="57">
        <f ca="1">AVERAGE(OFFSET($GY$3,0,0,'Données projet'!$E$18+1,1))-AVERAGE(OFFSET($H$3,0,0,'Données projet'!$E$18+1,1))</f>
        <v>381.00532469288714</v>
      </c>
      <c r="HA61" s="57">
        <f t="shared" si="52"/>
        <v>314.875259641757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>
        <f>EXP(-LN(2)/35)*HG60+(1-EXP(-LN(2)/35))/(LN(2)/35)*HC61*HD61*VLOOKUP('Données projet'!$B$18,Paramètres!$A$1:$I$89,3,0)*0.475*44/12</f>
        <v>41.298434973750602</v>
      </c>
      <c r="HH61" s="21">
        <f>EXP(-LN(2)/25)*HH60+(1-EXP(-LN(2)/25))/(LN(2)/25)*Calculateur!HC61*Calculateur!HE61*VLOOKUP('Données projet'!$B$18,Paramètres!$A$1:$I$89,3,0)*0.475*44/12</f>
        <v>23.456244656024204</v>
      </c>
      <c r="HI61" s="21">
        <f>EXP(-LN(2)/2)*HI60+(1-EXP(-LN(2)/2))/(LN(2)/2)*HC61*HF61*VLOOKUP('Données projet'!$B$18,Paramètres!$A$1:$I$89,3,0)*0.475*44/12</f>
        <v>1.4310344319780874</v>
      </c>
      <c r="HJ61" s="22">
        <f t="shared" si="30"/>
        <v>66.185714061752904</v>
      </c>
    </row>
    <row r="62" spans="1:218" x14ac:dyDescent="0.2">
      <c r="A62" s="10">
        <f t="shared" si="31"/>
        <v>59</v>
      </c>
      <c r="B62" s="71">
        <f>'Scénario référence'!$B$16*5+'Scénario référence'!$B$17*0+'Scénario référence'!$B$18*5</f>
        <v>3.3000000000000003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12.100000000000001</v>
      </c>
      <c r="H62" s="65">
        <f t="shared" si="1"/>
        <v>208.26666666666665</v>
      </c>
      <c r="I62" s="6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64.124093294891708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5.4</v>
      </c>
      <c r="N62" s="13">
        <f>IF('Données projet'!$A$36&gt;35,N61+M62-V61,IF(A62&lt;'Données projet'!$A$36,$K$205^A62,IF(A62='Données projet'!$A$36,'Données projet'!$B$36,N61+M62-V61)))</f>
        <v>142.59999999999997</v>
      </c>
      <c r="O62" s="13">
        <f>N62*VLOOKUP('Données projet'!$B$9,Paramètres!$A$1:$I$89,3,0)*VLOOKUP('Données projet'!$B$9,Paramètres!$A$1:$I$89,5,0)</f>
        <v>144.59639999999999</v>
      </c>
      <c r="P62" s="13">
        <f t="shared" si="33"/>
        <v>37.347988348805522</v>
      </c>
      <c r="Q62" s="20">
        <f t="shared" si="53"/>
        <v>316.8864763741696</v>
      </c>
      <c r="R62" s="57">
        <f t="shared" si="0"/>
        <v>588.67481845543921</v>
      </c>
      <c r="S62" s="57">
        <f ca="1">AVERAGE(OFFSET($R$3,0,0,'Données projet'!$E$9+1,1))-AVERAGE(OFFSET($H$3,0,0,'Données projet'!$E$9+1,1))</f>
        <v>332.70145542047612</v>
      </c>
      <c r="T62" s="57">
        <f t="shared" si="34"/>
        <v>172.22433737900428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4.9487483361803033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4.9487483361803033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64.124093294891708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>
        <f>VLOOKUP(A62,'Données projet'!$A$61:$I$81,2,0)</f>
        <v>199.19</v>
      </c>
      <c r="AG62" s="12">
        <f>VLOOKUP(A62,'Données projet'!$A$61:$I$81,9,0)</f>
        <v>8.8149999999999977</v>
      </c>
      <c r="AH62" s="12">
        <f t="array" ref="AH62">INDEX(AG:AG,MIN(IF(ISNUMBER(AG62:AG258),ROW(AG62:AG258),"")))</f>
        <v>8.8149999999999977</v>
      </c>
      <c r="AI62" s="13">
        <f>IF('Données projet'!$A$62&gt;35,AI61+AH62-AQ61,IF(A62&lt;'Données projet'!$A$62,$AF$205^A62,IF(A62='Données projet'!$A$62,'Données projet'!$B$62,AI61+AH62-AQ61)))</f>
        <v>199.19000000000003</v>
      </c>
      <c r="AJ62" s="13">
        <f>AI62*VLOOKUP('Données projet'!$B$10,Paramètres!$A$1:$I$89,3,0)*VLOOKUP('Données projet'!$B$10,Paramètres!$A$1:$I$89,5,0)</f>
        <v>180.22711200000001</v>
      </c>
      <c r="AK62" s="13">
        <f t="shared" si="35"/>
        <v>45.372710693580842</v>
      </c>
      <c r="AL62" s="20">
        <f t="shared" si="4"/>
        <v>392.91969119132</v>
      </c>
      <c r="AM62" s="57">
        <f t="shared" si="5"/>
        <v>664.70803327258955</v>
      </c>
      <c r="AN62" s="57">
        <f ca="1">AVERAGE(OFFSET($AM$3,0,0,'Données projet'!$E$10+1,1))-AVERAGE(OFFSET($H$3,0,0,'Données projet'!$E$10+1,1))</f>
        <v>469.4210143164521</v>
      </c>
      <c r="AO62" s="57">
        <f t="shared" si="36"/>
        <v>308.4508386530556</v>
      </c>
      <c r="AP62" s="15">
        <f>IF(ISNA(VLOOKUP(A62,'Données projet'!$A$61:$I$81,3,0)),0,VLOOKUP(A62,'Données projet'!$A$61:$I$81,3,0))</f>
        <v>3</v>
      </c>
      <c r="AQ62" s="15">
        <f>IF(ISNA(VLOOKUP(A62,'Données projet'!$A$61:$I$81,4,0)),0,VLOOKUP(A62,'Données projet'!$A$61:$I$81,4,0))</f>
        <v>48.96</v>
      </c>
      <c r="AR62" s="16">
        <f>IF(ISNA(VLOOKUP(A62,'Données projet'!$A$61:$I$81,5,0)),0%,VLOOKUP(A62,'Données projet'!$A$61:$I$81,5,0)*VLOOKUP('Données projet'!$B$10,Paramètres!$A$1:$I$89,7,0))</f>
        <v>8.6000000000000007E-2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12.328369932718896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12.328369932718896</v>
      </c>
      <c r="AY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64.124093294891708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6.2</v>
      </c>
      <c r="BD62" s="12">
        <f>IF('Données projet'!$A$88&gt;35,BD61+BC62-BL61,IF(A62&lt;'Données projet'!$A$88,$BA$205^A62,IF(A62='Données projet'!$A$88,'Données projet'!$B$88,BD61+BC62-BL61)))</f>
        <v>287.7999999999999</v>
      </c>
      <c r="BE62" s="13">
        <f>BD62*VLOOKUP('Données projet'!$B$11,Paramètres!$A$1:$I$89,3,0)*VLOOKUP('Données projet'!$B$11,Paramètres!$A$1:$I$89,5,0)</f>
        <v>211.01495999999992</v>
      </c>
      <c r="BF62" s="13">
        <f t="shared" si="37"/>
        <v>52.15731771796959</v>
      </c>
      <c r="BG62" s="20">
        <f t="shared" si="7"/>
        <v>458.35838369213019</v>
      </c>
      <c r="BH62" s="57">
        <f t="shared" si="8"/>
        <v>730.14672577339979</v>
      </c>
      <c r="BI62" s="57">
        <f ca="1">AVERAGE(OFFSET($BH$3,0,0,'Données projet'!$E$11+1,1))-AVERAGE(OFFSET($H$3,0,0,'Données projet'!$E$11+1,1))</f>
        <v>344.32981377462971</v>
      </c>
      <c r="BJ62" s="57">
        <f t="shared" si="38"/>
        <v>334.42512656625763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21.401089700172122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21.401089700172122</v>
      </c>
      <c r="BT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64.124093294891708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8.6</v>
      </c>
      <c r="BY62" s="12">
        <f>IF('Données projet'!$A$114&gt;35,BY61+BX62-CG61,IF(A62&lt;'Données projet'!$A$114,$BV$205^A62,IF(A62='Données projet'!$A$114,'Données projet'!$B$114,BY61+BX62-CG61)))</f>
        <v>275.40000000000015</v>
      </c>
      <c r="BZ62" s="13">
        <f>BY62*VLOOKUP('Données projet'!$B$12,Paramètres!$A$1:$I$89,3,0)*VLOOKUP('Données projet'!$B$12,Paramètres!$A$1:$I$89,5,0)</f>
        <v>262.07064000000014</v>
      </c>
      <c r="CA62" s="13">
        <f t="shared" si="39"/>
        <v>63.163550751219262</v>
      </c>
      <c r="CB62" s="20">
        <f t="shared" si="10"/>
        <v>566.44954889170708</v>
      </c>
      <c r="CC62" s="57">
        <f t="shared" si="11"/>
        <v>838.23789097297663</v>
      </c>
      <c r="CD62" s="57">
        <f ca="1">AVERAGE(OFFSET($CC$3,0,0,'Données projet'!$E$12+1,1))-AVERAGE(OFFSET($H$3,0,0,'Données projet'!$E$12+1,1))</f>
        <v>498.77732039282807</v>
      </c>
      <c r="CE62" s="57">
        <f t="shared" si="40"/>
        <v>384.57317421826531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14.538442501968637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14.538442501968637</v>
      </c>
      <c r="CO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64.124093294891708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>
        <f>VLOOKUP(A62,'Données projet'!$A$139:$I$159,2,0)</f>
        <v>199.19</v>
      </c>
      <c r="CR62" s="12">
        <f>VLOOKUP(A62,'Données projet'!$A$139:$I$159,9,0)</f>
        <v>8.8149999999999977</v>
      </c>
      <c r="CS62" s="12">
        <f t="array" ref="CS62">INDEX(CR:CR,MIN(IF(ISNUMBER(CR62:CR258),ROW(CR62:CR258),"")))</f>
        <v>8.8149999999999977</v>
      </c>
      <c r="CT62" s="12">
        <f>IF('Données projet'!$A$140&gt;35,CT61+CS62-DB61,IF(A62&lt;'Données projet'!$A$140,$CQ$205^A62,IF(A62='Données projet'!$A$140,'Données projet'!$B$140,CT61+CS62-DB61)))</f>
        <v>199.19000000000003</v>
      </c>
      <c r="CU62" s="17">
        <f>CT62*VLOOKUP('Données projet'!$B$13,Paramètres!$A$1:$I$89,3,0)*VLOOKUP('Données projet'!$B$13,Paramètres!$A$1:$I$89,5,0)</f>
        <v>133.61665200000002</v>
      </c>
      <c r="CV62" s="13">
        <f t="shared" si="41"/>
        <v>34.830722103334132</v>
      </c>
      <c r="CW62" s="20">
        <f t="shared" si="13"/>
        <v>293.37917656330694</v>
      </c>
      <c r="CX62" s="57">
        <f t="shared" si="14"/>
        <v>565.1675186445766</v>
      </c>
      <c r="CY62" s="57">
        <f ca="1">AVERAGE(OFFSET($CX$3,0,0,'Données projet'!$E$13+1,1))-AVERAGE(OFFSET($H$3,0,0,'Données projet'!$E$13+1,1))</f>
        <v>365.99625753737246</v>
      </c>
      <c r="CZ62" s="57">
        <f t="shared" si="42"/>
        <v>242.84814712692287</v>
      </c>
      <c r="DA62" s="15">
        <f>IF(ISNA(VLOOKUP(A62,'Données projet'!$A$139:$I$159,3,0)),0,VLOOKUP(A62,'Données projet'!$A$139:$I$159,3,0))</f>
        <v>3</v>
      </c>
      <c r="DB62" s="15">
        <f>IF(ISNA(VLOOKUP(A62,'Données projet'!$A$139:$I$159,4,0)),0,VLOOKUP(A62,'Données projet'!$A$139:$I$159,4,0))</f>
        <v>48.96</v>
      </c>
      <c r="DC62" s="16">
        <f>IF(ISNA(VLOOKUP(A62,'Données projet'!$A$139:$I$159,5,0)),0%,VLOOKUP(A62,'Données projet'!$A$139:$I$159,5,0)*VLOOKUP('Données projet'!$B$13,Paramètres!$A$1:$I$89,7,0))</f>
        <v>0.10600000000000001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11.265579421277611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11.265579421277611</v>
      </c>
      <c r="DJ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64.124093294891708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6.4</v>
      </c>
      <c r="DO62" s="12">
        <f>IF('Données projet'!$A$166&gt;35,DO61+DN62-DW61,IF(A62&lt;'Données projet'!$A$166,$DL$205^A62,IF(A62='Données projet'!$A$166,'Données projet'!$B$166,DO61+DN62-DW61)))</f>
        <v>253.60000000000005</v>
      </c>
      <c r="DP62" s="17">
        <f>DO62*VLOOKUP('Données projet'!$B$14,Paramètres!$A$1:$I$89,3,0)*VLOOKUP('Données projet'!$B$14,Paramètres!$A$1:$I$89,5,0)</f>
        <v>166.15872000000002</v>
      </c>
      <c r="DQ62" s="13">
        <f t="shared" si="43"/>
        <v>42.228563636586422</v>
      </c>
      <c r="DR62" s="20">
        <f t="shared" si="16"/>
        <v>362.9411856670547</v>
      </c>
      <c r="DS62" s="57">
        <f t="shared" si="17"/>
        <v>634.72952774832424</v>
      </c>
      <c r="DT62" s="57">
        <f ca="1">AVERAGE(OFFSET($DS$3,0,0,'Données projet'!$E$14+1,1))-AVERAGE(OFFSET($H$3,0,0,'Données projet'!$E$14+1,1))</f>
        <v>313.79279628660527</v>
      </c>
      <c r="DU62" s="57">
        <f t="shared" si="44"/>
        <v>317.45469955216254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11.466571492978813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11.466571492978813</v>
      </c>
      <c r="EE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64.124093294891708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15.75</v>
      </c>
      <c r="EJ62" s="12">
        <f>IF('Données projet'!$A$192&gt;35,EJ61+EI62-ER61,IF(A62&lt;'Données projet'!$A$192,$EG$205^A62,IF(A62='Données projet'!$A$192,'Données projet'!$B$192,EJ61+EI62-ER61)))</f>
        <v>462.00000000000011</v>
      </c>
      <c r="EK62" s="17">
        <f>EJ62*VLOOKUP('Données projet'!$B$15,Paramètres!$A$1:$I$89,3,0)*VLOOKUP('Données projet'!$B$15,Paramètres!$A$1:$I$89,5,0)</f>
        <v>396.39600000000013</v>
      </c>
      <c r="EL62" s="13">
        <f t="shared" si="45"/>
        <v>91.045625096627589</v>
      </c>
      <c r="EM62" s="20">
        <f t="shared" si="19"/>
        <v>848.96083037662663</v>
      </c>
      <c r="EN62" s="57">
        <f t="shared" si="20"/>
        <v>1120.7491724578963</v>
      </c>
      <c r="EO62" s="57">
        <f ca="1">AVERAGE(OFFSET($EN$3,0,0,'Données projet'!$E$15+1,1))-AVERAGE(OFFSET($H$3,0,0,'Données projet'!$E$15+1,1))</f>
        <v>643.04899298561475</v>
      </c>
      <c r="EP62" s="57">
        <f t="shared" si="46"/>
        <v>474.94999304483031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62.59611855626089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62.59611855626089</v>
      </c>
      <c r="EZ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64.124093294891708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6.2</v>
      </c>
      <c r="FE62" s="12">
        <f>IF('Données projet'!$A$218&gt;35,FE61+FD62-FM61,IF(A62&lt;'Données projet'!$A$218,$FB$205^A62,IF(A62='Données projet'!$A$218,'Données projet'!$B$218,FE61+FD62-FM61)))</f>
        <v>287.7999999999999</v>
      </c>
      <c r="FF62" s="17">
        <f>FE62*VLOOKUP('Données projet'!$B$16,Paramètres!$A$1:$I$89,3,0)*VLOOKUP('Données projet'!$B$16,Paramètres!$A$1:$I$89,5,0)</f>
        <v>233.46335999999994</v>
      </c>
      <c r="FG62" s="13">
        <f t="shared" si="47"/>
        <v>57.030888299157333</v>
      </c>
      <c r="FH62" s="20">
        <f t="shared" si="22"/>
        <v>505.94414912103224</v>
      </c>
      <c r="FI62" s="57">
        <f t="shared" si="23"/>
        <v>777.73249120230184</v>
      </c>
      <c r="FJ62" s="57">
        <f ca="1">AVERAGE(OFFSET($FI$3,0,0,'Données projet'!$E$16+1,1))-AVERAGE(OFFSET($H$3,0,0,'Données projet'!$E$16+1,1))</f>
        <v>375.34603719604439</v>
      </c>
      <c r="FK62" s="57">
        <f t="shared" si="48"/>
        <v>363.99476973672211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29.184266805380677</v>
      </c>
      <c r="FR62" s="21">
        <f>EXP(-LN(2)/25)*FR61+(1-EXP(-LN(2)/25))/(LN(2)/25)*Calculateur!FM62*Calculateur!FO62*VLOOKUP('Données projet'!$B$16,Paramètres!$A$1:$I$89,3,0)*0.475*44/12</f>
        <v>0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29.184266805380677</v>
      </c>
      <c r="FU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64.124093294891708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-1.1368683772161603E-13</v>
      </c>
      <c r="GA62" s="17">
        <f>FZ62*VLOOKUP('Données projet'!$B$17,Paramètres!$A$1:$I$89,3,0)*VLOOKUP('Données projet'!$B$17,Paramètres!$A$1:$I$89,5,0)</f>
        <v>-6.3550942286383367E-14</v>
      </c>
      <c r="GB62" s="13" t="e">
        <f t="shared" si="49"/>
        <v>#NUM!</v>
      </c>
      <c r="GC62" s="20" t="e">
        <f t="shared" si="25"/>
        <v>#NUM!</v>
      </c>
      <c r="GD62" s="57" t="e">
        <f t="shared" si="26"/>
        <v>#NUM!</v>
      </c>
      <c r="GE62" s="57">
        <f ca="1">AVERAGE(OFFSET($GD$3,0,0,'Données projet'!$E$17+1,1))-AVERAGE(OFFSET($H$3,0,0,'Données projet'!$E$17+1,1))</f>
        <v>414.47327143450701</v>
      </c>
      <c r="GF62" s="57">
        <f t="shared" si="50"/>
        <v>546.83385887302961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272.76793484425303</v>
      </c>
      <c r="GM62" s="21">
        <f>EXP(-LN(2)/25)*GM61+(1-EXP(-LN(2)/25))/(LN(2)/25)*Calculateur!GH62*Calculateur!GJ62*VLOOKUP('Données projet'!$B$17,Paramètres!$A$1:$I$89,3,0)*0.475*44/12</f>
        <v>55.42418666693181</v>
      </c>
      <c r="GN62" s="21">
        <f>EXP(-LN(2)/2)*GN61+(1-EXP(-LN(2)/2))/(LN(2)/2)*GH62*GK62*VLOOKUP('Données projet'!$B$17,Paramètres!$A$1:$I$89,3,0)*0.475*44/12</f>
        <v>7.3445361190195388</v>
      </c>
      <c r="GO62" s="21">
        <f t="shared" si="27"/>
        <v>335.53665763020439</v>
      </c>
      <c r="GP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64.124093294891708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9.4</v>
      </c>
      <c r="GU62" s="12">
        <f>IF('Données projet'!$A$270&gt;35,GU61+GT62-HC61,IF(A62&lt;'Données projet'!$A$270,$GR$205^A62,IF(A62='Données projet'!$A$270,'Données projet'!$B$270,GU61+GT62-HC61)))</f>
        <v>365.60000000000014</v>
      </c>
      <c r="GV62" s="17">
        <f>GU62*VLOOKUP('Données projet'!$B$18,Paramètres!$A$1:$I$89,3,0)*VLOOKUP('Données projet'!$B$18,Paramètres!$A$1:$I$89,5,0)</f>
        <v>199.61760000000007</v>
      </c>
      <c r="GW62" s="13">
        <f t="shared" si="51"/>
        <v>49.66011842098839</v>
      </c>
      <c r="GX62" s="20">
        <f t="shared" si="28"/>
        <v>434.15869291655486</v>
      </c>
      <c r="GY62" s="57">
        <f t="shared" si="29"/>
        <v>705.9470349978244</v>
      </c>
      <c r="GZ62" s="57">
        <f ca="1">AVERAGE(OFFSET($GY$3,0,0,'Données projet'!$E$18+1,1))-AVERAGE(OFFSET($H$3,0,0,'Données projet'!$E$18+1,1))</f>
        <v>381.00532469288714</v>
      </c>
      <c r="HA62" s="57">
        <f t="shared" si="52"/>
        <v>314.875259641757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>
        <f>EXP(-LN(2)/35)*HG61+(1-EXP(-LN(2)/35))/(LN(2)/35)*HC62*HD62*VLOOKUP('Données projet'!$B$18,Paramètres!$A$1:$I$89,3,0)*0.475*44/12</f>
        <v>40.488597853473422</v>
      </c>
      <c r="HH62" s="21">
        <f>EXP(-LN(2)/25)*HH61+(1-EXP(-LN(2)/25))/(LN(2)/25)*Calculateur!HC62*Calculateur!HE62*VLOOKUP('Données projet'!$B$18,Paramètres!$A$1:$I$89,3,0)*0.475*44/12</f>
        <v>22.814832412394924</v>
      </c>
      <c r="HI62" s="21">
        <f>EXP(-LN(2)/2)*HI61+(1-EXP(-LN(2)/2))/(LN(2)/2)*HC62*HF62*VLOOKUP('Données projet'!$B$18,Paramètres!$A$1:$I$89,3,0)*0.475*44/12</f>
        <v>1.0118941509631449</v>
      </c>
      <c r="HJ62" s="22">
        <f t="shared" si="30"/>
        <v>64.315324416831487</v>
      </c>
    </row>
    <row r="63" spans="1:218" x14ac:dyDescent="0.2">
      <c r="A63" s="10">
        <f t="shared" si="31"/>
        <v>60</v>
      </c>
      <c r="B63" s="71">
        <f>'Scénario référence'!$B$16*5+'Scénario référence'!$B$17*0+'Scénario référence'!$B$18*5</f>
        <v>3.3000000000000003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12.100000000000001</v>
      </c>
      <c r="H63" s="65">
        <f t="shared" si="1"/>
        <v>208.26666666666665</v>
      </c>
      <c r="I63" s="6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64.226027139665945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148</v>
      </c>
      <c r="L63" s="12">
        <f>VLOOKUP(A63,'Données projet'!$A$35:$I$55,9,0)</f>
        <v>5.4</v>
      </c>
      <c r="M63" s="12">
        <f t="array" ref="M63">INDEX(L:L,MIN(IF(ISNUMBER(L63:L259),ROW(L63:L259),"")))</f>
        <v>5.4</v>
      </c>
      <c r="N63" s="13">
        <f>IF('Données projet'!$A$36&gt;35,N62+M63-V62,IF(A63&lt;'Données projet'!$A$36,$K$205^A63,IF(A63='Données projet'!$A$36,'Données projet'!$B$36,N62+M63-V62)))</f>
        <v>147.99999999999997</v>
      </c>
      <c r="O63" s="13">
        <f>N63*VLOOKUP('Données projet'!$B$9,Paramètres!$A$1:$I$89,3,0)*VLOOKUP('Données projet'!$B$9,Paramètres!$A$1:$I$89,5,0)</f>
        <v>150.07199999999997</v>
      </c>
      <c r="P63" s="13">
        <f t="shared" si="33"/>
        <v>38.594947422201457</v>
      </c>
      <c r="Q63" s="20">
        <f t="shared" si="53"/>
        <v>328.5949334270008</v>
      </c>
      <c r="R63" s="57">
        <f t="shared" si="0"/>
        <v>600.75703293910919</v>
      </c>
      <c r="S63" s="57">
        <f ca="1">AVERAGE(OFFSET($R$3,0,0,'Données projet'!$E$9+1,1))-AVERAGE(OFFSET($H$3,0,0,'Données projet'!$E$9+1,1))</f>
        <v>332.70145542047612</v>
      </c>
      <c r="T63" s="57">
        <f t="shared" si="34"/>
        <v>172.22433737900428</v>
      </c>
      <c r="U63" s="15">
        <f>IF(ISNA(VLOOKUP(A63,'Données projet'!$A$35:$I$55,3,0)),0,VLOOKUP(A63,'Données projet'!$A$35:$I$55,3,0))</f>
        <v>8</v>
      </c>
      <c r="V63" s="15">
        <f>IF(ISNA(VLOOKUP(A63,'Données projet'!$A$35:$I$55,4,0)),0,VLOOKUP(A63,'Données projet'!$A$35:$I$55,4,0))</f>
        <v>14</v>
      </c>
      <c r="W63" s="16">
        <f>IF(ISNA(VLOOKUP(A63,'Données projet'!$A$35:$I$55,5,0)),0%,VLOOKUP(A63,'Données projet'!$A$35:$I$55,5,0)*VLOOKUP('Données projet'!$B$9,Paramètres!$A$1:$I$89,7,0))</f>
        <v>0.129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6.8761366182588661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6.8761366182588661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64.226027139665945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7.1366666666666658</v>
      </c>
      <c r="AI63" s="13">
        <f>IF('Données projet'!$A$62&gt;35,AI62+AH63-AQ62,IF(A63&lt;'Données projet'!$A$62,$AF$205^A63,IF(A63='Données projet'!$A$62,'Données projet'!$B$62,AI62+AH63-AQ62)))</f>
        <v>157.36666666666667</v>
      </c>
      <c r="AJ63" s="13">
        <f>AI63*VLOOKUP('Données projet'!$B$10,Paramètres!$A$1:$I$89,3,0)*VLOOKUP('Données projet'!$B$10,Paramètres!$A$1:$I$89,5,0)</f>
        <v>142.38535999999999</v>
      </c>
      <c r="AK63" s="13">
        <f t="shared" si="35"/>
        <v>36.842919502112487</v>
      </c>
      <c r="AL63" s="20">
        <f t="shared" si="4"/>
        <v>312.15592013284589</v>
      </c>
      <c r="AM63" s="57">
        <f t="shared" si="5"/>
        <v>584.31801964495435</v>
      </c>
      <c r="AN63" s="57">
        <f ca="1">AVERAGE(OFFSET($AM$3,0,0,'Données projet'!$E$10+1,1))-AVERAGE(OFFSET($H$3,0,0,'Données projet'!$E$10+1,1))</f>
        <v>469.4210143164521</v>
      </c>
      <c r="AO63" s="57">
        <f t="shared" si="36"/>
        <v>308.4508386530556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12.086618117901443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12.086618117901443</v>
      </c>
      <c r="AY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64.226027139665945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294</v>
      </c>
      <c r="BB63" s="12">
        <f>VLOOKUP(A63,'Données projet'!$A$87:$I$107,9,0)</f>
        <v>6.2</v>
      </c>
      <c r="BC63" s="12">
        <f t="array" ref="BC63">INDEX(BB:BB,MIN(IF(ISNUMBER(BB63:BB259),ROW(BB63:BB259),"")))</f>
        <v>6.2</v>
      </c>
      <c r="BD63" s="12">
        <f>IF('Données projet'!$A$88&gt;35,BD62+BC63-BL62,IF(A63&lt;'Données projet'!$A$88,$BA$205^A63,IF(A63='Données projet'!$A$88,'Données projet'!$B$88,BD62+BC63-BL62)))</f>
        <v>293.99999999999989</v>
      </c>
      <c r="BE63" s="13">
        <f>BD63*VLOOKUP('Données projet'!$B$11,Paramètres!$A$1:$I$89,3,0)*VLOOKUP('Données projet'!$B$11,Paramètres!$A$1:$I$89,5,0)</f>
        <v>215.56079999999992</v>
      </c>
      <c r="BF63" s="13">
        <f t="shared" si="37"/>
        <v>53.14890585638225</v>
      </c>
      <c r="BG63" s="20">
        <f t="shared" si="7"/>
        <v>468.00273769986558</v>
      </c>
      <c r="BH63" s="57">
        <f t="shared" si="8"/>
        <v>740.16483721197403</v>
      </c>
      <c r="BI63" s="57">
        <f ca="1">AVERAGE(OFFSET($BH$3,0,0,'Données projet'!$E$11+1,1))-AVERAGE(OFFSET($H$3,0,0,'Données projet'!$E$11+1,1))</f>
        <v>344.32981377462971</v>
      </c>
      <c r="BJ63" s="57">
        <f t="shared" si="38"/>
        <v>334.42512656625763</v>
      </c>
      <c r="BK63" s="15">
        <f>IF(ISNA(VLOOKUP(A63,'Données projet'!$A$87:$I$107,3,0)),0,VLOOKUP(A63,'Données projet'!$A$87:$I$107,3,0))</f>
        <v>11</v>
      </c>
      <c r="BL63" s="15">
        <f>IF(ISNA(VLOOKUP(A63,'Données projet'!$A$87:$I$107,4,0)),0,VLOOKUP(A63,'Données projet'!$A$87:$I$107,4,0))</f>
        <v>14</v>
      </c>
      <c r="BM63" s="16">
        <f>IF(ISNA(VLOOKUP(A63,'Données projet'!$A$87:$I$107,5,0)),0%,VLOOKUP(A63,'Données projet'!$A$87:$I$107,5,0)*VLOOKUP('Données projet'!$B$11,Paramètres!$A$1:$I$89,7,0))</f>
        <v>0.25800000000000001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23.909064931299646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23.909064931299646</v>
      </c>
      <c r="BT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64.226027139665945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284</v>
      </c>
      <c r="BW63" s="12">
        <f>VLOOKUP(A63,'Données projet'!$A$113:$I$133,9,0)</f>
        <v>8.6</v>
      </c>
      <c r="BX63" s="12">
        <f t="array" ref="BX63">INDEX(BW:BW,MIN(IF(ISNUMBER(BW63:BW259),ROW(BW63:BW259),"")))</f>
        <v>8.6</v>
      </c>
      <c r="BY63" s="12">
        <f>IF('Données projet'!$A$114&gt;35,BY62+BX63-CG62,IF(A63&lt;'Données projet'!$A$114,$BV$205^A63,IF(A63='Données projet'!$A$114,'Données projet'!$B$114,BY62+BX63-CG62)))</f>
        <v>284.00000000000017</v>
      </c>
      <c r="BZ63" s="13">
        <f>BY63*VLOOKUP('Données projet'!$B$12,Paramètres!$A$1:$I$89,3,0)*VLOOKUP('Données projet'!$B$12,Paramètres!$A$1:$I$89,5,0)</f>
        <v>270.25440000000015</v>
      </c>
      <c r="CA63" s="13">
        <f t="shared" si="39"/>
        <v>64.903256428828314</v>
      </c>
      <c r="CB63" s="20">
        <f t="shared" si="10"/>
        <v>583.73291828020945</v>
      </c>
      <c r="CC63" s="57">
        <f t="shared" si="11"/>
        <v>855.89501779231796</v>
      </c>
      <c r="CD63" s="57">
        <f ca="1">AVERAGE(OFFSET($CC$3,0,0,'Données projet'!$E$12+1,1))-AVERAGE(OFFSET($H$3,0,0,'Données projet'!$E$12+1,1))</f>
        <v>498.77732039282807</v>
      </c>
      <c r="CE63" s="57">
        <f t="shared" si="40"/>
        <v>384.57317421826531</v>
      </c>
      <c r="CF63" s="15">
        <f>IF(ISNA(VLOOKUP(A63,'Données projet'!$A$113:$I$133,3,0)),0,VLOOKUP(A63,'Données projet'!$A$113:$I$133,3,0))</f>
        <v>8</v>
      </c>
      <c r="CG63" s="15">
        <f>IF(ISNA(VLOOKUP(A63,'Données projet'!$A$113:$I$133,4,0)),0,VLOOKUP(A63,'Données projet'!$A$113:$I$133,4,0))</f>
        <v>33</v>
      </c>
      <c r="CH63" s="16">
        <f>IF(ISNA(VLOOKUP(A63,'Données projet'!$A$113:$I$133,5,0)),0%,VLOOKUP(A63,'Données projet'!$A$113:$I$133,5,0)*VLOOKUP('Données projet'!$B$12,Paramètres!$A$1:$I$89,7,0))</f>
        <v>0.17200000000000001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20.224309332395698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20.224309332395698</v>
      </c>
      <c r="CO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64.226027139665945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7.1366666666666658</v>
      </c>
      <c r="CT63" s="12">
        <f>IF('Données projet'!$A$140&gt;35,CT62+CS63-DB62,IF(A63&lt;'Données projet'!$A$140,$CQ$205^A63,IF(A63='Données projet'!$A$140,'Données projet'!$B$140,CT62+CS63-DB62)))</f>
        <v>157.36666666666667</v>
      </c>
      <c r="CU63" s="17">
        <f>CT63*VLOOKUP('Données projet'!$B$13,Paramètres!$A$1:$I$89,3,0)*VLOOKUP('Données projet'!$B$13,Paramètres!$A$1:$I$89,5,0)</f>
        <v>105.56156</v>
      </c>
      <c r="CV63" s="13">
        <f t="shared" si="41"/>
        <v>28.282760078408568</v>
      </c>
      <c r="CW63" s="20">
        <f t="shared" si="13"/>
        <v>233.11219080322826</v>
      </c>
      <c r="CX63" s="57">
        <f t="shared" si="14"/>
        <v>505.27429031533671</v>
      </c>
      <c r="CY63" s="57">
        <f ca="1">AVERAGE(OFFSET($CX$3,0,0,'Données projet'!$E$13+1,1))-AVERAGE(OFFSET($H$3,0,0,'Données projet'!$E$13+1,1))</f>
        <v>365.99625753737246</v>
      </c>
      <c r="CZ63" s="57">
        <f t="shared" si="42"/>
        <v>242.84814712692287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11.044668280151317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11.044668280151317</v>
      </c>
      <c r="DJ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64.226027139665945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260</v>
      </c>
      <c r="DM63" s="12">
        <f>VLOOKUP(A63,'Données projet'!$A$165:$I$185,9,0)</f>
        <v>6.4</v>
      </c>
      <c r="DN63" s="12">
        <f t="array" ref="DN63">INDEX(DM:DM,MIN(IF(ISNUMBER(DM63:DM259),ROW(DM63:DM259),"")))</f>
        <v>6.4</v>
      </c>
      <c r="DO63" s="12">
        <f>IF('Données projet'!$A$166&gt;35,DO62+DN63-DW62,IF(A63&lt;'Données projet'!$A$166,$DL$205^A63,IF(A63='Données projet'!$A$166,'Données projet'!$B$166,DO62+DN63-DW62)))</f>
        <v>260.00000000000006</v>
      </c>
      <c r="DP63" s="17">
        <f>DO63*VLOOKUP('Données projet'!$B$14,Paramètres!$A$1:$I$89,3,0)*VLOOKUP('Données projet'!$B$14,Paramètres!$A$1:$I$89,5,0)</f>
        <v>170.35200000000003</v>
      </c>
      <c r="DQ63" s="13">
        <f t="shared" si="43"/>
        <v>43.168850382694487</v>
      </c>
      <c r="DR63" s="20">
        <f t="shared" si="16"/>
        <v>371.88214774985954</v>
      </c>
      <c r="DS63" s="57">
        <f t="shared" si="17"/>
        <v>644.04424726196794</v>
      </c>
      <c r="DT63" s="57">
        <f ca="1">AVERAGE(OFFSET($DS$3,0,0,'Données projet'!$E$14+1,1))-AVERAGE(OFFSET($H$3,0,0,'Données projet'!$E$14+1,1))</f>
        <v>313.79279628660527</v>
      </c>
      <c r="DU63" s="57">
        <f t="shared" si="44"/>
        <v>317.45469955216254</v>
      </c>
      <c r="DV63" s="15">
        <f>IF(ISNA(VLOOKUP(A63,'Données projet'!$A$165:$I$185,3,0)),0,VLOOKUP(A63,'Données projet'!$A$165:$I$185,3,0))</f>
        <v>11</v>
      </c>
      <c r="DW63" s="15">
        <f>IF(ISNA(VLOOKUP(A63,'Données projet'!$A$165:$I$185,4,0)),0,VLOOKUP(A63,'Données projet'!$A$165:$I$185,4,0))</f>
        <v>24</v>
      </c>
      <c r="DX63" s="16">
        <f>IF(ISNA(VLOOKUP(A63,'Données projet'!$A$165:$I$185,5,0)),0%,VLOOKUP(A63,'Données projet'!$A$165:$I$185,5,0)*VLOOKUP('Données projet'!$B$14,Paramètres!$A$1:$I$89,7,0))</f>
        <v>0.215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14.979128654096661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14.979128654096661</v>
      </c>
      <c r="EE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64.226027139665945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15.75</v>
      </c>
      <c r="EJ63" s="12">
        <f>IF('Données projet'!$A$192&gt;35,EJ62+EI63-ER62,IF(A63&lt;'Données projet'!$A$192,$EG$205^A63,IF(A63='Données projet'!$A$192,'Données projet'!$B$192,EJ62+EI63-ER62)))</f>
        <v>477.75000000000011</v>
      </c>
      <c r="EK63" s="17">
        <f>EJ63*VLOOKUP('Données projet'!$B$15,Paramètres!$A$1:$I$89,3,0)*VLOOKUP('Données projet'!$B$15,Paramètres!$A$1:$I$89,5,0)</f>
        <v>409.90950000000015</v>
      </c>
      <c r="EL63" s="13">
        <f t="shared" si="45"/>
        <v>93.782793990023393</v>
      </c>
      <c r="EM63" s="20">
        <f t="shared" si="19"/>
        <v>877.26407869929096</v>
      </c>
      <c r="EN63" s="57">
        <f t="shared" si="20"/>
        <v>1149.4261782113995</v>
      </c>
      <c r="EO63" s="57">
        <f ca="1">AVERAGE(OFFSET($EN$3,0,0,'Données projet'!$E$15+1,1))-AVERAGE(OFFSET($H$3,0,0,'Données projet'!$E$15+1,1))</f>
        <v>643.04899298561475</v>
      </c>
      <c r="EP63" s="57">
        <f t="shared" si="46"/>
        <v>474.94999304483031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61.368646851234985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61.368646851234985</v>
      </c>
      <c r="EZ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64.226027139665945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294</v>
      </c>
      <c r="FC63" s="12">
        <f>VLOOKUP(A63,'Données projet'!$A$217:$I$237,9,0)</f>
        <v>6.2</v>
      </c>
      <c r="FD63" s="12">
        <f t="array" ref="FD63">INDEX(FC:FC,MIN(IF(ISNUMBER(FC63:FC259),ROW(FC63:FC259),"")))</f>
        <v>6.2</v>
      </c>
      <c r="FE63" s="12">
        <f>IF('Données projet'!$A$218&gt;35,FE62+FD63-FM62,IF(A63&lt;'Données projet'!$A$218,$FB$205^A63,IF(A63='Données projet'!$A$218,'Données projet'!$B$218,FE62+FD63-FM62)))</f>
        <v>293.99999999999989</v>
      </c>
      <c r="FF63" s="17">
        <f>FE63*VLOOKUP('Données projet'!$B$16,Paramètres!$A$1:$I$89,3,0)*VLOOKUP('Données projet'!$B$16,Paramètres!$A$1:$I$89,5,0)</f>
        <v>238.4927999999999</v>
      </c>
      <c r="FG63" s="13">
        <f t="shared" si="47"/>
        <v>58.115130258576542</v>
      </c>
      <c r="FH63" s="20">
        <f t="shared" si="22"/>
        <v>516.59214520035403</v>
      </c>
      <c r="FI63" s="57">
        <f t="shared" si="23"/>
        <v>788.75424471246242</v>
      </c>
      <c r="FJ63" s="57">
        <f ca="1">AVERAGE(OFFSET($FI$3,0,0,'Données projet'!$E$16+1,1))-AVERAGE(OFFSET($H$3,0,0,'Données projet'!$E$16+1,1))</f>
        <v>375.34603719604439</v>
      </c>
      <c r="FK63" s="57">
        <f t="shared" si="48"/>
        <v>363.99476973672211</v>
      </c>
      <c r="FL63" s="15">
        <f>IF(ISNA(VLOOKUP(A63,'Données projet'!$A$217:$I$237,3,0)),0,VLOOKUP(A63,'Données projet'!$A$217:$I$237,3,0))</f>
        <v>11</v>
      </c>
      <c r="FM63" s="15">
        <f>IF(ISNA(VLOOKUP(A63,'Données projet'!$A$217:$I$237,4,0)),0,VLOOKUP(A63,'Données projet'!$A$217:$I$237,4,0))</f>
        <v>14</v>
      </c>
      <c r="FN63" s="16">
        <f>IF(ISNA(VLOOKUP(A63,'Données projet'!$A$217:$I$237,5,0)),0%,VLOOKUP(A63,'Données projet'!$A$217:$I$237,5,0)*VLOOKUP('Données projet'!$B$16,Paramètres!$A$1:$I$89,7,0))</f>
        <v>0.318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32.604345843969227</v>
      </c>
      <c r="FR63" s="21">
        <f>EXP(-LN(2)/25)*FR62+(1-EXP(-LN(2)/25))/(LN(2)/25)*Calculateur!FM63*Calculateur!FO63*VLOOKUP('Données projet'!$B$16,Paramètres!$A$1:$I$89,3,0)*0.475*44/12</f>
        <v>0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32.604345843969227</v>
      </c>
      <c r="FU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64.226027139665945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-1.1368683772161603E-13</v>
      </c>
      <c r="GA63" s="17">
        <f>FZ63*VLOOKUP('Données projet'!$B$17,Paramètres!$A$1:$I$89,3,0)*VLOOKUP('Données projet'!$B$17,Paramètres!$A$1:$I$89,5,0)</f>
        <v>-6.3550942286383367E-14</v>
      </c>
      <c r="GB63" s="13" t="e">
        <f t="shared" si="49"/>
        <v>#NUM!</v>
      </c>
      <c r="GC63" s="20" t="e">
        <f t="shared" si="25"/>
        <v>#NUM!</v>
      </c>
      <c r="GD63" s="57" t="e">
        <f t="shared" si="26"/>
        <v>#NUM!</v>
      </c>
      <c r="GE63" s="57">
        <f ca="1">AVERAGE(OFFSET($GD$3,0,0,'Données projet'!$E$17+1,1))-AVERAGE(OFFSET($H$3,0,0,'Données projet'!$E$17+1,1))</f>
        <v>414.47327143450701</v>
      </c>
      <c r="GF63" s="57">
        <f t="shared" si="50"/>
        <v>546.83385887302961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267.41912201396963</v>
      </c>
      <c r="GM63" s="21">
        <f>EXP(-LN(2)/25)*GM62+(1-EXP(-LN(2)/25))/(LN(2)/25)*Calculateur!GH63*Calculateur!GJ63*VLOOKUP('Données projet'!$B$17,Paramètres!$A$1:$I$89,3,0)*0.475*44/12</f>
        <v>53.908609367893256</v>
      </c>
      <c r="GN63" s="21">
        <f>EXP(-LN(2)/2)*GN62+(1-EXP(-LN(2)/2))/(LN(2)/2)*GH63*GK63*VLOOKUP('Données projet'!$B$17,Paramètres!$A$1:$I$89,3,0)*0.475*44/12</f>
        <v>5.1933712944282444</v>
      </c>
      <c r="GO63" s="21">
        <f t="shared" si="27"/>
        <v>326.52110267629109</v>
      </c>
      <c r="GP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64.226027139665945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>
        <f>VLOOKUP(A63,'Données projet'!$A$269:$I$289,2,0)</f>
        <v>375</v>
      </c>
      <c r="GS63" s="12">
        <f>VLOOKUP(A63,'Données projet'!$A$269:$I$289,9,0)</f>
        <v>9.4</v>
      </c>
      <c r="GT63" s="12">
        <f t="array" ref="GT63">INDEX(GS:GS,MIN(IF(ISNUMBER(GS63:GS259),ROW(GS63:GS259),"")))</f>
        <v>9.4</v>
      </c>
      <c r="GU63" s="12">
        <f>IF('Données projet'!$A$270&gt;35,GU62+GT63-HC62,IF(A63&lt;'Données projet'!$A$270,$GR$205^A63,IF(A63='Données projet'!$A$270,'Données projet'!$B$270,GU62+GT63-HC62)))</f>
        <v>375.00000000000011</v>
      </c>
      <c r="GV63" s="17">
        <f>GU63*VLOOKUP('Données projet'!$B$18,Paramètres!$A$1:$I$89,3,0)*VLOOKUP('Données projet'!$B$18,Paramètres!$A$1:$I$89,5,0)</f>
        <v>204.75000000000006</v>
      </c>
      <c r="GW63" s="13">
        <f t="shared" si="51"/>
        <v>50.78664361281335</v>
      </c>
      <c r="GX63" s="20">
        <f t="shared" si="28"/>
        <v>445.05965429231668</v>
      </c>
      <c r="GY63" s="57">
        <f t="shared" si="29"/>
        <v>717.22175380442513</v>
      </c>
      <c r="GZ63" s="57">
        <f ca="1">AVERAGE(OFFSET($GY$3,0,0,'Données projet'!$E$18+1,1))-AVERAGE(OFFSET($H$3,0,0,'Données projet'!$E$18+1,1))</f>
        <v>381.00532469288714</v>
      </c>
      <c r="HA63" s="57">
        <f t="shared" si="52"/>
        <v>314.875259641757</v>
      </c>
      <c r="HB63" s="15">
        <f>IF(ISNA(VLOOKUP(A63,'Données projet'!$A$269:$I$289,3,0)),0,VLOOKUP(A63,'Données projet'!$A$269:$I$289,3,0))</f>
        <v>11</v>
      </c>
      <c r="HC63" s="15">
        <f>IF(ISNA(VLOOKUP(A63,'Données projet'!$A$269:$I$289,4,0)),0,VLOOKUP(A63,'Données projet'!$A$269:$I$289,4,0))</f>
        <v>26</v>
      </c>
      <c r="HD63" s="16">
        <f>IF(ISNA(VLOOKUP(A63,'Données projet'!$A$269:$I$289,5,0)),0%,VLOOKUP(A63,'Données projet'!$A$269:$I$289,5,0)*VLOOKUP('Données projet'!$B$18,Paramètres!$A$1:$I$89,7,0))</f>
        <v>0.42</v>
      </c>
      <c r="HE63" s="16">
        <f>IF(ISNA(VLOOKUP(A63,'Données projet'!$A$269:$I$289,6,0)),0%,VLOOKUP(A63,'Données projet'!$A$269:$I$289,6,0)*VLOOKUP('Données projet'!$B$18,Paramètres!$A$1:$I$89,7,0))</f>
        <v>0.10200000000000001</v>
      </c>
      <c r="HF63" s="16">
        <f>IF(ISNA(VLOOKUP(A63,'Données projet'!$A$269:$I$289,7,0)),0%,VLOOKUP(A63,'Données projet'!$A$269:$I$289,7,0))</f>
        <v>0.13</v>
      </c>
      <c r="HG63" s="21">
        <f>EXP(-LN(2)/35)*HG62+(1-EXP(-LN(2)/35))/(LN(2)/35)*HC63*HD63*VLOOKUP('Données projet'!$B$18,Paramètres!$A$1:$I$89,3,0)*0.475*44/12</f>
        <v>47.604042929129292</v>
      </c>
      <c r="HH63" s="21">
        <f>EXP(-LN(2)/25)*HH62+(1-EXP(-LN(2)/25))/(LN(2)/25)*Calculateur!HC63*Calculateur!HE63*VLOOKUP('Données projet'!$B$18,Paramètres!$A$1:$I$89,3,0)*0.475*44/12</f>
        <v>24.104251202327326</v>
      </c>
      <c r="HI63" s="21">
        <f>EXP(-LN(2)/2)*HI62+(1-EXP(-LN(2)/2))/(LN(2)/2)*HC63*HF63*VLOOKUP('Données projet'!$B$18,Paramètres!$A$1:$I$89,3,0)*0.475*44/12</f>
        <v>2.8050292764281854</v>
      </c>
      <c r="HJ63" s="22">
        <f t="shared" si="30"/>
        <v>74.513323407884812</v>
      </c>
    </row>
    <row r="64" spans="1:218" x14ac:dyDescent="0.2">
      <c r="A64" s="10">
        <f t="shared" si="31"/>
        <v>61</v>
      </c>
      <c r="B64" s="71">
        <f>'Scénario référence'!$B$16*5+'Scénario référence'!$B$17*0+'Scénario référence'!$B$18*5</f>
        <v>3.3000000000000003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12.100000000000001</v>
      </c>
      <c r="H64" s="65">
        <f t="shared" si="1"/>
        <v>208.26666666666665</v>
      </c>
      <c r="I64" s="6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64.326192660123283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5.4</v>
      </c>
      <c r="N64" s="13">
        <f>IF('Données projet'!$A$36&gt;35,N63+M64-V63,IF(A64&lt;'Données projet'!$A$36,$K$205^A64,IF(A64='Données projet'!$A$36,'Données projet'!$B$36,N63+M64-V63)))</f>
        <v>139.39999999999998</v>
      </c>
      <c r="O64" s="13">
        <f>N64*VLOOKUP('Données projet'!$B$9,Paramètres!$A$1:$I$89,3,0)*VLOOKUP('Données projet'!$B$9,Paramètres!$A$1:$I$89,5,0)</f>
        <v>141.35159999999999</v>
      </c>
      <c r="P64" s="13">
        <f t="shared" si="33"/>
        <v>36.606464720907098</v>
      </c>
      <c r="Q64" s="20">
        <f t="shared" si="53"/>
        <v>309.94362938891317</v>
      </c>
      <c r="R64" s="57">
        <f t="shared" si="0"/>
        <v>582.47300247603187</v>
      </c>
      <c r="S64" s="57">
        <f ca="1">AVERAGE(OFFSET($R$3,0,0,'Données projet'!$E$9+1,1))-AVERAGE(OFFSET($H$3,0,0,'Données projet'!$E$9+1,1))</f>
        <v>332.70145542047612</v>
      </c>
      <c r="T64" s="57">
        <f t="shared" si="34"/>
        <v>172.22433737900428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6.7412997732040205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6.7412997732040205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64.326192660123283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7.1366666666666658</v>
      </c>
      <c r="AI64" s="13">
        <f>IF('Données projet'!$A$62&gt;35,AI63+AH64-AQ63,IF(A64&lt;'Données projet'!$A$62,$AF$205^A64,IF(A64='Données projet'!$A$62,'Données projet'!$B$62,AI63+AH64-AQ63)))</f>
        <v>164.50333333333333</v>
      </c>
      <c r="AJ64" s="13">
        <f>AI64*VLOOKUP('Données projet'!$B$10,Paramètres!$A$1:$I$89,3,0)*VLOOKUP('Données projet'!$B$10,Paramètres!$A$1:$I$89,5,0)</f>
        <v>148.84261599999999</v>
      </c>
      <c r="AK64" s="13">
        <f t="shared" si="35"/>
        <v>38.31544750028025</v>
      </c>
      <c r="AL64" s="20">
        <f t="shared" si="4"/>
        <v>325.96696059632137</v>
      </c>
      <c r="AM64" s="57">
        <f t="shared" si="5"/>
        <v>598.49633368344007</v>
      </c>
      <c r="AN64" s="57">
        <f ca="1">AVERAGE(OFFSET($AM$3,0,0,'Données projet'!$E$10+1,1))-AVERAGE(OFFSET($H$3,0,0,'Données projet'!$E$10+1,1))</f>
        <v>469.4210143164521</v>
      </c>
      <c r="AO64" s="57">
        <f t="shared" si="36"/>
        <v>308.4508386530556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11.849606908718512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11.849606908718512</v>
      </c>
      <c r="AY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64.326192660123283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5.2</v>
      </c>
      <c r="BD64" s="12">
        <f>IF('Données projet'!$A$88&gt;35,BD63+BC64-BL63,IF(A64&lt;'Données projet'!$A$88,$BA$205^A64,IF(A64='Données projet'!$A$88,'Données projet'!$B$88,BD63+BC64-BL63)))</f>
        <v>285.19999999999987</v>
      </c>
      <c r="BE64" s="13">
        <f>BD64*VLOOKUP('Données projet'!$B$11,Paramètres!$A$1:$I$89,3,0)*VLOOKUP('Données projet'!$B$11,Paramètres!$A$1:$I$89,5,0)</f>
        <v>209.10863999999989</v>
      </c>
      <c r="BF64" s="13">
        <f t="shared" si="37"/>
        <v>51.740752917407036</v>
      </c>
      <c r="BG64" s="20">
        <f t="shared" si="7"/>
        <v>454.31269266448368</v>
      </c>
      <c r="BH64" s="57">
        <f t="shared" si="8"/>
        <v>726.84206575160238</v>
      </c>
      <c r="BI64" s="57">
        <f ca="1">AVERAGE(OFFSET($BH$3,0,0,'Données projet'!$E$11+1,1))-AVERAGE(OFFSET($H$3,0,0,'Données projet'!$E$11+1,1))</f>
        <v>344.32981377462971</v>
      </c>
      <c r="BJ64" s="57">
        <f t="shared" si="38"/>
        <v>334.42512656625763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23.440222751086509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23.440222751086509</v>
      </c>
      <c r="BT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64.326192660123283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8.1999999999999993</v>
      </c>
      <c r="BY64" s="12">
        <f>IF('Données projet'!$A$114&gt;35,BY63+BX64-CG63,IF(A64&lt;'Données projet'!$A$114,$BV$205^A64,IF(A64='Données projet'!$A$114,'Données projet'!$B$114,BY63+BX64-CG63)))</f>
        <v>259.20000000000016</v>
      </c>
      <c r="BZ64" s="13">
        <f>BY64*VLOOKUP('Données projet'!$B$12,Paramètres!$A$1:$I$89,3,0)*VLOOKUP('Données projet'!$B$12,Paramètres!$A$1:$I$89,5,0)</f>
        <v>246.65472000000014</v>
      </c>
      <c r="CA64" s="13">
        <f t="shared" si="39"/>
        <v>59.869038818016278</v>
      </c>
      <c r="CB64" s="20">
        <f t="shared" si="10"/>
        <v>533.86221327471196</v>
      </c>
      <c r="CC64" s="57">
        <f t="shared" si="11"/>
        <v>806.3915863618306</v>
      </c>
      <c r="CD64" s="57">
        <f ca="1">AVERAGE(OFFSET($CC$3,0,0,'Données projet'!$E$12+1,1))-AVERAGE(OFFSET($H$3,0,0,'Données projet'!$E$12+1,1))</f>
        <v>498.77732039282807</v>
      </c>
      <c r="CE64" s="57">
        <f t="shared" si="40"/>
        <v>384.57317421826531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19.82772296199807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19.82772296199807</v>
      </c>
      <c r="CO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64.326192660123283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7.1366666666666658</v>
      </c>
      <c r="CT64" s="12">
        <f>IF('Données projet'!$A$140&gt;35,CT63+CS64-DB63,IF(A64&lt;'Données projet'!$A$140,$CQ$205^A64,IF(A64='Données projet'!$A$140,'Données projet'!$B$140,CT63+CS64-DB63)))</f>
        <v>164.50333333333333</v>
      </c>
      <c r="CU64" s="17">
        <f>CT64*VLOOKUP('Données projet'!$B$13,Paramètres!$A$1:$I$89,3,0)*VLOOKUP('Données projet'!$B$13,Paramètres!$A$1:$I$89,5,0)</f>
        <v>110.34883600000001</v>
      </c>
      <c r="CV64" s="13">
        <f t="shared" si="41"/>
        <v>29.413157903655019</v>
      </c>
      <c r="CW64" s="20">
        <f t="shared" si="13"/>
        <v>243.4188060488658</v>
      </c>
      <c r="CX64" s="57">
        <f t="shared" si="14"/>
        <v>515.94817913598445</v>
      </c>
      <c r="CY64" s="57">
        <f ca="1">AVERAGE(OFFSET($CX$3,0,0,'Données projet'!$E$13+1,1))-AVERAGE(OFFSET($H$3,0,0,'Données projet'!$E$13+1,1))</f>
        <v>365.99625753737246</v>
      </c>
      <c r="CZ64" s="57">
        <f t="shared" si="42"/>
        <v>242.84814712692287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10.828089071760019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10.828089071760019</v>
      </c>
      <c r="DJ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64.326192660123283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5.8</v>
      </c>
      <c r="DO64" s="12">
        <f>IF('Données projet'!$A$166&gt;35,DO63+DN64-DW63,IF(A64&lt;'Données projet'!$A$166,$DL$205^A64,IF(A64='Données projet'!$A$166,'Données projet'!$B$166,DO63+DN64-DW63)))</f>
        <v>241.80000000000007</v>
      </c>
      <c r="DP64" s="17">
        <f>DO64*VLOOKUP('Données projet'!$B$14,Paramètres!$A$1:$I$89,3,0)*VLOOKUP('Données projet'!$B$14,Paramètres!$A$1:$I$89,5,0)</f>
        <v>158.42736000000005</v>
      </c>
      <c r="DQ64" s="13">
        <f t="shared" si="43"/>
        <v>40.487598405868248</v>
      </c>
      <c r="DR64" s="20">
        <f t="shared" si="16"/>
        <v>346.44355255688725</v>
      </c>
      <c r="DS64" s="57">
        <f t="shared" si="17"/>
        <v>618.97292564400595</v>
      </c>
      <c r="DT64" s="57">
        <f ca="1">AVERAGE(OFFSET($DS$3,0,0,'Données projet'!$E$14+1,1))-AVERAGE(OFFSET($H$3,0,0,'Données projet'!$E$14+1,1))</f>
        <v>313.79279628660527</v>
      </c>
      <c r="DU64" s="57">
        <f t="shared" si="44"/>
        <v>317.45469955216254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14.685397077556162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14.685397077556162</v>
      </c>
      <c r="EE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64.326192660123283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15.75</v>
      </c>
      <c r="EJ64" s="12">
        <f>IF('Données projet'!$A$192&gt;35,EJ63+EI64-ER63,IF(A64&lt;'Données projet'!$A$192,$EG$205^A64,IF(A64='Données projet'!$A$192,'Données projet'!$B$192,EJ63+EI64-ER63)))</f>
        <v>493.50000000000011</v>
      </c>
      <c r="EK64" s="17">
        <f>EJ64*VLOOKUP('Données projet'!$B$15,Paramètres!$A$1:$I$89,3,0)*VLOOKUP('Données projet'!$B$15,Paramètres!$A$1:$I$89,5,0)</f>
        <v>423.42300000000012</v>
      </c>
      <c r="EL64" s="13">
        <f t="shared" si="45"/>
        <v>96.509477494398283</v>
      </c>
      <c r="EM64" s="20">
        <f t="shared" si="19"/>
        <v>905.54906496941055</v>
      </c>
      <c r="EN64" s="57">
        <f t="shared" si="20"/>
        <v>1178.0784380565292</v>
      </c>
      <c r="EO64" s="57">
        <f ca="1">AVERAGE(OFFSET($EN$3,0,0,'Données projet'!$E$15+1,1))-AVERAGE(OFFSET($H$3,0,0,'Données projet'!$E$15+1,1))</f>
        <v>643.04899298561475</v>
      </c>
      <c r="EP64" s="57">
        <f t="shared" si="46"/>
        <v>474.94999304483031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60.165245117660824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60.165245117660824</v>
      </c>
      <c r="EZ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64.326192660123283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5.2</v>
      </c>
      <c r="FE64" s="12">
        <f>IF('Données projet'!$A$218&gt;35,FE63+FD64-FM63,IF(A64&lt;'Données projet'!$A$218,$FB$205^A64,IF(A64='Données projet'!$A$218,'Données projet'!$B$218,FE63+FD64-FM63)))</f>
        <v>285.19999999999987</v>
      </c>
      <c r="FF64" s="17">
        <f>FE64*VLOOKUP('Données projet'!$B$16,Paramètres!$A$1:$I$89,3,0)*VLOOKUP('Données projet'!$B$16,Paramètres!$A$1:$I$89,5,0)</f>
        <v>231.35423999999992</v>
      </c>
      <c r="FG64" s="13">
        <f t="shared" si="47"/>
        <v>56.575399756999062</v>
      </c>
      <c r="FH64" s="20">
        <f t="shared" si="22"/>
        <v>501.47745591010658</v>
      </c>
      <c r="FI64" s="57">
        <f t="shared" si="23"/>
        <v>774.00682899722528</v>
      </c>
      <c r="FJ64" s="57">
        <f ca="1">AVERAGE(OFFSET($FI$3,0,0,'Données projet'!$E$16+1,1))-AVERAGE(OFFSET($H$3,0,0,'Données projet'!$E$16+1,1))</f>
        <v>375.34603719604439</v>
      </c>
      <c r="FK64" s="57">
        <f t="shared" si="48"/>
        <v>363.99476973672211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31.964994508656307</v>
      </c>
      <c r="FR64" s="21">
        <f>EXP(-LN(2)/25)*FR63+(1-EXP(-LN(2)/25))/(LN(2)/25)*Calculateur!FM64*Calculateur!FO64*VLOOKUP('Données projet'!$B$16,Paramètres!$A$1:$I$89,3,0)*0.475*44/12</f>
        <v>0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31.964994508656307</v>
      </c>
      <c r="FU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64.326192660123283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-1.1368683772161603E-13</v>
      </c>
      <c r="GA64" s="17">
        <f>FZ64*VLOOKUP('Données projet'!$B$17,Paramètres!$A$1:$I$89,3,0)*VLOOKUP('Données projet'!$B$17,Paramètres!$A$1:$I$89,5,0)</f>
        <v>-6.3550942286383367E-14</v>
      </c>
      <c r="GB64" s="13" t="e">
        <f t="shared" si="49"/>
        <v>#NUM!</v>
      </c>
      <c r="GC64" s="20" t="e">
        <f t="shared" si="25"/>
        <v>#NUM!</v>
      </c>
      <c r="GD64" s="57" t="e">
        <f t="shared" si="26"/>
        <v>#NUM!</v>
      </c>
      <c r="GE64" s="57">
        <f ca="1">AVERAGE(OFFSET($GD$3,0,0,'Données projet'!$E$17+1,1))-AVERAGE(OFFSET($H$3,0,0,'Données projet'!$E$17+1,1))</f>
        <v>414.47327143450701</v>
      </c>
      <c r="GF64" s="57">
        <f t="shared" si="50"/>
        <v>546.83385887302961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262.17519614083437</v>
      </c>
      <c r="GM64" s="21">
        <f>EXP(-LN(2)/25)*GM63+(1-EXP(-LN(2)/25))/(LN(2)/25)*Calculateur!GH64*Calculateur!GJ64*VLOOKUP('Données projet'!$B$17,Paramètres!$A$1:$I$89,3,0)*0.475*44/12</f>
        <v>52.434475609797659</v>
      </c>
      <c r="GN64" s="21">
        <f>EXP(-LN(2)/2)*GN63+(1-EXP(-LN(2)/2))/(LN(2)/2)*GH64*GK64*VLOOKUP('Données projet'!$B$17,Paramètres!$A$1:$I$89,3,0)*0.475*44/12</f>
        <v>3.6722680595097699</v>
      </c>
      <c r="GO64" s="21">
        <f t="shared" si="27"/>
        <v>318.28193981014181</v>
      </c>
      <c r="GP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64.326192660123283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8.4</v>
      </c>
      <c r="GU64" s="12">
        <f>IF('Données projet'!$A$270&gt;35,GU63+GT64-HC63,IF(A64&lt;'Données projet'!$A$270,$GR$205^A64,IF(A64='Données projet'!$A$270,'Données projet'!$B$270,GU63+GT64-HC63)))</f>
        <v>357.40000000000009</v>
      </c>
      <c r="GV64" s="17">
        <f>GU64*VLOOKUP('Données projet'!$B$18,Paramètres!$A$1:$I$89,3,0)*VLOOKUP('Données projet'!$B$18,Paramètres!$A$1:$I$89,5,0)</f>
        <v>195.14040000000006</v>
      </c>
      <c r="GW64" s="13">
        <f t="shared" si="51"/>
        <v>48.674650600880497</v>
      </c>
      <c r="GX64" s="20">
        <f t="shared" si="28"/>
        <v>424.64454646320024</v>
      </c>
      <c r="GY64" s="57">
        <f t="shared" si="29"/>
        <v>697.17391955031894</v>
      </c>
      <c r="GZ64" s="57">
        <f ca="1">AVERAGE(OFFSET($GY$3,0,0,'Données projet'!$E$18+1,1))-AVERAGE(OFFSET($H$3,0,0,'Données projet'!$E$18+1,1))</f>
        <v>381.00532469288714</v>
      </c>
      <c r="HA64" s="57">
        <f t="shared" si="52"/>
        <v>314.875259641757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>
        <f>EXP(-LN(2)/35)*HG63+(1-EXP(-LN(2)/35))/(LN(2)/35)*HC64*HD64*VLOOKUP('Données projet'!$B$18,Paramètres!$A$1:$I$89,3,0)*0.475*44/12</f>
        <v>46.670556682888225</v>
      </c>
      <c r="HH64" s="21">
        <f>EXP(-LN(2)/25)*HH63+(1-EXP(-LN(2)/25))/(LN(2)/25)*Calculateur!HC64*Calculateur!HE64*VLOOKUP('Données projet'!$B$18,Paramètres!$A$1:$I$89,3,0)*0.475*44/12</f>
        <v>23.445119185612207</v>
      </c>
      <c r="HI64" s="21">
        <f>EXP(-LN(2)/2)*HI63+(1-EXP(-LN(2)/2))/(LN(2)/2)*HC64*HF64*VLOOKUP('Données projet'!$B$18,Paramètres!$A$1:$I$89,3,0)*0.475*44/12</f>
        <v>1.9834552227891649</v>
      </c>
      <c r="HJ64" s="22">
        <f t="shared" si="30"/>
        <v>72.099131091289593</v>
      </c>
    </row>
    <row r="65" spans="1:218" x14ac:dyDescent="0.2">
      <c r="A65" s="10">
        <f t="shared" si="31"/>
        <v>62</v>
      </c>
      <c r="B65" s="71">
        <f>'Scénario référence'!$B$16*5+'Scénario référence'!$B$17*0+'Scénario référence'!$B$18*5</f>
        <v>3.3000000000000003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12.100000000000001</v>
      </c>
      <c r="H65" s="65">
        <f t="shared" si="1"/>
        <v>208.26666666666665</v>
      </c>
      <c r="I65" s="6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64.424620532737237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5.4</v>
      </c>
      <c r="N65" s="13">
        <f>IF('Données projet'!$A$36&gt;35,N64+M65-V64,IF(A65&lt;'Données projet'!$A$36,$K$205^A65,IF(A65='Données projet'!$A$36,'Données projet'!$B$36,N64+M65-V64)))</f>
        <v>144.79999999999998</v>
      </c>
      <c r="O65" s="13">
        <f>N65*VLOOKUP('Données projet'!$B$9,Paramètres!$A$1:$I$89,3,0)*VLOOKUP('Données projet'!$B$9,Paramètres!$A$1:$I$89,5,0)</f>
        <v>146.82719999999998</v>
      </c>
      <c r="P65" s="13">
        <f t="shared" si="33"/>
        <v>37.856660748046984</v>
      </c>
      <c r="Q65" s="20">
        <f t="shared" si="53"/>
        <v>321.6577241361818</v>
      </c>
      <c r="R65" s="57">
        <f t="shared" si="0"/>
        <v>594.54799942288503</v>
      </c>
      <c r="S65" s="57">
        <f ca="1">AVERAGE(OFFSET($R$3,0,0,'Données projet'!$E$9+1,1))-AVERAGE(OFFSET($H$3,0,0,'Données projet'!$E$9+1,1))</f>
        <v>332.70145542047612</v>
      </c>
      <c r="T65" s="57">
        <f t="shared" si="34"/>
        <v>172.22433737900428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6.6091069964383458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6.6091069964383458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64.424620532737237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>
        <f>VLOOKUP(A65,'Données projet'!$A$61:$I$81,2,0)</f>
        <v>171.64</v>
      </c>
      <c r="AG65" s="12">
        <f>VLOOKUP(A65,'Données projet'!$A$61:$I$81,9,0)</f>
        <v>7.1366666666666658</v>
      </c>
      <c r="AH65" s="12">
        <f t="array" ref="AH65">INDEX(AG:AG,MIN(IF(ISNUMBER(AG65:AG261),ROW(AG65:AG261),"")))</f>
        <v>7.1366666666666658</v>
      </c>
      <c r="AI65" s="13">
        <f>IF('Données projet'!$A$62&gt;35,AI64+AH65-AQ64,IF(A65&lt;'Données projet'!$A$62,$AF$205^A65,IF(A65='Données projet'!$A$62,'Données projet'!$B$62,AI64+AH65-AQ64)))</f>
        <v>171.64</v>
      </c>
      <c r="AJ65" s="13">
        <f>AI65*VLOOKUP('Données projet'!$B$10,Paramètres!$A$1:$I$89,3,0)*VLOOKUP('Données projet'!$B$10,Paramètres!$A$1:$I$89,5,0)</f>
        <v>155.29987199999997</v>
      </c>
      <c r="AK65" s="13">
        <f t="shared" si="35"/>
        <v>39.780555820604405</v>
      </c>
      <c r="AL65" s="20">
        <f t="shared" si="4"/>
        <v>339.76507845421929</v>
      </c>
      <c r="AM65" s="57">
        <f t="shared" si="5"/>
        <v>612.65535374092246</v>
      </c>
      <c r="AN65" s="57">
        <f ca="1">AVERAGE(OFFSET($AM$3,0,0,'Données projet'!$E$10+1,1))-AVERAGE(OFFSET($H$3,0,0,'Données projet'!$E$10+1,1))</f>
        <v>469.4210143164521</v>
      </c>
      <c r="AO65" s="57">
        <f t="shared" si="36"/>
        <v>308.4508386530556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11.617243344785095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11.617243344785095</v>
      </c>
      <c r="AY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64.424620532737237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5.2</v>
      </c>
      <c r="BD65" s="12">
        <f>IF('Données projet'!$A$88&gt;35,BD64+BC65-BL64,IF(A65&lt;'Données projet'!$A$88,$BA$205^A65,IF(A65='Données projet'!$A$88,'Données projet'!$B$88,BD64+BC65-BL64)))</f>
        <v>290.39999999999986</v>
      </c>
      <c r="BE65" s="13">
        <f>BD65*VLOOKUP('Données projet'!$B$11,Paramètres!$A$1:$I$89,3,0)*VLOOKUP('Données projet'!$B$11,Paramètres!$A$1:$I$89,5,0)</f>
        <v>212.92127999999988</v>
      </c>
      <c r="BF65" s="13">
        <f t="shared" si="37"/>
        <v>52.57344469809297</v>
      </c>
      <c r="BG65" s="20">
        <f t="shared" si="7"/>
        <v>462.40331218251168</v>
      </c>
      <c r="BH65" s="57">
        <f t="shared" si="8"/>
        <v>735.29358746921491</v>
      </c>
      <c r="BI65" s="57">
        <f ca="1">AVERAGE(OFFSET($BH$3,0,0,'Données projet'!$E$11+1,1))-AVERAGE(OFFSET($H$3,0,0,'Données projet'!$E$11+1,1))</f>
        <v>344.32981377462971</v>
      </c>
      <c r="BJ65" s="57">
        <f t="shared" si="38"/>
        <v>334.42512656625763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22.980574280061855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22.980574280061855</v>
      </c>
      <c r="BT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64.424620532737237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8.1999999999999993</v>
      </c>
      <c r="BY65" s="12">
        <f>IF('Données projet'!$A$114&gt;35,BY64+BX65-CG64,IF(A65&lt;'Données projet'!$A$114,$BV$205^A65,IF(A65='Données projet'!$A$114,'Données projet'!$B$114,BY64+BX65-CG64)))</f>
        <v>267.40000000000015</v>
      </c>
      <c r="BZ65" s="13">
        <f>BY65*VLOOKUP('Données projet'!$B$12,Paramètres!$A$1:$I$89,3,0)*VLOOKUP('Données projet'!$B$12,Paramètres!$A$1:$I$89,5,0)</f>
        <v>254.45784000000015</v>
      </c>
      <c r="CA65" s="13">
        <f t="shared" si="39"/>
        <v>61.539536058931091</v>
      </c>
      <c r="CB65" s="20">
        <f t="shared" si="10"/>
        <v>550.36209663597197</v>
      </c>
      <c r="CC65" s="57">
        <f t="shared" si="11"/>
        <v>823.25237192267514</v>
      </c>
      <c r="CD65" s="57">
        <f ca="1">AVERAGE(OFFSET($CC$3,0,0,'Données projet'!$E$12+1,1))-AVERAGE(OFFSET($H$3,0,0,'Données projet'!$E$12+1,1))</f>
        <v>498.77732039282807</v>
      </c>
      <c r="CE65" s="57">
        <f t="shared" si="40"/>
        <v>384.57317421826531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19.438913408430139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19.438913408430139</v>
      </c>
      <c r="CO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64.424620532737237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>
        <f>VLOOKUP(A65,'Données projet'!$A$139:$I$159,2,0)</f>
        <v>171.64</v>
      </c>
      <c r="CR65" s="12">
        <f>VLOOKUP(A65,'Données projet'!$A$139:$I$159,9,0)</f>
        <v>7.1366666666666658</v>
      </c>
      <c r="CS65" s="12">
        <f t="array" ref="CS65">INDEX(CR:CR,MIN(IF(ISNUMBER(CR65:CR261),ROW(CR65:CR261),"")))</f>
        <v>7.1366666666666658</v>
      </c>
      <c r="CT65" s="12">
        <f>IF('Données projet'!$A$140&gt;35,CT64+CS65-DB64,IF(A65&lt;'Données projet'!$A$140,$CQ$205^A65,IF(A65='Données projet'!$A$140,'Données projet'!$B$140,CT64+CS65-DB64)))</f>
        <v>171.64</v>
      </c>
      <c r="CU65" s="17">
        <f>CT65*VLOOKUP('Données projet'!$B$13,Paramètres!$A$1:$I$89,3,0)*VLOOKUP('Données projet'!$B$13,Paramètres!$A$1:$I$89,5,0)</f>
        <v>115.136112</v>
      </c>
      <c r="CV65" s="13">
        <f t="shared" si="41"/>
        <v>30.537859954214081</v>
      </c>
      <c r="CW65" s="20">
        <f t="shared" si="13"/>
        <v>253.71550115358954</v>
      </c>
      <c r="CX65" s="57">
        <f t="shared" si="14"/>
        <v>526.60577644029274</v>
      </c>
      <c r="CY65" s="57">
        <f ca="1">AVERAGE(OFFSET($CX$3,0,0,'Données projet'!$E$13+1,1))-AVERAGE(OFFSET($H$3,0,0,'Données projet'!$E$13+1,1))</f>
        <v>365.99625753737246</v>
      </c>
      <c r="CZ65" s="57">
        <f t="shared" si="42"/>
        <v>242.84814712692287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10.615756849545001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10.615756849545001</v>
      </c>
      <c r="DJ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64.424620532737237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5.8</v>
      </c>
      <c r="DO65" s="12">
        <f>IF('Données projet'!$A$166&gt;35,DO64+DN65-DW64,IF(A65&lt;'Données projet'!$A$166,$DL$205^A65,IF(A65='Données projet'!$A$166,'Données projet'!$B$166,DO64+DN65-DW64)))</f>
        <v>247.60000000000008</v>
      </c>
      <c r="DP65" s="17">
        <f>DO65*VLOOKUP('Données projet'!$B$14,Paramètres!$A$1:$I$89,3,0)*VLOOKUP('Données projet'!$B$14,Paramètres!$A$1:$I$89,5,0)</f>
        <v>162.22752000000006</v>
      </c>
      <c r="DQ65" s="13">
        <f t="shared" si="43"/>
        <v>41.34453376038482</v>
      </c>
      <c r="DR65" s="20">
        <f t="shared" si="16"/>
        <v>354.554660299337</v>
      </c>
      <c r="DS65" s="57">
        <f t="shared" si="17"/>
        <v>627.44493558604017</v>
      </c>
      <c r="DT65" s="57">
        <f ca="1">AVERAGE(OFFSET($DS$3,0,0,'Données projet'!$E$14+1,1))-AVERAGE(OFFSET($H$3,0,0,'Données projet'!$E$14+1,1))</f>
        <v>313.79279628660527</v>
      </c>
      <c r="DU65" s="57">
        <f t="shared" si="44"/>
        <v>317.45469955216254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14.397425398073052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14.397425398073052</v>
      </c>
      <c r="EE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64.424620532737237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15.75</v>
      </c>
      <c r="EJ65" s="12">
        <f>IF('Données projet'!$A$192&gt;35,EJ64+EI65-ER64,IF(A65&lt;'Données projet'!$A$192,$EG$205^A65,IF(A65='Données projet'!$A$192,'Données projet'!$B$192,EJ64+EI65-ER64)))</f>
        <v>509.25000000000011</v>
      </c>
      <c r="EK65" s="17">
        <f>EJ65*VLOOKUP('Données projet'!$B$15,Paramètres!$A$1:$I$89,3,0)*VLOOKUP('Données projet'!$B$15,Paramètres!$A$1:$I$89,5,0)</f>
        <v>436.93650000000014</v>
      </c>
      <c r="EL65" s="13">
        <f t="shared" si="45"/>
        <v>99.226048637397696</v>
      </c>
      <c r="EM65" s="20">
        <f t="shared" si="19"/>
        <v>933.81643887680104</v>
      </c>
      <c r="EN65" s="57">
        <f t="shared" si="20"/>
        <v>1206.7067141635043</v>
      </c>
      <c r="EO65" s="57">
        <f ca="1">AVERAGE(OFFSET($EN$3,0,0,'Données projet'!$E$15+1,1))-AVERAGE(OFFSET($H$3,0,0,'Données projet'!$E$15+1,1))</f>
        <v>643.04899298561475</v>
      </c>
      <c r="EP65" s="57">
        <f t="shared" si="46"/>
        <v>474.94999304483031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58.98544135807947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58.98544135807947</v>
      </c>
      <c r="EZ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64.424620532737237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5.2</v>
      </c>
      <c r="FE65" s="12">
        <f>IF('Données projet'!$A$218&gt;35,FE64+FD65-FM64,IF(A65&lt;'Données projet'!$A$218,$FB$205^A65,IF(A65='Données projet'!$A$218,'Données projet'!$B$218,FE64+FD65-FM64)))</f>
        <v>290.39999999999986</v>
      </c>
      <c r="FF65" s="17">
        <f>FE65*VLOOKUP('Données projet'!$B$16,Paramètres!$A$1:$I$89,3,0)*VLOOKUP('Données projet'!$B$16,Paramètres!$A$1:$I$89,5,0)</f>
        <v>235.5724799999999</v>
      </c>
      <c r="FG65" s="13">
        <f t="shared" si="47"/>
        <v>57.485898111011707</v>
      </c>
      <c r="FH65" s="20">
        <f t="shared" si="22"/>
        <v>510.41000854334516</v>
      </c>
      <c r="FI65" s="57">
        <f t="shared" si="23"/>
        <v>783.30028383004833</v>
      </c>
      <c r="FJ65" s="57">
        <f ca="1">AVERAGE(OFFSET($FI$3,0,0,'Données projet'!$E$16+1,1))-AVERAGE(OFFSET($H$3,0,0,'Données projet'!$E$16+1,1))</f>
        <v>375.34603719604439</v>
      </c>
      <c r="FK65" s="57">
        <f t="shared" si="48"/>
        <v>363.99476973672211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31.338180463063065</v>
      </c>
      <c r="FR65" s="21">
        <f>EXP(-LN(2)/25)*FR64+(1-EXP(-LN(2)/25))/(LN(2)/25)*Calculateur!FM65*Calculateur!FO65*VLOOKUP('Données projet'!$B$16,Paramètres!$A$1:$I$89,3,0)*0.475*44/12</f>
        <v>0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31.338180463063065</v>
      </c>
      <c r="FU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64.424620532737237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-1.1368683772161603E-13</v>
      </c>
      <c r="GA65" s="17">
        <f>FZ65*VLOOKUP('Données projet'!$B$17,Paramètres!$A$1:$I$89,3,0)*VLOOKUP('Données projet'!$B$17,Paramètres!$A$1:$I$89,5,0)</f>
        <v>-6.3550942286383367E-14</v>
      </c>
      <c r="GB65" s="13" t="e">
        <f t="shared" si="49"/>
        <v>#NUM!</v>
      </c>
      <c r="GC65" s="20" t="e">
        <f t="shared" si="25"/>
        <v>#NUM!</v>
      </c>
      <c r="GD65" s="57" t="e">
        <f t="shared" si="26"/>
        <v>#NUM!</v>
      </c>
      <c r="GE65" s="57">
        <f ca="1">AVERAGE(OFFSET($GD$3,0,0,'Données projet'!$E$17+1,1))-AVERAGE(OFFSET($H$3,0,0,'Données projet'!$E$17+1,1))</f>
        <v>414.47327143450701</v>
      </c>
      <c r="GF65" s="57">
        <f t="shared" si="50"/>
        <v>546.83385887302961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257.03410045559235</v>
      </c>
      <c r="GM65" s="21">
        <f>EXP(-LN(2)/25)*GM64+(1-EXP(-LN(2)/25))/(LN(2)/25)*Calculateur!GH65*Calculateur!GJ65*VLOOKUP('Données projet'!$B$17,Paramètres!$A$1:$I$89,3,0)*0.475*44/12</f>
        <v>51.000652116838509</v>
      </c>
      <c r="GN65" s="21">
        <f>EXP(-LN(2)/2)*GN64+(1-EXP(-LN(2)/2))/(LN(2)/2)*GH65*GK65*VLOOKUP('Données projet'!$B$17,Paramètres!$A$1:$I$89,3,0)*0.475*44/12</f>
        <v>2.5966856472141226</v>
      </c>
      <c r="GO65" s="21">
        <f t="shared" si="27"/>
        <v>310.63143821964502</v>
      </c>
      <c r="GP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64.424620532737237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8.4</v>
      </c>
      <c r="GU65" s="12">
        <f>IF('Données projet'!$A$270&gt;35,GU64+GT65-HC64,IF(A65&lt;'Données projet'!$A$270,$GR$205^A65,IF(A65='Données projet'!$A$270,'Données projet'!$B$270,GU64+GT65-HC64)))</f>
        <v>365.80000000000007</v>
      </c>
      <c r="GV65" s="17">
        <f>GU65*VLOOKUP('Données projet'!$B$18,Paramètres!$A$1:$I$89,3,0)*VLOOKUP('Données projet'!$B$18,Paramètres!$A$1:$I$89,5,0)</f>
        <v>199.72680000000003</v>
      </c>
      <c r="GW65" s="13">
        <f t="shared" si="51"/>
        <v>49.684121858557667</v>
      </c>
      <c r="GX65" s="20">
        <f t="shared" si="28"/>
        <v>434.39068890365462</v>
      </c>
      <c r="GY65" s="57">
        <f t="shared" si="29"/>
        <v>707.28096419035785</v>
      </c>
      <c r="GZ65" s="57">
        <f ca="1">AVERAGE(OFFSET($GY$3,0,0,'Données projet'!$E$18+1,1))-AVERAGE(OFFSET($H$3,0,0,'Données projet'!$E$18+1,1))</f>
        <v>381.00532469288714</v>
      </c>
      <c r="HA65" s="57">
        <f t="shared" si="52"/>
        <v>314.875259641757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>
        <f>EXP(-LN(2)/35)*HG64+(1-EXP(-LN(2)/35))/(LN(2)/35)*HC65*HD65*VLOOKUP('Données projet'!$B$18,Paramètres!$A$1:$I$89,3,0)*0.475*44/12</f>
        <v>45.755375532565559</v>
      </c>
      <c r="HH65" s="21">
        <f>EXP(-LN(2)/25)*HH64+(1-EXP(-LN(2)/25))/(LN(2)/25)*Calculateur!HC65*Calculateur!HE65*VLOOKUP('Données projet'!$B$18,Paramètres!$A$1:$I$89,3,0)*0.475*44/12</f>
        <v>22.804011168556407</v>
      </c>
      <c r="HI65" s="21">
        <f>EXP(-LN(2)/2)*HI64+(1-EXP(-LN(2)/2))/(LN(2)/2)*HC65*HF65*VLOOKUP('Données projet'!$B$18,Paramètres!$A$1:$I$89,3,0)*0.475*44/12</f>
        <v>1.4025146382140929</v>
      </c>
      <c r="HJ65" s="22">
        <f t="shared" si="30"/>
        <v>69.961901339336052</v>
      </c>
    </row>
    <row r="66" spans="1:218" x14ac:dyDescent="0.2">
      <c r="A66" s="10">
        <f t="shared" si="31"/>
        <v>63</v>
      </c>
      <c r="B66" s="71">
        <f>'Scénario référence'!$B$16*5+'Scénario référence'!$B$17*0+'Scénario référence'!$B$18*5</f>
        <v>3.3000000000000003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12.100000000000001</v>
      </c>
      <c r="H66" s="65">
        <f t="shared" si="1"/>
        <v>208.26666666666665</v>
      </c>
      <c r="I66" s="6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64.521340901813105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5.4</v>
      </c>
      <c r="N66" s="13">
        <f>IF('Données projet'!$A$36&gt;35,N65+M66-V65,IF(A66&lt;'Données projet'!$A$36,$K$205^A66,IF(A66='Données projet'!$A$36,'Données projet'!$B$36,N65+M66-V65)))</f>
        <v>150.19999999999999</v>
      </c>
      <c r="O66" s="13">
        <f>N66*VLOOKUP('Données projet'!$B$9,Paramètres!$A$1:$I$89,3,0)*VLOOKUP('Données projet'!$B$9,Paramètres!$A$1:$I$89,5,0)</f>
        <v>152.30279999999999</v>
      </c>
      <c r="P66" s="13">
        <f t="shared" si="33"/>
        <v>39.101440255006928</v>
      </c>
      <c r="Q66" s="20">
        <f t="shared" si="53"/>
        <v>333.3623851108037</v>
      </c>
      <c r="R66" s="57">
        <f t="shared" si="0"/>
        <v>606.60730175078515</v>
      </c>
      <c r="S66" s="57">
        <f ca="1">AVERAGE(OFFSET($R$3,0,0,'Données projet'!$E$9+1,1))-AVERAGE(OFFSET($H$3,0,0,'Données projet'!$E$9+1,1))</f>
        <v>332.70145542047612</v>
      </c>
      <c r="T66" s="57">
        <f t="shared" si="34"/>
        <v>172.22433737900428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6.479506439395414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6.479506439395414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64.521340901813105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</v>
      </c>
      <c r="AI66" s="13">
        <f>IF('Données projet'!$A$62&gt;35,AI65+AH66-AQ65,IF(A66&lt;'Données projet'!$A$62,$AF$205^A66,IF(A66='Données projet'!$A$62,'Données projet'!$B$62,AI65+AH66-AQ65)))</f>
        <v>179.64</v>
      </c>
      <c r="AJ66" s="13">
        <f>AI66*VLOOKUP('Données projet'!$B$10,Paramètres!$A$1:$I$89,3,0)*VLOOKUP('Données projet'!$B$10,Paramètres!$A$1:$I$89,5,0)</f>
        <v>162.53827199999998</v>
      </c>
      <c r="AK66" s="13">
        <f t="shared" si="35"/>
        <v>41.414504235718937</v>
      </c>
      <c r="AL66" s="20">
        <f t="shared" si="4"/>
        <v>355.21775194387709</v>
      </c>
      <c r="AM66" s="57">
        <f t="shared" si="5"/>
        <v>628.46266858385843</v>
      </c>
      <c r="AN66" s="57">
        <f ca="1">AVERAGE(OFFSET($AM$3,0,0,'Données projet'!$E$10+1,1))-AVERAGE(OFFSET($H$3,0,0,'Données projet'!$E$10+1,1))</f>
        <v>469.4210143164521</v>
      </c>
      <c r="AO66" s="57">
        <f t="shared" si="36"/>
        <v>308.4508386530556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11.389436288612632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11.389436288612632</v>
      </c>
      <c r="AY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64.521340901813105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5.2</v>
      </c>
      <c r="BD66" s="12">
        <f>IF('Données projet'!$A$88&gt;35,BD65+BC66-BL65,IF(A66&lt;'Données projet'!$A$88,$BA$205^A66,IF(A66='Données projet'!$A$88,'Données projet'!$B$88,BD65+BC66-BL65)))</f>
        <v>295.59999999999985</v>
      </c>
      <c r="BE66" s="13">
        <f>BD66*VLOOKUP('Données projet'!$B$11,Paramètres!$A$1:$I$89,3,0)*VLOOKUP('Données projet'!$B$11,Paramètres!$A$1:$I$89,5,0)</f>
        <v>216.7339199999999</v>
      </c>
      <c r="BF66" s="13">
        <f t="shared" si="37"/>
        <v>53.404402610883679</v>
      </c>
      <c r="BG66" s="20">
        <f t="shared" si="7"/>
        <v>470.49091188062221</v>
      </c>
      <c r="BH66" s="57">
        <f t="shared" si="8"/>
        <v>743.7358285206036</v>
      </c>
      <c r="BI66" s="57">
        <f ca="1">AVERAGE(OFFSET($BH$3,0,0,'Données projet'!$E$11+1,1))-AVERAGE(OFFSET($H$3,0,0,'Données projet'!$E$11+1,1))</f>
        <v>344.32981377462971</v>
      </c>
      <c r="BJ66" s="57">
        <f t="shared" si="38"/>
        <v>334.42512656625763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22.529939235196114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22.529939235196114</v>
      </c>
      <c r="BT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64.521340901813105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8.1999999999999993</v>
      </c>
      <c r="BY66" s="12">
        <f>IF('Données projet'!$A$114&gt;35,BY65+BX66-CG65,IF(A66&lt;'Données projet'!$A$114,$BV$205^A66,IF(A66='Données projet'!$A$114,'Données projet'!$B$114,BY65+BX66-CG65)))</f>
        <v>275.60000000000014</v>
      </c>
      <c r="BZ66" s="13">
        <f>BY66*VLOOKUP('Données projet'!$B$12,Paramètres!$A$1:$I$89,3,0)*VLOOKUP('Données projet'!$B$12,Paramètres!$A$1:$I$89,5,0)</f>
        <v>262.26096000000013</v>
      </c>
      <c r="CA66" s="13">
        <f t="shared" si="39"/>
        <v>63.204080130428764</v>
      </c>
      <c r="CB66" s="20">
        <f t="shared" si="10"/>
        <v>566.85161156049696</v>
      </c>
      <c r="CC66" s="57">
        <f t="shared" si="11"/>
        <v>840.09652820047836</v>
      </c>
      <c r="CD66" s="57">
        <f ca="1">AVERAGE(OFFSET($CC$3,0,0,'Données projet'!$E$12+1,1))-AVERAGE(OFFSET($H$3,0,0,'Données projet'!$E$12+1,1))</f>
        <v>498.77732039282807</v>
      </c>
      <c r="CE66" s="57">
        <f t="shared" si="40"/>
        <v>384.57317421826531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19.057728173057264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19.057728173057264</v>
      </c>
      <c r="CO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64.521340901813105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8</v>
      </c>
      <c r="CT66" s="12">
        <f>IF('Données projet'!$A$140&gt;35,CT65+CS66-DB65,IF(A66&lt;'Données projet'!$A$140,$CQ$205^A66,IF(A66='Données projet'!$A$140,'Données projet'!$B$140,CT65+CS66-DB65)))</f>
        <v>179.64</v>
      </c>
      <c r="CU66" s="17">
        <f>CT66*VLOOKUP('Données projet'!$B$13,Paramètres!$A$1:$I$89,3,0)*VLOOKUP('Données projet'!$B$13,Paramètres!$A$1:$I$89,5,0)</f>
        <v>120.502512</v>
      </c>
      <c r="CV66" s="13">
        <f t="shared" si="41"/>
        <v>31.7921734459158</v>
      </c>
      <c r="CW66" s="20">
        <f t="shared" si="13"/>
        <v>265.2465771516367</v>
      </c>
      <c r="CX66" s="57">
        <f t="shared" si="14"/>
        <v>538.49149379161804</v>
      </c>
      <c r="CY66" s="57">
        <f ca="1">AVERAGE(OFFSET($CX$3,0,0,'Données projet'!$E$13+1,1))-AVERAGE(OFFSET($H$3,0,0,'Données projet'!$E$13+1,1))</f>
        <v>365.99625753737246</v>
      </c>
      <c r="CZ66" s="57">
        <f t="shared" si="42"/>
        <v>242.84814712692287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10.407588332697751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10.407588332697751</v>
      </c>
      <c r="DJ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64.521340901813105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5.8</v>
      </c>
      <c r="DO66" s="12">
        <f>IF('Données projet'!$A$166&gt;35,DO65+DN66-DW65,IF(A66&lt;'Données projet'!$A$166,$DL$205^A66,IF(A66='Données projet'!$A$166,'Données projet'!$B$166,DO65+DN66-DW65)))</f>
        <v>253.40000000000009</v>
      </c>
      <c r="DP66" s="17">
        <f>DO66*VLOOKUP('Données projet'!$B$14,Paramètres!$A$1:$I$89,3,0)*VLOOKUP('Données projet'!$B$14,Paramètres!$A$1:$I$89,5,0)</f>
        <v>166.02768000000006</v>
      </c>
      <c r="DQ66" s="13">
        <f t="shared" si="43"/>
        <v>42.199135504117315</v>
      </c>
      <c r="DR66" s="20">
        <f t="shared" si="16"/>
        <v>362.66170366967111</v>
      </c>
      <c r="DS66" s="57">
        <f t="shared" si="17"/>
        <v>635.90662030965245</v>
      </c>
      <c r="DT66" s="57">
        <f ca="1">AVERAGE(OFFSET($DS$3,0,0,'Données projet'!$E$14+1,1))-AVERAGE(OFFSET($H$3,0,0,'Données projet'!$E$14+1,1))</f>
        <v>313.79279628660527</v>
      </c>
      <c r="DU66" s="57">
        <f t="shared" si="44"/>
        <v>317.45469955216254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14.115100667579226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14.115100667579226</v>
      </c>
      <c r="EE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64.521340901813105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>
        <f>VLOOKUP(A66,'Données projet'!$A$191:$I$211,2,0)</f>
        <v>525</v>
      </c>
      <c r="EH66" s="12">
        <f>VLOOKUP(A66,'Données projet'!$A$191:$I$211,9,0)</f>
        <v>15.75</v>
      </c>
      <c r="EI66" s="12">
        <f t="array" ref="EI66">INDEX(EH:EH,MIN(IF(ISNUMBER(EH66:EH262),ROW(EH66:EH262),"")))</f>
        <v>15.75</v>
      </c>
      <c r="EJ66" s="12">
        <f>IF('Données projet'!$A$192&gt;35,EJ65+EI66-ER65,IF(A66&lt;'Données projet'!$A$192,$EG$205^A66,IF(A66='Données projet'!$A$192,'Données projet'!$B$192,EJ65+EI66-ER65)))</f>
        <v>525.00000000000011</v>
      </c>
      <c r="EK66" s="17">
        <f>EJ66*VLOOKUP('Données projet'!$B$15,Paramètres!$A$1:$I$89,3,0)*VLOOKUP('Données projet'!$B$15,Paramètres!$A$1:$I$89,5,0)</f>
        <v>450.45000000000022</v>
      </c>
      <c r="EL66" s="13">
        <f t="shared" si="45"/>
        <v>101.93285606199899</v>
      </c>
      <c r="EM66" s="20">
        <f t="shared" si="19"/>
        <v>962.06680764131522</v>
      </c>
      <c r="EN66" s="57">
        <f t="shared" si="20"/>
        <v>1235.3117242812966</v>
      </c>
      <c r="EO66" s="57">
        <f ca="1">AVERAGE(OFFSET($EN$3,0,0,'Données projet'!$E$15+1,1))-AVERAGE(OFFSET($H$3,0,0,'Données projet'!$E$15+1,1))</f>
        <v>643.04899298561475</v>
      </c>
      <c r="EP66" s="57">
        <f t="shared" si="46"/>
        <v>474.94999304483031</v>
      </c>
      <c r="EQ66" s="15">
        <f>IF(ISNA(VLOOKUP(A66,'Données projet'!$A$191:$I$211,3,0)),0,VLOOKUP(A66,'Données projet'!$A$191:$I$211,3,0))</f>
        <v>10</v>
      </c>
      <c r="ER66" s="15">
        <f>IF(ISNA(VLOOKUP(A66,'Données projet'!$A$191:$I$211,4,0)),0,VLOOKUP(A66,'Données projet'!$A$191:$I$211,4,0))</f>
        <v>124</v>
      </c>
      <c r="ES66" s="16">
        <f>IF(ISNA(VLOOKUP(A66,'Données projet'!$A$191:$I$211,5,0)),0%,VLOOKUP(A66,'Données projet'!$A$191:$I$211,5,0)*VLOOKUP('Données projet'!$B$15,Paramètres!$A$1:$I$89,7,0))</f>
        <v>0.371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101.46327174436331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101.46327174436331</v>
      </c>
      <c r="EZ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64.521340901813105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5.2</v>
      </c>
      <c r="FE66" s="12">
        <f>IF('Données projet'!$A$218&gt;35,FE65+FD66-FM65,IF(A66&lt;'Données projet'!$A$218,$FB$205^A66,IF(A66='Données projet'!$A$218,'Données projet'!$B$218,FE65+FD66-FM65)))</f>
        <v>295.59999999999985</v>
      </c>
      <c r="FF66" s="17">
        <f>FE66*VLOOKUP('Données projet'!$B$16,Paramètres!$A$1:$I$89,3,0)*VLOOKUP('Données projet'!$B$16,Paramètres!$A$1:$I$89,5,0)</f>
        <v>239.79071999999991</v>
      </c>
      <c r="FG66" s="13">
        <f t="shared" si="47"/>
        <v>58.394500584818381</v>
      </c>
      <c r="FH66" s="20">
        <f t="shared" si="22"/>
        <v>519.33925918522516</v>
      </c>
      <c r="FI66" s="57">
        <f t="shared" si="23"/>
        <v>792.58417582520656</v>
      </c>
      <c r="FJ66" s="57">
        <f ca="1">AVERAGE(OFFSET($FI$3,0,0,'Données projet'!$E$16+1,1))-AVERAGE(OFFSET($H$3,0,0,'Données projet'!$E$16+1,1))</f>
        <v>375.34603719604439</v>
      </c>
      <c r="FK66" s="57">
        <f t="shared" si="48"/>
        <v>363.99476973672211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30.723657858585089</v>
      </c>
      <c r="FR66" s="21">
        <f>EXP(-LN(2)/25)*FR65+(1-EXP(-LN(2)/25))/(LN(2)/25)*Calculateur!FM66*Calculateur!FO66*VLOOKUP('Données projet'!$B$16,Paramètres!$A$1:$I$89,3,0)*0.475*44/12</f>
        <v>0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30.723657858585089</v>
      </c>
      <c r="FU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64.521340901813105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-1.1368683772161603E-13</v>
      </c>
      <c r="GA66" s="17">
        <f>FZ66*VLOOKUP('Données projet'!$B$17,Paramètres!$A$1:$I$89,3,0)*VLOOKUP('Données projet'!$B$17,Paramètres!$A$1:$I$89,5,0)</f>
        <v>-6.3550942286383367E-14</v>
      </c>
      <c r="GB66" s="13" t="e">
        <f t="shared" si="49"/>
        <v>#NUM!</v>
      </c>
      <c r="GC66" s="20" t="e">
        <f t="shared" si="25"/>
        <v>#NUM!</v>
      </c>
      <c r="GD66" s="57" t="e">
        <f t="shared" si="26"/>
        <v>#NUM!</v>
      </c>
      <c r="GE66" s="57">
        <f ca="1">AVERAGE(OFFSET($GD$3,0,0,'Données projet'!$E$17+1,1))-AVERAGE(OFFSET($H$3,0,0,'Données projet'!$E$17+1,1))</f>
        <v>414.47327143450701</v>
      </c>
      <c r="GF66" s="57">
        <f t="shared" si="50"/>
        <v>546.83385887302961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251.99381852097918</v>
      </c>
      <c r="GM66" s="21">
        <f>EXP(-LN(2)/25)*GM65+(1-EXP(-LN(2)/25))/(LN(2)/25)*Calculateur!GH66*Calculateur!GJ66*VLOOKUP('Données projet'!$B$17,Paramètres!$A$1:$I$89,3,0)*0.475*44/12</f>
        <v>49.606036602695831</v>
      </c>
      <c r="GN66" s="21">
        <f>EXP(-LN(2)/2)*GN65+(1-EXP(-LN(2)/2))/(LN(2)/2)*GH66*GK66*VLOOKUP('Données projet'!$B$17,Paramètres!$A$1:$I$89,3,0)*0.475*44/12</f>
        <v>1.8361340297548854</v>
      </c>
      <c r="GO66" s="21">
        <f t="shared" si="27"/>
        <v>303.43598915342989</v>
      </c>
      <c r="GP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64.521340901813105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8.4</v>
      </c>
      <c r="GU66" s="12">
        <f>IF('Données projet'!$A$270&gt;35,GU65+GT66-HC65,IF(A66&lt;'Données projet'!$A$270,$GR$205^A66,IF(A66='Données projet'!$A$270,'Données projet'!$B$270,GU65+GT66-HC65)))</f>
        <v>374.20000000000005</v>
      </c>
      <c r="GV66" s="17">
        <f>GU66*VLOOKUP('Données projet'!$B$18,Paramètres!$A$1:$I$89,3,0)*VLOOKUP('Données projet'!$B$18,Paramètres!$A$1:$I$89,5,0)</f>
        <v>204.31320000000002</v>
      </c>
      <c r="GW66" s="13">
        <f t="shared" si="51"/>
        <v>50.690898216729536</v>
      </c>
      <c r="GX66" s="20">
        <f t="shared" si="28"/>
        <v>444.13213772747071</v>
      </c>
      <c r="GY66" s="57">
        <f t="shared" si="29"/>
        <v>717.37705436745205</v>
      </c>
      <c r="GZ66" s="57">
        <f ca="1">AVERAGE(OFFSET($GY$3,0,0,'Données projet'!$E$18+1,1))-AVERAGE(OFFSET($H$3,0,0,'Données projet'!$E$18+1,1))</f>
        <v>381.00532469288714</v>
      </c>
      <c r="HA66" s="57">
        <f t="shared" si="52"/>
        <v>314.875259641757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>
        <f>EXP(-LN(2)/35)*HG65+(1-EXP(-LN(2)/35))/(LN(2)/35)*HC66*HD66*VLOOKUP('Données projet'!$B$18,Paramètres!$A$1:$I$89,3,0)*0.475*44/12</f>
        <v>44.858140526395331</v>
      </c>
      <c r="HH66" s="21">
        <f>EXP(-LN(2)/25)*HH65+(1-EXP(-LN(2)/25))/(LN(2)/25)*Calculateur!HC66*Calculateur!HE66*VLOOKUP('Données projet'!$B$18,Paramètres!$A$1:$I$89,3,0)*0.475*44/12</f>
        <v>22.180434283941405</v>
      </c>
      <c r="HI66" s="21">
        <f>EXP(-LN(2)/2)*HI65+(1-EXP(-LN(2)/2))/(LN(2)/2)*HC66*HF66*VLOOKUP('Données projet'!$B$18,Paramètres!$A$1:$I$89,3,0)*0.475*44/12</f>
        <v>0.99172761139458254</v>
      </c>
      <c r="HJ66" s="22">
        <f t="shared" si="30"/>
        <v>68.030302421731321</v>
      </c>
    </row>
    <row r="67" spans="1:218" x14ac:dyDescent="0.2">
      <c r="A67" s="10">
        <f t="shared" si="31"/>
        <v>64</v>
      </c>
      <c r="B67" s="71">
        <f>'Scénario référence'!$B$16*5+'Scénario référence'!$B$17*0+'Scénario référence'!$B$18*5</f>
        <v>3.3000000000000003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12.100000000000001</v>
      </c>
      <c r="H67" s="65">
        <f t="shared" si="1"/>
        <v>208.26666666666665</v>
      </c>
      <c r="I67" s="6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64.616383388719854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5.4</v>
      </c>
      <c r="N67" s="13">
        <f>IF('Données projet'!$A$36&gt;35,N66+M67-V66,IF(A67&lt;'Données projet'!$A$36,$K$205^A67,IF(A67='Données projet'!$A$36,'Données projet'!$B$36,N66+M67-V66)))</f>
        <v>155.6</v>
      </c>
      <c r="O67" s="13">
        <f>N67*VLOOKUP('Données projet'!$B$9,Paramètres!$A$1:$I$89,3,0)*VLOOKUP('Données projet'!$B$9,Paramètres!$A$1:$I$89,5,0)</f>
        <v>157.7784</v>
      </c>
      <c r="P67" s="13">
        <f t="shared" si="33"/>
        <v>40.341020284861102</v>
      </c>
      <c r="Q67" s="20">
        <f t="shared" ref="Q67:Q98" si="54">(O67+P67)*0.475*44/12</f>
        <v>345.05799032946646</v>
      </c>
      <c r="R67" s="57">
        <f t="shared" ref="R67:R130" si="55">Q67+(I67+J67)*44/12</f>
        <v>618.65139608810591</v>
      </c>
      <c r="S67" s="57">
        <f ca="1">AVERAGE(OFFSET($R$3,0,0,'Données projet'!$E$9+1,1))-AVERAGE(OFFSET($H$3,0,0,'Données projet'!$E$9+1,1))</f>
        <v>332.70145542047612</v>
      </c>
      <c r="T67" s="57">
        <f t="shared" si="34"/>
        <v>172.22433737900428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6.3524472702275601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6.3524472702275601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64.616383388719854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</v>
      </c>
      <c r="AI67" s="13">
        <f>IF('Données projet'!$A$62&gt;35,AI66+AH67-AQ66,IF(A67&lt;'Données projet'!$A$62,$AF$205^A67,IF(A67='Données projet'!$A$62,'Données projet'!$B$62,AI66+AH67-AQ66)))</f>
        <v>187.64</v>
      </c>
      <c r="AJ67" s="13">
        <f>AI67*VLOOKUP('Données projet'!$B$10,Paramètres!$A$1:$I$89,3,0)*VLOOKUP('Données projet'!$B$10,Paramètres!$A$1:$I$89,5,0)</f>
        <v>169.77667199999999</v>
      </c>
      <c r="AK67" s="13">
        <f t="shared" si="35"/>
        <v>43.040001716362319</v>
      </c>
      <c r="AL67" s="20">
        <f t="shared" si="4"/>
        <v>370.65570672266432</v>
      </c>
      <c r="AM67" s="57">
        <f t="shared" si="5"/>
        <v>644.24911248130377</v>
      </c>
      <c r="AN67" s="57">
        <f ca="1">AVERAGE(OFFSET($AM$3,0,0,'Données projet'!$E$10+1,1))-AVERAGE(OFFSET($H$3,0,0,'Données projet'!$E$10+1,1))</f>
        <v>469.4210143164521</v>
      </c>
      <c r="AO67" s="57">
        <f t="shared" si="36"/>
        <v>308.4508386530556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11.166096389863128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11.166096389863128</v>
      </c>
      <c r="AY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64.616383388719854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5.2</v>
      </c>
      <c r="BD67" s="12">
        <f>IF('Données projet'!$A$88&gt;35,BD66+BC67-BL66,IF(A67&lt;'Données projet'!$A$88,$BA$205^A67,IF(A67='Données projet'!$A$88,'Données projet'!$B$88,BD66+BC67-BL66)))</f>
        <v>300.79999999999984</v>
      </c>
      <c r="BE67" s="13">
        <f>BD67*VLOOKUP('Données projet'!$B$11,Paramètres!$A$1:$I$89,3,0)*VLOOKUP('Données projet'!$B$11,Paramètres!$A$1:$I$89,5,0)</f>
        <v>220.54655999999989</v>
      </c>
      <c r="BF67" s="13">
        <f t="shared" si="37"/>
        <v>54.233660675860236</v>
      </c>
      <c r="BG67" s="20">
        <f t="shared" si="7"/>
        <v>478.57555101045637</v>
      </c>
      <c r="BH67" s="57">
        <f t="shared" si="8"/>
        <v>752.16895676909576</v>
      </c>
      <c r="BI67" s="57">
        <f ca="1">AVERAGE(OFFSET($BH$3,0,0,'Données projet'!$E$11+1,1))-AVERAGE(OFFSET($H$3,0,0,'Données projet'!$E$11+1,1))</f>
        <v>344.32981377462971</v>
      </c>
      <c r="BJ67" s="57">
        <f t="shared" si="38"/>
        <v>334.42512656625763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22.088140868699952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22.088140868699952</v>
      </c>
      <c r="BT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64.616383388719854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8.1999999999999993</v>
      </c>
      <c r="BY67" s="12">
        <f>IF('Données projet'!$A$114&gt;35,BY66+BX67-CG66,IF(A67&lt;'Données projet'!$A$114,$BV$205^A67,IF(A67='Données projet'!$A$114,'Données projet'!$B$114,BY66+BX67-CG66)))</f>
        <v>283.80000000000013</v>
      </c>
      <c r="BZ67" s="13">
        <f>BY67*VLOOKUP('Données projet'!$B$12,Paramètres!$A$1:$I$89,3,0)*VLOOKUP('Données projet'!$B$12,Paramètres!$A$1:$I$89,5,0)</f>
        <v>270.06408000000016</v>
      </c>
      <c r="CA67" s="13">
        <f t="shared" si="39"/>
        <v>64.862868493280317</v>
      </c>
      <c r="CB67" s="20">
        <f t="shared" si="10"/>
        <v>583.33110195913002</v>
      </c>
      <c r="CC67" s="57">
        <f t="shared" si="11"/>
        <v>856.92450771776953</v>
      </c>
      <c r="CD67" s="57">
        <f ca="1">AVERAGE(OFFSET($CC$3,0,0,'Données projet'!$E$12+1,1))-AVERAGE(OFFSET($H$3,0,0,'Données projet'!$E$12+1,1))</f>
        <v>498.77732039282807</v>
      </c>
      <c r="CE67" s="57">
        <f t="shared" si="40"/>
        <v>384.57317421826531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18.684017747650014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18.684017747650014</v>
      </c>
      <c r="CO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64.616383388719854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8</v>
      </c>
      <c r="CT67" s="12">
        <f>IF('Données projet'!$A$140&gt;35,CT66+CS67-DB66,IF(A67&lt;'Données projet'!$A$140,$CQ$205^A67,IF(A67='Données projet'!$A$140,'Données projet'!$B$140,CT66+CS67-DB66)))</f>
        <v>187.64</v>
      </c>
      <c r="CU67" s="17">
        <f>CT67*VLOOKUP('Données projet'!$B$13,Paramètres!$A$1:$I$89,3,0)*VLOOKUP('Données projet'!$B$13,Paramètres!$A$1:$I$89,5,0)</f>
        <v>125.86891199999999</v>
      </c>
      <c r="CV67" s="13">
        <f t="shared" si="41"/>
        <v>33.039999510580934</v>
      </c>
      <c r="CW67" s="20">
        <f t="shared" si="13"/>
        <v>276.76635421426181</v>
      </c>
      <c r="CX67" s="57">
        <f t="shared" si="14"/>
        <v>550.3597599729012</v>
      </c>
      <c r="CY67" s="57">
        <f ca="1">AVERAGE(OFFSET($CX$3,0,0,'Données projet'!$E$13+1,1))-AVERAGE(OFFSET($H$3,0,0,'Données projet'!$E$13+1,1))</f>
        <v>365.99625753737246</v>
      </c>
      <c r="CZ67" s="57">
        <f t="shared" si="42"/>
        <v>242.84814712692287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10.203501873495618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10.203501873495618</v>
      </c>
      <c r="DJ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64.616383388719854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5.8</v>
      </c>
      <c r="DO67" s="12">
        <f>IF('Données projet'!$A$166&gt;35,DO66+DN67-DW66,IF(A67&lt;'Données projet'!$A$166,$DL$205^A67,IF(A67='Données projet'!$A$166,'Données projet'!$B$166,DO66+DN67-DW66)))</f>
        <v>259.2000000000001</v>
      </c>
      <c r="DP67" s="17">
        <f>DO67*VLOOKUP('Données projet'!$B$14,Paramètres!$A$1:$I$89,3,0)*VLOOKUP('Données projet'!$B$14,Paramètres!$A$1:$I$89,5,0)</f>
        <v>169.82784000000007</v>
      </c>
      <c r="DQ67" s="13">
        <f t="shared" si="43"/>
        <v>43.051463198873812</v>
      </c>
      <c r="DR67" s="20">
        <f t="shared" si="16"/>
        <v>370.76478640470532</v>
      </c>
      <c r="DS67" s="57">
        <f t="shared" si="17"/>
        <v>644.35819216334471</v>
      </c>
      <c r="DT67" s="57">
        <f ca="1">AVERAGE(OFFSET($DS$3,0,0,'Données projet'!$E$14+1,1))-AVERAGE(OFFSET($H$3,0,0,'Données projet'!$E$14+1,1))</f>
        <v>313.79279628660527</v>
      </c>
      <c r="DU67" s="57">
        <f t="shared" si="44"/>
        <v>317.45469955216254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13.8383121528493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13.8383121528493</v>
      </c>
      <c r="EE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64.616383388719854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12.444444444444445</v>
      </c>
      <c r="EJ67" s="12">
        <f>IF('Données projet'!$A$192&gt;35,EJ66+EI67-ER66,IF(A67&lt;'Données projet'!$A$192,$EG$205^A67,IF(A67='Données projet'!$A$192,'Données projet'!$B$192,EJ66+EI67-ER66)))</f>
        <v>413.44444444444457</v>
      </c>
      <c r="EK67" s="17">
        <f>EJ67*VLOOKUP('Données projet'!$B$15,Paramètres!$A$1:$I$89,3,0)*VLOOKUP('Données projet'!$B$15,Paramètres!$A$1:$I$89,5,0)</f>
        <v>354.73533333333347</v>
      </c>
      <c r="EL67" s="13">
        <f t="shared" si="45"/>
        <v>82.536801612810521</v>
      </c>
      <c r="EM67" s="20">
        <f t="shared" si="19"/>
        <v>761.58230169786736</v>
      </c>
      <c r="EN67" s="57">
        <f t="shared" si="20"/>
        <v>1035.1757074565069</v>
      </c>
      <c r="EO67" s="57">
        <f ca="1">AVERAGE(OFFSET($EN$3,0,0,'Données projet'!$E$15+1,1))-AVERAGE(OFFSET($H$3,0,0,'Données projet'!$E$15+1,1))</f>
        <v>643.04899298561475</v>
      </c>
      <c r="EP67" s="57">
        <f t="shared" si="46"/>
        <v>474.94999304483031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99.473638871941333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99.473638871941333</v>
      </c>
      <c r="EZ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64.616383388719854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5.2</v>
      </c>
      <c r="FE67" s="12">
        <f>IF('Données projet'!$A$218&gt;35,FE66+FD67-FM66,IF(A67&lt;'Données projet'!$A$218,$FB$205^A67,IF(A67='Données projet'!$A$218,'Données projet'!$B$218,FE66+FD67-FM66)))</f>
        <v>300.79999999999984</v>
      </c>
      <c r="FF67" s="17">
        <f>FE67*VLOOKUP('Données projet'!$B$16,Paramètres!$A$1:$I$89,3,0)*VLOOKUP('Données projet'!$B$16,Paramètres!$A$1:$I$89,5,0)</f>
        <v>244.00895999999986</v>
      </c>
      <c r="FG67" s="13">
        <f t="shared" si="47"/>
        <v>59.301244377330541</v>
      </c>
      <c r="FH67" s="20">
        <f t="shared" si="22"/>
        <v>528.26527262385048</v>
      </c>
      <c r="FI67" s="57">
        <f t="shared" si="23"/>
        <v>801.85867838248987</v>
      </c>
      <c r="FJ67" s="57">
        <f ca="1">AVERAGE(OFFSET($FI$3,0,0,'Données projet'!$E$16+1,1))-AVERAGE(OFFSET($H$3,0,0,'Données projet'!$E$16+1,1))</f>
        <v>375.34603719604439</v>
      </c>
      <c r="FK67" s="57">
        <f t="shared" si="48"/>
        <v>363.99476973672211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30.12118566755915</v>
      </c>
      <c r="FR67" s="21">
        <f>EXP(-LN(2)/25)*FR66+(1-EXP(-LN(2)/25))/(LN(2)/25)*Calculateur!FM67*Calculateur!FO67*VLOOKUP('Données projet'!$B$16,Paramètres!$A$1:$I$89,3,0)*0.475*44/12</f>
        <v>0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30.12118566755915</v>
      </c>
      <c r="FU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64.616383388719854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-1.1368683772161603E-13</v>
      </c>
      <c r="GA67" s="17">
        <f>FZ67*VLOOKUP('Données projet'!$B$17,Paramètres!$A$1:$I$89,3,0)*VLOOKUP('Données projet'!$B$17,Paramètres!$A$1:$I$89,5,0)</f>
        <v>-6.3550942286383367E-14</v>
      </c>
      <c r="GB67" s="13" t="e">
        <f t="shared" si="49"/>
        <v>#NUM!</v>
      </c>
      <c r="GC67" s="20" t="e">
        <f t="shared" si="25"/>
        <v>#NUM!</v>
      </c>
      <c r="GD67" s="57" t="e">
        <f t="shared" si="26"/>
        <v>#NUM!</v>
      </c>
      <c r="GE67" s="57">
        <f ca="1">AVERAGE(OFFSET($GD$3,0,0,'Données projet'!$E$17+1,1))-AVERAGE(OFFSET($H$3,0,0,'Données projet'!$E$17+1,1))</f>
        <v>414.47327143450701</v>
      </c>
      <c r="GF67" s="57">
        <f t="shared" si="50"/>
        <v>546.83385887302961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247.05237344083534</v>
      </c>
      <c r="GM67" s="21">
        <f>EXP(-LN(2)/25)*GM66+(1-EXP(-LN(2)/25))/(LN(2)/25)*Calculateur!GH67*Calculateur!GJ67*VLOOKUP('Données projet'!$B$17,Paramètres!$A$1:$I$89,3,0)*0.475*44/12</f>
        <v>48.249556923127024</v>
      </c>
      <c r="GN67" s="21">
        <f>EXP(-LN(2)/2)*GN66+(1-EXP(-LN(2)/2))/(LN(2)/2)*GH67*GK67*VLOOKUP('Données projet'!$B$17,Paramètres!$A$1:$I$89,3,0)*0.475*44/12</f>
        <v>1.2983428236070615</v>
      </c>
      <c r="GO67" s="21">
        <f t="shared" si="27"/>
        <v>296.60027318756943</v>
      </c>
      <c r="GP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64.616383388719854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8.4</v>
      </c>
      <c r="GU67" s="12">
        <f>IF('Données projet'!$A$270&gt;35,GU66+GT67-HC66,IF(A67&lt;'Données projet'!$A$270,$GR$205^A67,IF(A67='Données projet'!$A$270,'Données projet'!$B$270,GU66+GT67-HC66)))</f>
        <v>382.6</v>
      </c>
      <c r="GV67" s="17">
        <f>GU67*VLOOKUP('Données projet'!$B$18,Paramètres!$A$1:$I$89,3,0)*VLOOKUP('Données projet'!$B$18,Paramètres!$A$1:$I$89,5,0)</f>
        <v>208.89960000000002</v>
      </c>
      <c r="GW67" s="13">
        <f t="shared" si="51"/>
        <v>51.695047135086298</v>
      </c>
      <c r="GX67" s="20">
        <f t="shared" si="28"/>
        <v>453.869010426942</v>
      </c>
      <c r="GY67" s="57">
        <f t="shared" si="29"/>
        <v>727.46241618558145</v>
      </c>
      <c r="GZ67" s="57">
        <f ca="1">AVERAGE(OFFSET($GY$3,0,0,'Données projet'!$E$18+1,1))-AVERAGE(OFFSET($H$3,0,0,'Données projet'!$E$18+1,1))</f>
        <v>381.00532469288714</v>
      </c>
      <c r="HA67" s="57">
        <f t="shared" si="52"/>
        <v>314.875259641757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>
        <f>EXP(-LN(2)/35)*HG66+(1-EXP(-LN(2)/35))/(LN(2)/35)*HC67*HD67*VLOOKUP('Données projet'!$B$18,Paramètres!$A$1:$I$89,3,0)*0.475*44/12</f>
        <v>43.978499751436786</v>
      </c>
      <c r="HH67" s="21">
        <f>EXP(-LN(2)/25)*HH66+(1-EXP(-LN(2)/25))/(LN(2)/25)*Calculateur!HC67*Calculateur!HE67*VLOOKUP('Données projet'!$B$18,Paramètres!$A$1:$I$89,3,0)*0.475*44/12</f>
        <v>21.573909142028683</v>
      </c>
      <c r="HI67" s="21">
        <f>EXP(-LN(2)/2)*HI66+(1-EXP(-LN(2)/2))/(LN(2)/2)*HC67*HF67*VLOOKUP('Données projet'!$B$18,Paramètres!$A$1:$I$89,3,0)*0.475*44/12</f>
        <v>0.70125731910704658</v>
      </c>
      <c r="HJ67" s="22">
        <f t="shared" si="30"/>
        <v>66.253666212572512</v>
      </c>
    </row>
    <row r="68" spans="1:218" x14ac:dyDescent="0.2">
      <c r="A68" s="10">
        <f t="shared" si="31"/>
        <v>65</v>
      </c>
      <c r="B68" s="71">
        <f>'Scénario référence'!$B$16*5+'Scénario référence'!$B$17*0+'Scénario référence'!$B$18*5</f>
        <v>3.3000000000000003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12.100000000000001</v>
      </c>
      <c r="H68" s="65">
        <f t="shared" ref="H68:H131" si="56">(B68+E68+F68)*44/12+(C68+D68)*0.475*44/12</f>
        <v>208.26666666666665</v>
      </c>
      <c r="I68" s="6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64.709777100961944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161</v>
      </c>
      <c r="L68" s="12">
        <f>VLOOKUP(A68,'Données projet'!$A$35:$I$55,9,0)</f>
        <v>5.4</v>
      </c>
      <c r="M68" s="12">
        <f t="array" ref="M68">INDEX(L:L,MIN(IF(ISNUMBER(L68:L264),ROW(L68:L264),"")))</f>
        <v>5.4</v>
      </c>
      <c r="N68" s="13">
        <f>IF('Données projet'!$A$36&gt;35,N67+M68-V67,IF(A68&lt;'Données projet'!$A$36,$K$205^A68,IF(A68='Données projet'!$A$36,'Données projet'!$B$36,N67+M68-V67)))</f>
        <v>161</v>
      </c>
      <c r="O68" s="13">
        <f>N68*VLOOKUP('Données projet'!$B$9,Paramètres!$A$1:$I$89,3,0)*VLOOKUP('Données projet'!$B$9,Paramètres!$A$1:$I$89,5,0)</f>
        <v>163.25400000000002</v>
      </c>
      <c r="P68" s="13">
        <f t="shared" si="33"/>
        <v>41.575601961656915</v>
      </c>
      <c r="Q68" s="20">
        <f t="shared" si="54"/>
        <v>356.7448900832191</v>
      </c>
      <c r="R68" s="57">
        <f t="shared" si="55"/>
        <v>630.68073945341291</v>
      </c>
      <c r="S68" s="57">
        <f ca="1">AVERAGE(OFFSET($R$3,0,0,'Données projet'!$E$9+1,1))-AVERAGE(OFFSET($H$3,0,0,'Données projet'!$E$9+1,1))</f>
        <v>332.70145542047612</v>
      </c>
      <c r="T68" s="57">
        <f t="shared" si="34"/>
        <v>172.22433737900428</v>
      </c>
      <c r="U68" s="15">
        <f>IF(ISNA(VLOOKUP(A68,'Données projet'!$A$35:$I$55,3,0)),0,VLOOKUP(A68,'Données projet'!$A$35:$I$55,3,0))</f>
        <v>9</v>
      </c>
      <c r="V68" s="15">
        <f>IF(ISNA(VLOOKUP(A68,'Données projet'!$A$35:$I$55,4,0)),0,VLOOKUP(A68,'Données projet'!$A$35:$I$55,4,0))</f>
        <v>14</v>
      </c>
      <c r="W68" s="16">
        <f>IF(ISNA(VLOOKUP(A68,'Données projet'!$A$35:$I$55,5,0)),0%,VLOOKUP(A68,'Données projet'!$A$35:$I$55,5,0)*VLOOKUP('Données projet'!$B$9,Paramètres!$A$1:$I$89,7,0))</f>
        <v>0.17200000000000001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8.9271199452188057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8.9271199452188057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64.709777100961944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8</v>
      </c>
      <c r="AI68" s="13">
        <f>IF('Données projet'!$A$62&gt;35,AI67+AH68-AQ67,IF(A68&lt;'Données projet'!$A$62,$AF$205^A68,IF(A68='Données projet'!$A$62,'Données projet'!$B$62,AI67+AH68-AQ67)))</f>
        <v>195.64</v>
      </c>
      <c r="AJ68" s="13">
        <f>AI68*VLOOKUP('Données projet'!$B$10,Paramètres!$A$1:$I$89,3,0)*VLOOKUP('Données projet'!$B$10,Paramètres!$A$1:$I$89,5,0)</f>
        <v>177.01507199999998</v>
      </c>
      <c r="AK68" s="13">
        <f t="shared" si="35"/>
        <v>44.657449757861528</v>
      </c>
      <c r="AL68" s="20">
        <f t="shared" ref="AL68:AL131" si="58">(AJ68+AK68)*0.475*44/12</f>
        <v>386.07964206160869</v>
      </c>
      <c r="AM68" s="57">
        <f t="shared" ref="AM68:AM131" si="59">AL68+(AD68+AE68)*44/12</f>
        <v>660.0154914318025</v>
      </c>
      <c r="AN68" s="57">
        <f ca="1">AVERAGE(OFFSET($AM$3,0,0,'Données projet'!$E$10+1,1))-AVERAGE(OFFSET($H$3,0,0,'Données projet'!$E$10+1,1))</f>
        <v>469.4210143164521</v>
      </c>
      <c r="AO68" s="57">
        <f t="shared" si="36"/>
        <v>308.4508386530556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10.947136050304215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10.947136050304215</v>
      </c>
      <c r="AY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64.709777100961944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306</v>
      </c>
      <c r="BB68" s="12">
        <f>VLOOKUP(A68,'Données projet'!$A$87:$I$107,9,0)</f>
        <v>5.2</v>
      </c>
      <c r="BC68" s="12">
        <f t="array" ref="BC68">INDEX(BB:BB,MIN(IF(ISNUMBER(BB68:BB264),ROW(BB68:BB264),"")))</f>
        <v>5.2</v>
      </c>
      <c r="BD68" s="12">
        <f>IF('Données projet'!$A$88&gt;35,BD67+BC68-BL67,IF(A68&lt;'Données projet'!$A$88,$BA$205^A68,IF(A68='Données projet'!$A$88,'Données projet'!$B$88,BD67+BC68-BL67)))</f>
        <v>305.99999999999983</v>
      </c>
      <c r="BE68" s="13">
        <f>BD68*VLOOKUP('Données projet'!$B$11,Paramètres!$A$1:$I$89,3,0)*VLOOKUP('Données projet'!$B$11,Paramètres!$A$1:$I$89,5,0)</f>
        <v>224.35919999999987</v>
      </c>
      <c r="BF68" s="13">
        <f t="shared" si="37"/>
        <v>55.061251669487255</v>
      </c>
      <c r="BG68" s="20">
        <f t="shared" ref="BG68:BG131" si="61">(BE68+BF68)*0.475*44/12</f>
        <v>486.65728665769001</v>
      </c>
      <c r="BH68" s="57">
        <f t="shared" ref="BH68:BH131" si="62">BG68+(AY68+AZ68)*44/12</f>
        <v>760.59313602788382</v>
      </c>
      <c r="BI68" s="57">
        <f ca="1">AVERAGE(OFFSET($BH$3,0,0,'Données projet'!$E$11+1,1))-AVERAGE(OFFSET($H$3,0,0,'Données projet'!$E$11+1,1))</f>
        <v>344.32981377462971</v>
      </c>
      <c r="BJ68" s="57">
        <f t="shared" si="38"/>
        <v>334.42512656625763</v>
      </c>
      <c r="BK68" s="15">
        <f>IF(ISNA(VLOOKUP(A68,'Données projet'!$A$87:$I$107,3,0)),0,VLOOKUP(A68,'Données projet'!$A$87:$I$107,3,0))</f>
        <v>12</v>
      </c>
      <c r="BL68" s="15">
        <f>IF(ISNA(VLOOKUP(A68,'Données projet'!$A$87:$I$107,4,0)),0,VLOOKUP(A68,'Données projet'!$A$87:$I$107,4,0))</f>
        <v>13</v>
      </c>
      <c r="BM68" s="16">
        <f>IF(ISNA(VLOOKUP(A68,'Données projet'!$A$87:$I$107,5,0)),0%,VLOOKUP(A68,'Données projet'!$A$87:$I$107,5,0)*VLOOKUP('Données projet'!$B$11,Paramètres!$A$1:$I$89,7,0))</f>
        <v>0.30099999999999999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24.826613241036821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24.826613241036821</v>
      </c>
      <c r="BT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64.709777100961944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292</v>
      </c>
      <c r="BW68" s="12">
        <f>VLOOKUP(A68,'Données projet'!$A$113:$I$133,9,0)</f>
        <v>8.1999999999999993</v>
      </c>
      <c r="BX68" s="12">
        <f t="array" ref="BX68">INDEX(BW:BW,MIN(IF(ISNUMBER(BW68:BW264),ROW(BW68:BW264),"")))</f>
        <v>8.1999999999999993</v>
      </c>
      <c r="BY68" s="12">
        <f>IF('Données projet'!$A$114&gt;35,BY67+BX68-CG67,IF(A68&lt;'Données projet'!$A$114,$BV$205^A68,IF(A68='Données projet'!$A$114,'Données projet'!$B$114,BY67+BX68-CG67)))</f>
        <v>292.00000000000011</v>
      </c>
      <c r="BZ68" s="13">
        <f>BY68*VLOOKUP('Données projet'!$B$12,Paramètres!$A$1:$I$89,3,0)*VLOOKUP('Données projet'!$B$12,Paramètres!$A$1:$I$89,5,0)</f>
        <v>277.86720000000008</v>
      </c>
      <c r="CA68" s="13">
        <f t="shared" si="39"/>
        <v>66.516086548657384</v>
      </c>
      <c r="CB68" s="20">
        <f t="shared" ref="CB68:CB131" si="64">(BZ68+CA68)*0.475*44/12</f>
        <v>599.80089073891168</v>
      </c>
      <c r="CC68" s="57">
        <f t="shared" ref="CC68:CC131" si="65">CB68+(BT68+BU68)*44/12</f>
        <v>873.73674010910554</v>
      </c>
      <c r="CD68" s="57">
        <f ca="1">AVERAGE(OFFSET($CC$3,0,0,'Données projet'!$E$12+1,1))-AVERAGE(OFFSET($H$3,0,0,'Données projet'!$E$12+1,1))</f>
        <v>498.77732039282807</v>
      </c>
      <c r="CE68" s="57">
        <f t="shared" si="40"/>
        <v>384.57317421826531</v>
      </c>
      <c r="CF68" s="15">
        <f>IF(ISNA(VLOOKUP(A68,'Données projet'!$A$113:$I$133,3,0)),0,VLOOKUP(A68,'Données projet'!$A$113:$I$133,3,0))</f>
        <v>9</v>
      </c>
      <c r="CG68" s="15">
        <f>IF(ISNA(VLOOKUP(A68,'Données projet'!$A$113:$I$133,4,0)),0,VLOOKUP(A68,'Données projet'!$A$113:$I$133,4,0))</f>
        <v>33</v>
      </c>
      <c r="CH68" s="16">
        <f>IF(ISNA(VLOOKUP(A68,'Données projet'!$A$113:$I$133,5,0)),0%,VLOOKUP(A68,'Données projet'!$A$113:$I$133,5,0)*VLOOKUP('Données projet'!$B$12,Paramètres!$A$1:$I$89,7,0))</f>
        <v>0.215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25.781331581139575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25.781331581139575</v>
      </c>
      <c r="CO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64.709777100961944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8</v>
      </c>
      <c r="CT68" s="12">
        <f>IF('Données projet'!$A$140&gt;35,CT67+CS68-DB67,IF(A68&lt;'Données projet'!$A$140,$CQ$205^A68,IF(A68='Données projet'!$A$140,'Données projet'!$B$140,CT67+CS68-DB67)))</f>
        <v>195.64</v>
      </c>
      <c r="CU68" s="17">
        <f>CT68*VLOOKUP('Données projet'!$B$13,Paramètres!$A$1:$I$89,3,0)*VLOOKUP('Données projet'!$B$13,Paramètres!$A$1:$I$89,5,0)</f>
        <v>131.23531199999999</v>
      </c>
      <c r="CV68" s="13">
        <f t="shared" si="41"/>
        <v>34.281646359289269</v>
      </c>
      <c r="CW68" s="20">
        <f t="shared" ref="CW68:CW131" si="67">(CU68+CV68)*0.475*44/12</f>
        <v>288.27536914242881</v>
      </c>
      <c r="CX68" s="57">
        <f t="shared" ref="CX68:CX131" si="68">CW68+(CO68+CP68)*44/12</f>
        <v>562.21121851262262</v>
      </c>
      <c r="CY68" s="57">
        <f ca="1">AVERAGE(OFFSET($CX$3,0,0,'Données projet'!$E$13+1,1))-AVERAGE(OFFSET($H$3,0,0,'Données projet'!$E$13+1,1))</f>
        <v>365.99625753737246</v>
      </c>
      <c r="CZ68" s="57">
        <f t="shared" si="42"/>
        <v>242.84814712692287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10.003417425277989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10.003417425277989</v>
      </c>
      <c r="DJ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64.709777100961944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265</v>
      </c>
      <c r="DM68" s="12">
        <f>VLOOKUP(A68,'Données projet'!$A$165:$I$185,9,0)</f>
        <v>5.8</v>
      </c>
      <c r="DN68" s="12">
        <f t="array" ref="DN68">INDEX(DM:DM,MIN(IF(ISNUMBER(DM68:DM264),ROW(DM68:DM264),"")))</f>
        <v>5.8</v>
      </c>
      <c r="DO68" s="12">
        <f>IF('Données projet'!$A$166&gt;35,DO67+DN68-DW67,IF(A68&lt;'Données projet'!$A$166,$DL$205^A68,IF(A68='Données projet'!$A$166,'Données projet'!$B$166,DO67+DN68-DW67)))</f>
        <v>265.00000000000011</v>
      </c>
      <c r="DP68" s="17">
        <f>DO68*VLOOKUP('Données projet'!$B$14,Paramètres!$A$1:$I$89,3,0)*VLOOKUP('Données projet'!$B$14,Paramètres!$A$1:$I$89,5,0)</f>
        <v>173.62800000000007</v>
      </c>
      <c r="DQ68" s="13">
        <f t="shared" si="43"/>
        <v>43.901573588714463</v>
      </c>
      <c r="DR68" s="20">
        <f t="shared" ref="DR68:DR131" si="70">(DP68+DQ68)*0.475*44/12</f>
        <v>378.86400733367782</v>
      </c>
      <c r="DS68" s="57">
        <f t="shared" ref="DS68:DS131" si="71">DR68+(DJ68+DK68)*44/12</f>
        <v>652.79985670387168</v>
      </c>
      <c r="DT68" s="57">
        <f ca="1">AVERAGE(OFFSET($DS$3,0,0,'Données projet'!$E$14+1,1))-AVERAGE(OFFSET($H$3,0,0,'Données projet'!$E$14+1,1))</f>
        <v>313.79279628660527</v>
      </c>
      <c r="DU68" s="57">
        <f t="shared" si="44"/>
        <v>317.45469955216254</v>
      </c>
      <c r="DV68" s="15">
        <f>IF(ISNA(VLOOKUP(A68,'Données projet'!$A$165:$I$185,3,0)),0,VLOOKUP(A68,'Données projet'!$A$165:$I$185,3,0))</f>
        <v>12</v>
      </c>
      <c r="DW68" s="15">
        <f>IF(ISNA(VLOOKUP(A68,'Données projet'!$A$165:$I$185,4,0)),0,VLOOKUP(A68,'Données projet'!$A$165:$I$185,4,0))</f>
        <v>22</v>
      </c>
      <c r="DX68" s="16">
        <f>IF(ISNA(VLOOKUP(A68,'Données projet'!$A$165:$I$185,5,0)),0%,VLOOKUP(A68,'Données projet'!$A$165:$I$185,5,0)*VLOOKUP('Données projet'!$B$14,Paramètres!$A$1:$I$89,7,0))</f>
        <v>0.215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16.992910123397952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16.992910123397952</v>
      </c>
      <c r="EE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64.709777100961944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12.444444444444445</v>
      </c>
      <c r="EJ68" s="12">
        <f>IF('Données projet'!$A$192&gt;35,EJ67+EI68-ER67,IF(A68&lt;'Données projet'!$A$192,$EG$205^A68,IF(A68='Données projet'!$A$192,'Données projet'!$B$192,EJ67+EI68-ER67)))</f>
        <v>425.88888888888903</v>
      </c>
      <c r="EK68" s="17">
        <f>EJ68*VLOOKUP('Données projet'!$B$15,Paramètres!$A$1:$I$89,3,0)*VLOOKUP('Données projet'!$B$15,Paramètres!$A$1:$I$89,5,0)</f>
        <v>365.41266666666684</v>
      </c>
      <c r="EL68" s="13">
        <f t="shared" si="45"/>
        <v>84.72813592869332</v>
      </c>
      <c r="EM68" s="20">
        <f t="shared" ref="EM68:EM131" si="73">(EK68+EL68)*0.475*44/12</f>
        <v>783.99523118691889</v>
      </c>
      <c r="EN68" s="57">
        <f t="shared" ref="EN68:EN131" si="74">EM68+(EE68+EF68)*44/12</f>
        <v>1057.9310805571126</v>
      </c>
      <c r="EO68" s="57">
        <f ca="1">AVERAGE(OFFSET($EN$3,0,0,'Données projet'!$E$15+1,1))-AVERAGE(OFFSET($H$3,0,0,'Données projet'!$E$15+1,1))</f>
        <v>643.04899298561475</v>
      </c>
      <c r="EP68" s="57">
        <f t="shared" si="46"/>
        <v>474.94999304483031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97.523021486591318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97.523021486591318</v>
      </c>
      <c r="EZ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64.709777100961944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>
        <f>VLOOKUP(A68,'Données projet'!$A$217:$I$237,2,0)</f>
        <v>306</v>
      </c>
      <c r="FC68" s="12">
        <f>VLOOKUP(A68,'Données projet'!$A$217:$I$237,9,0)</f>
        <v>5.2</v>
      </c>
      <c r="FD68" s="12">
        <f t="array" ref="FD68">INDEX(FC:FC,MIN(IF(ISNUMBER(FC68:FC264),ROW(FC68:FC264),"")))</f>
        <v>5.2</v>
      </c>
      <c r="FE68" s="12">
        <f>IF('Données projet'!$A$218&gt;35,FE67+FD68-FM67,IF(A68&lt;'Données projet'!$A$218,$FB$205^A68,IF(A68='Données projet'!$A$218,'Données projet'!$B$218,FE67+FD68-FM67)))</f>
        <v>305.99999999999983</v>
      </c>
      <c r="FF68" s="17">
        <f>FE68*VLOOKUP('Données projet'!$B$16,Paramètres!$A$1:$I$89,3,0)*VLOOKUP('Données projet'!$B$16,Paramètres!$A$1:$I$89,5,0)</f>
        <v>248.22719999999987</v>
      </c>
      <c r="FG68" s="13">
        <f t="shared" si="47"/>
        <v>60.20616532763993</v>
      </c>
      <c r="FH68" s="20">
        <f t="shared" ref="FH68:FH131" si="76">(FF68+FG68)*0.475*44/12</f>
        <v>537.18811127897254</v>
      </c>
      <c r="FI68" s="57">
        <f t="shared" ref="FI68:FI131" si="77">FH68+(EZ68+FA68)*44/12</f>
        <v>811.12396064916629</v>
      </c>
      <c r="FJ68" s="57">
        <f ca="1">AVERAGE(OFFSET($FI$3,0,0,'Données projet'!$E$16+1,1))-AVERAGE(OFFSET($H$3,0,0,'Données projet'!$E$16+1,1))</f>
        <v>375.34603719604439</v>
      </c>
      <c r="FK68" s="57">
        <f t="shared" si="48"/>
        <v>363.99476973672211</v>
      </c>
      <c r="FL68" s="15">
        <f>IF(ISNA(VLOOKUP(A68,'Données projet'!$A$217:$I$237,3,0)),0,VLOOKUP(A68,'Données projet'!$A$217:$I$237,3,0))</f>
        <v>12</v>
      </c>
      <c r="FM68" s="15">
        <f>IF(ISNA(VLOOKUP(A68,'Données projet'!$A$217:$I$237,4,0)),0,VLOOKUP(A68,'Données projet'!$A$217:$I$237,4,0))</f>
        <v>13</v>
      </c>
      <c r="FN68" s="16">
        <f>IF(ISNA(VLOOKUP(A68,'Données projet'!$A$217:$I$237,5,0)),0%,VLOOKUP(A68,'Données projet'!$A$217:$I$237,5,0)*VLOOKUP('Données projet'!$B$16,Paramètres!$A$1:$I$89,7,0))</f>
        <v>0.371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33.855589357890871</v>
      </c>
      <c r="FR68" s="21">
        <f>EXP(-LN(2)/25)*FR67+(1-EXP(-LN(2)/25))/(LN(2)/25)*Calculateur!FM68*Calculateur!FO68*VLOOKUP('Données projet'!$B$16,Paramètres!$A$1:$I$89,3,0)*0.475*44/12</f>
        <v>0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33.855589357890871</v>
      </c>
      <c r="FU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64.709777100961944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-1.1368683772161603E-13</v>
      </c>
      <c r="GA68" s="17">
        <f>FZ68*VLOOKUP('Données projet'!$B$17,Paramètres!$A$1:$I$89,3,0)*VLOOKUP('Données projet'!$B$17,Paramètres!$A$1:$I$89,5,0)</f>
        <v>-6.3550942286383367E-14</v>
      </c>
      <c r="GB68" s="13" t="e">
        <f t="shared" si="49"/>
        <v>#NUM!</v>
      </c>
      <c r="GC68" s="20" t="e">
        <f t="shared" ref="GC68:GC131" si="79">(GA68+GB68)*0.475*44/12</f>
        <v>#NUM!</v>
      </c>
      <c r="GD68" s="57" t="e">
        <f t="shared" ref="GD68:GD131" si="80">GC68+(FU68+FV68)*44/12</f>
        <v>#NUM!</v>
      </c>
      <c r="GE68" s="57">
        <f ca="1">AVERAGE(OFFSET($GD$3,0,0,'Données projet'!$E$17+1,1))-AVERAGE(OFFSET($H$3,0,0,'Données projet'!$E$17+1,1))</f>
        <v>414.47327143450701</v>
      </c>
      <c r="GF68" s="57">
        <f t="shared" si="50"/>
        <v>546.83385887302961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242.20782708472925</v>
      </c>
      <c r="GM68" s="21">
        <f>EXP(-LN(2)/25)*GM67+(1-EXP(-LN(2)/25))/(LN(2)/25)*Calculateur!GH68*Calculateur!GJ68*VLOOKUP('Données projet'!$B$17,Paramètres!$A$1:$I$89,3,0)*0.475*44/12</f>
        <v>46.930170251730189</v>
      </c>
      <c r="GN68" s="21">
        <f>EXP(-LN(2)/2)*GN67+(1-EXP(-LN(2)/2))/(LN(2)/2)*GH68*GK68*VLOOKUP('Données projet'!$B$17,Paramètres!$A$1:$I$89,3,0)*0.475*44/12</f>
        <v>0.9180670148774428</v>
      </c>
      <c r="GO68" s="21">
        <f t="shared" ref="GO68:GO131" si="81">SUM(GL68:GN68)</f>
        <v>290.05606435133689</v>
      </c>
      <c r="GP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64.709777100961944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>
        <f>VLOOKUP(A68,'Données projet'!$A$269:$I$289,2,0)</f>
        <v>391</v>
      </c>
      <c r="GS68" s="12">
        <f>VLOOKUP(A68,'Données projet'!$A$269:$I$289,9,0)</f>
        <v>8.4</v>
      </c>
      <c r="GT68" s="12">
        <f t="array" ref="GT68">INDEX(GS:GS,MIN(IF(ISNUMBER(GS68:GS264),ROW(GS68:GS264),"")))</f>
        <v>8.4</v>
      </c>
      <c r="GU68" s="12">
        <f>IF('Données projet'!$A$270&gt;35,GU67+GT68-HC67,IF(A68&lt;'Données projet'!$A$270,$GR$205^A68,IF(A68='Données projet'!$A$270,'Données projet'!$B$270,GU67+GT68-HC67)))</f>
        <v>391</v>
      </c>
      <c r="GV68" s="17">
        <f>GU68*VLOOKUP('Données projet'!$B$18,Paramètres!$A$1:$I$89,3,0)*VLOOKUP('Données projet'!$B$18,Paramètres!$A$1:$I$89,5,0)</f>
        <v>213.48600000000002</v>
      </c>
      <c r="GW68" s="13">
        <f t="shared" si="51"/>
        <v>52.696632942005166</v>
      </c>
      <c r="GX68" s="20">
        <f t="shared" ref="GX68:GX131" si="82">(GV68+GW68)*0.475*44/12</f>
        <v>463.60141904065904</v>
      </c>
      <c r="GY68" s="57">
        <f t="shared" ref="GY68:GY131" si="83">GX68+(GP68+GQ68)*44/12</f>
        <v>737.5372684108529</v>
      </c>
      <c r="GZ68" s="57">
        <f ca="1">AVERAGE(OFFSET($GY$3,0,0,'Données projet'!$E$18+1,1))-AVERAGE(OFFSET($H$3,0,0,'Données projet'!$E$18+1,1))</f>
        <v>381.00532469288714</v>
      </c>
      <c r="HA68" s="57">
        <f t="shared" si="52"/>
        <v>314.875259641757</v>
      </c>
      <c r="HB68" s="15">
        <f>IF(ISNA(VLOOKUP(A68,'Données projet'!$A$269:$I$289,3,0)),0,VLOOKUP(A68,'Données projet'!$A$269:$I$289,3,0))</f>
        <v>12</v>
      </c>
      <c r="HC68" s="15">
        <f>IF(ISNA(VLOOKUP(A68,'Données projet'!$A$269:$I$289,4,0)),0,VLOOKUP(A68,'Données projet'!$A$269:$I$289,4,0))</f>
        <v>24</v>
      </c>
      <c r="HD68" s="16">
        <f>IF(ISNA(VLOOKUP(A68,'Données projet'!$A$269:$I$289,5,0)),0%,VLOOKUP(A68,'Données projet'!$A$269:$I$289,5,0)*VLOOKUP('Données projet'!$B$18,Paramètres!$A$1:$I$89,7,0))</f>
        <v>0.42</v>
      </c>
      <c r="HE68" s="16">
        <f>IF(ISNA(VLOOKUP(A68,'Données projet'!$A$269:$I$289,6,0)),0%,VLOOKUP(A68,'Données projet'!$A$269:$I$289,6,0)*VLOOKUP('Données projet'!$B$18,Paramètres!$A$1:$I$89,7,0))</f>
        <v>0.10200000000000001</v>
      </c>
      <c r="HF68" s="16">
        <f>IF(ISNA(VLOOKUP(A68,'Données projet'!$A$269:$I$289,7,0)),0%,VLOOKUP(A68,'Données projet'!$A$269:$I$289,7,0))</f>
        <v>0.13</v>
      </c>
      <c r="HG68" s="21">
        <f>EXP(-LN(2)/35)*HG67+(1-EXP(-LN(2)/35))/(LN(2)/35)*HC68*HD68*VLOOKUP('Données projet'!$B$18,Paramètres!$A$1:$I$89,3,0)*0.475*44/12</f>
        <v>50.417094457660774</v>
      </c>
      <c r="HH68" s="21">
        <f>EXP(-LN(2)/25)*HH67+(1-EXP(-LN(2)/25))/(LN(2)/25)*Calculateur!HC68*Calculateur!HE68*VLOOKUP('Données projet'!$B$18,Paramètres!$A$1:$I$89,3,0)*0.475*44/12</f>
        <v>22.750084768505857</v>
      </c>
      <c r="HI68" s="21">
        <f>EXP(-LN(2)/2)*HI67+(1-EXP(-LN(2)/2))/(LN(2)/2)*HC68*HF68*VLOOKUP('Données projet'!$B$18,Paramètres!$A$1:$I$89,3,0)*0.475*44/12</f>
        <v>2.4246441691795764</v>
      </c>
      <c r="HJ68" s="22">
        <f t="shared" ref="HJ68:HJ131" si="84">SUM(HG68:HI68)</f>
        <v>75.591823395346211</v>
      </c>
    </row>
    <row r="69" spans="1:218" x14ac:dyDescent="0.2">
      <c r="A69" s="10">
        <f t="shared" ref="A69:A132" si="85">A68+1</f>
        <v>66</v>
      </c>
      <c r="B69" s="71">
        <f>'Scénario référence'!$B$16*5+'Scénario référence'!$B$17*0+'Scénario référence'!$B$18*5</f>
        <v>3.3000000000000003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12.100000000000001</v>
      </c>
      <c r="H69" s="65">
        <f t="shared" si="56"/>
        <v>208.26666666666665</v>
      </c>
      <c r="I69" s="6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64.801550641093684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5</v>
      </c>
      <c r="N69" s="13">
        <f>IF('Données projet'!$A$36&gt;35,N68+M69-V68,IF(A69&lt;'Données projet'!$A$36,$K$205^A69,IF(A69='Données projet'!$A$36,'Données projet'!$B$36,N68+M69-V68)))</f>
        <v>152</v>
      </c>
      <c r="O69" s="13">
        <f>N69*VLOOKUP('Données projet'!$B$9,Paramètres!$A$1:$I$89,3,0)*VLOOKUP('Données projet'!$B$9,Paramètres!$A$1:$I$89,5,0)</f>
        <v>154.12800000000001</v>
      </c>
      <c r="P69" s="13">
        <f t="shared" ref="P69:P132" si="87">EXP(-1.0587+0.8836*LN(O69)+0.284)</f>
        <v>39.515201075361155</v>
      </c>
      <c r="Q69" s="20">
        <f t="shared" si="54"/>
        <v>337.26190853958735</v>
      </c>
      <c r="R69" s="57">
        <f t="shared" si="55"/>
        <v>611.53426089026425</v>
      </c>
      <c r="S69" s="57">
        <f ca="1">AVERAGE(OFFSET($R$3,0,0,'Données projet'!$E$9+1,1))-AVERAGE(OFFSET($H$3,0,0,'Données projet'!$E$9+1,1))</f>
        <v>332.70145542047612</v>
      </c>
      <c r="T69" s="57">
        <f t="shared" ref="T69:T132" si="88">$T$3</f>
        <v>172.22433737900428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8.7520645680985822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8.7520645680985822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64.801550641093684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</v>
      </c>
      <c r="AI69" s="13">
        <f>IF('Données projet'!$A$62&gt;35,AI68+AH69-AQ68,IF(A69&lt;'Données projet'!$A$62,$AF$205^A69,IF(A69='Données projet'!$A$62,'Données projet'!$B$62,AI68+AH69-AQ68)))</f>
        <v>203.64</v>
      </c>
      <c r="AJ69" s="13">
        <f>AI69*VLOOKUP('Données projet'!$B$10,Paramètres!$A$1:$I$89,3,0)*VLOOKUP('Données projet'!$B$10,Paramètres!$A$1:$I$89,5,0)</f>
        <v>184.25347199999999</v>
      </c>
      <c r="AK69" s="13">
        <f t="shared" ref="AK69:AK132" si="89">EXP(-1.0587+0.8836*LN(AJ69)+0.284)</f>
        <v>46.267215162006252</v>
      </c>
      <c r="AL69" s="20">
        <f t="shared" si="58"/>
        <v>401.49019680716083</v>
      </c>
      <c r="AM69" s="57">
        <f t="shared" si="59"/>
        <v>675.76254915783761</v>
      </c>
      <c r="AN69" s="57">
        <f ca="1">AVERAGE(OFFSET($AM$3,0,0,'Données projet'!$E$10+1,1))-AVERAGE(OFFSET($H$3,0,0,'Données projet'!$E$10+1,1))</f>
        <v>469.4210143164521</v>
      </c>
      <c r="AO69" s="57">
        <f t="shared" ref="AO69:AO132" si="90">$AO$3</f>
        <v>308.4508386530556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10.732469389451431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10.732469389451431</v>
      </c>
      <c r="AY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64.801550641093684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4.5999999999999996</v>
      </c>
      <c r="BD69" s="12">
        <f>IF('Données projet'!$A$88&gt;35,BD68+BC69-BL68,IF(A69&lt;'Données projet'!$A$88,$BA$205^A69,IF(A69='Données projet'!$A$88,'Données projet'!$B$88,BD68+BC69-BL68)))</f>
        <v>297.59999999999985</v>
      </c>
      <c r="BE69" s="13">
        <f>BD69*VLOOKUP('Données projet'!$B$11,Paramètres!$A$1:$I$89,3,0)*VLOOKUP('Données projet'!$B$11,Paramètres!$A$1:$I$89,5,0)</f>
        <v>218.20031999999989</v>
      </c>
      <c r="BF69" s="13">
        <f t="shared" ref="BF69:BF132" si="91">EXP(-1.0587+0.8836*LN(BE69)+0.284)</f>
        <v>53.723547368945667</v>
      </c>
      <c r="BG69" s="20">
        <f t="shared" si="61"/>
        <v>473.60073566758007</v>
      </c>
      <c r="BH69" s="57">
        <f t="shared" si="62"/>
        <v>747.87308801825691</v>
      </c>
      <c r="BI69" s="57">
        <f ca="1">AVERAGE(OFFSET($BH$3,0,0,'Données projet'!$E$11+1,1))-AVERAGE(OFFSET($H$3,0,0,'Données projet'!$E$11+1,1))</f>
        <v>344.32981377462971</v>
      </c>
      <c r="BJ69" s="57">
        <f t="shared" ref="BJ69:BJ132" si="92">$BJ$3</f>
        <v>334.42512656625763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24.339778498118946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24.339778498118946</v>
      </c>
      <c r="BT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64.801550641093684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7.8</v>
      </c>
      <c r="BY69" s="12">
        <f>IF('Données projet'!$A$114&gt;35,BY68+BX69-CG68,IF(A69&lt;'Données projet'!$A$114,$BV$205^A69,IF(A69='Données projet'!$A$114,'Données projet'!$B$114,BY68+BX69-CG68)))</f>
        <v>266.80000000000013</v>
      </c>
      <c r="BZ69" s="13">
        <f>BY69*VLOOKUP('Données projet'!$B$12,Paramètres!$A$1:$I$89,3,0)*VLOOKUP('Données projet'!$B$12,Paramètres!$A$1:$I$89,5,0)</f>
        <v>253.88688000000013</v>
      </c>
      <c r="CA69" s="13">
        <f t="shared" ref="CA69:CA132" si="93">EXP(-1.0587+0.8836*LN(BZ69)+0.284)</f>
        <v>61.417508891277024</v>
      </c>
      <c r="CB69" s="20">
        <f t="shared" si="64"/>
        <v>549.15514398564108</v>
      </c>
      <c r="CC69" s="57">
        <f t="shared" si="65"/>
        <v>823.42749633631797</v>
      </c>
      <c r="CD69" s="57">
        <f ca="1">AVERAGE(OFFSET($CC$3,0,0,'Données projet'!$E$12+1,1))-AVERAGE(OFFSET($H$3,0,0,'Données projet'!$E$12+1,1))</f>
        <v>498.77732039282807</v>
      </c>
      <c r="CE69" s="57">
        <f t="shared" ref="CE69:CE132" si="94">$CE$3</f>
        <v>384.57317421826531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25.275775393892971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25.275775393892971</v>
      </c>
      <c r="CO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64.801550641093684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8</v>
      </c>
      <c r="CT69" s="12">
        <f>IF('Données projet'!$A$140&gt;35,CT68+CS69-DB68,IF(A69&lt;'Données projet'!$A$140,$CQ$205^A69,IF(A69='Données projet'!$A$140,'Données projet'!$B$140,CT68+CS69-DB68)))</f>
        <v>203.64</v>
      </c>
      <c r="CU69" s="17">
        <f>CT69*VLOOKUP('Données projet'!$B$13,Paramètres!$A$1:$I$89,3,0)*VLOOKUP('Données projet'!$B$13,Paramètres!$A$1:$I$89,5,0)</f>
        <v>136.60171199999999</v>
      </c>
      <c r="CV69" s="13">
        <f t="shared" ref="CV69:CV132" si="95">EXP(-1.0587+0.8836*LN(CU69)+0.284)</f>
        <v>35.517395570351034</v>
      </c>
      <c r="CW69" s="20">
        <f t="shared" si="67"/>
        <v>299.77411235169467</v>
      </c>
      <c r="CX69" s="57">
        <f t="shared" si="68"/>
        <v>574.04646470237151</v>
      </c>
      <c r="CY69" s="57">
        <f ca="1">AVERAGE(OFFSET($CX$3,0,0,'Données projet'!$E$13+1,1))-AVERAGE(OFFSET($H$3,0,0,'Données projet'!$E$13+1,1))</f>
        <v>365.99625753737246</v>
      </c>
      <c r="CZ69" s="57">
        <f t="shared" ref="CZ69:CZ132" si="96">$CZ$3</f>
        <v>242.84814712692287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9.807256511050447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9.807256511050447</v>
      </c>
      <c r="DJ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64.801550641093684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5.4</v>
      </c>
      <c r="DO69" s="12">
        <f>IF('Données projet'!$A$166&gt;35,DO68+DN69-DW68,IF(A69&lt;'Données projet'!$A$166,$DL$205^A69,IF(A69='Données projet'!$A$166,'Données projet'!$B$166,DO68+DN69-DW68)))</f>
        <v>248.40000000000009</v>
      </c>
      <c r="DP69" s="17">
        <f>DO69*VLOOKUP('Données projet'!$B$14,Paramètres!$A$1:$I$89,3,0)*VLOOKUP('Données projet'!$B$14,Paramètres!$A$1:$I$89,5,0)</f>
        <v>162.75168000000005</v>
      </c>
      <c r="DQ69" s="13">
        <f t="shared" ref="DQ69:DQ132" si="97">EXP(-1.0587+0.8836*LN(DP69)+0.284)</f>
        <v>41.462547229213008</v>
      </c>
      <c r="DR69" s="20">
        <f t="shared" si="70"/>
        <v>355.67311242421277</v>
      </c>
      <c r="DS69" s="57">
        <f t="shared" si="71"/>
        <v>629.94546477488962</v>
      </c>
      <c r="DT69" s="57">
        <f ca="1">AVERAGE(OFFSET($DS$3,0,0,'Données projet'!$E$14+1,1))-AVERAGE(OFFSET($H$3,0,0,'Données projet'!$E$14+1,1))</f>
        <v>313.79279628660527</v>
      </c>
      <c r="DU69" s="57">
        <f t="shared" ref="DU69:DU132" si="98">$DU$3</f>
        <v>317.45469955216254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16.65968952052987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16.65968952052987</v>
      </c>
      <c r="EE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64.801550641093684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12.444444444444445</v>
      </c>
      <c r="EJ69" s="12">
        <f>IF('Données projet'!$A$192&gt;35,EJ68+EI69-ER68,IF(A69&lt;'Données projet'!$A$192,$EG$205^A69,IF(A69='Données projet'!$A$192,'Données projet'!$B$192,EJ68+EI69-ER68)))</f>
        <v>438.33333333333348</v>
      </c>
      <c r="EK69" s="17">
        <f>EJ69*VLOOKUP('Données projet'!$B$15,Paramètres!$A$1:$I$89,3,0)*VLOOKUP('Données projet'!$B$15,Paramètres!$A$1:$I$89,5,0)</f>
        <v>376.09000000000015</v>
      </c>
      <c r="EL69" s="13">
        <f t="shared" ref="EL69:EL132" si="99">EXP(-1.0587+0.8836*LN(EK69)+0.284)</f>
        <v>86.912028619663374</v>
      </c>
      <c r="EM69" s="20">
        <f t="shared" si="73"/>
        <v>806.39519984591391</v>
      </c>
      <c r="EN69" s="57">
        <f t="shared" si="74"/>
        <v>1080.6675521965908</v>
      </c>
      <c r="EO69" s="57">
        <f ca="1">AVERAGE(OFFSET($EN$3,0,0,'Données projet'!$E$15+1,1))-AVERAGE(OFFSET($H$3,0,0,'Données projet'!$E$15+1,1))</f>
        <v>643.04899298561475</v>
      </c>
      <c r="EP69" s="57">
        <f t="shared" ref="EP69:EP132" si="100">$EP$3</f>
        <v>474.94999304483031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95.610654518408893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95.610654518408893</v>
      </c>
      <c r="EZ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64.801550641093684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4.5999999999999996</v>
      </c>
      <c r="FE69" s="12">
        <f>IF('Données projet'!$A$218&gt;35,FE68+FD69-FM68,IF(A69&lt;'Données projet'!$A$218,$FB$205^A69,IF(A69='Données projet'!$A$218,'Données projet'!$B$218,FE68+FD69-FM68)))</f>
        <v>297.59999999999985</v>
      </c>
      <c r="FF69" s="17">
        <f>FE69*VLOOKUP('Données projet'!$B$16,Paramètres!$A$1:$I$89,3,0)*VLOOKUP('Données projet'!$B$16,Paramètres!$A$1:$I$89,5,0)</f>
        <v>241.41311999999988</v>
      </c>
      <c r="FG69" s="13">
        <f t="shared" ref="FG69:FG132" si="101">EXP(-1.0587+0.8836*LN(FF69)+0.284)</f>
        <v>58.743466172863258</v>
      </c>
      <c r="FH69" s="20">
        <f t="shared" si="76"/>
        <v>522.77272091773659</v>
      </c>
      <c r="FI69" s="57">
        <f t="shared" si="77"/>
        <v>797.04507326841349</v>
      </c>
      <c r="FJ69" s="57">
        <f ca="1">AVERAGE(OFFSET($FI$3,0,0,'Données projet'!$E$16+1,1))-AVERAGE(OFFSET($H$3,0,0,'Données projet'!$E$16+1,1))</f>
        <v>375.34603719604439</v>
      </c>
      <c r="FK69" s="57">
        <f t="shared" ref="FK69:FK132" si="102">$FK$3</f>
        <v>363.99476973672211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33.191701900453133</v>
      </c>
      <c r="FR69" s="21">
        <f>EXP(-LN(2)/25)*FR68+(1-EXP(-LN(2)/25))/(LN(2)/25)*Calculateur!FM69*Calculateur!FO69*VLOOKUP('Données projet'!$B$16,Paramètres!$A$1:$I$89,3,0)*0.475*44/12</f>
        <v>0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33.191701900453133</v>
      </c>
      <c r="FU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64.801550641093684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-1.1368683772161603E-13</v>
      </c>
      <c r="GA69" s="17">
        <f>FZ69*VLOOKUP('Données projet'!$B$17,Paramètres!$A$1:$I$89,3,0)*VLOOKUP('Données projet'!$B$17,Paramètres!$A$1:$I$89,5,0)</f>
        <v>-6.3550942286383367E-14</v>
      </c>
      <c r="GB69" s="13" t="e">
        <f t="shared" ref="GB69:GB132" si="103">EXP(-1.0587+0.8836*LN(GA69)+0.284)</f>
        <v>#NUM!</v>
      </c>
      <c r="GC69" s="20" t="e">
        <f t="shared" si="79"/>
        <v>#NUM!</v>
      </c>
      <c r="GD69" s="57" t="e">
        <f t="shared" si="80"/>
        <v>#NUM!</v>
      </c>
      <c r="GE69" s="57">
        <f ca="1">AVERAGE(OFFSET($GD$3,0,0,'Données projet'!$E$17+1,1))-AVERAGE(OFFSET($H$3,0,0,'Données projet'!$E$17+1,1))</f>
        <v>414.47327143450701</v>
      </c>
      <c r="GF69" s="57">
        <f t="shared" ref="GF69:GF132" si="104">$GF$3</f>
        <v>546.83385887302961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237.45827932778488</v>
      </c>
      <c r="GM69" s="21">
        <f>EXP(-LN(2)/25)*GM68+(1-EXP(-LN(2)/25))/(LN(2)/25)*Calculateur!GH69*Calculateur!GJ69*VLOOKUP('Données projet'!$B$17,Paramètres!$A$1:$I$89,3,0)*0.475*44/12</f>
        <v>45.646862278246232</v>
      </c>
      <c r="GN69" s="21">
        <f>EXP(-LN(2)/2)*GN68+(1-EXP(-LN(2)/2))/(LN(2)/2)*GH69*GK69*VLOOKUP('Données projet'!$B$17,Paramètres!$A$1:$I$89,3,0)*0.475*44/12</f>
        <v>0.64917141180353088</v>
      </c>
      <c r="GO69" s="21">
        <f t="shared" si="81"/>
        <v>283.75431301783465</v>
      </c>
      <c r="GP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64.801550641093684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7.2</v>
      </c>
      <c r="GU69" s="12">
        <f>IF('Données projet'!$A$270&gt;35,GU68+GT69-HC68,IF(A69&lt;'Données projet'!$A$270,$GR$205^A69,IF(A69='Données projet'!$A$270,'Données projet'!$B$270,GU68+GT69-HC68)))</f>
        <v>374.2</v>
      </c>
      <c r="GV69" s="17">
        <f>GU69*VLOOKUP('Données projet'!$B$18,Paramètres!$A$1:$I$89,3,0)*VLOOKUP('Données projet'!$B$18,Paramètres!$A$1:$I$89,5,0)</f>
        <v>204.31319999999999</v>
      </c>
      <c r="GW69" s="13">
        <f t="shared" ref="GW69:GW132" si="105">EXP(-1.0587+0.8836*LN(GV69)+0.284)</f>
        <v>50.690898216729536</v>
      </c>
      <c r="GX69" s="20">
        <f t="shared" si="82"/>
        <v>444.13213772747054</v>
      </c>
      <c r="GY69" s="57">
        <f t="shared" si="83"/>
        <v>718.40449007814732</v>
      </c>
      <c r="GZ69" s="57">
        <f ca="1">AVERAGE(OFFSET($GY$3,0,0,'Données projet'!$E$18+1,1))-AVERAGE(OFFSET($H$3,0,0,'Données projet'!$E$18+1,1))</f>
        <v>381.00532469288714</v>
      </c>
      <c r="HA69" s="57">
        <f t="shared" ref="HA69:HA132" si="106">$HA$3</f>
        <v>314.875259641757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>
        <f>EXP(-LN(2)/35)*HG68+(1-EXP(-LN(2)/35))/(LN(2)/35)*HC69*HD69*VLOOKUP('Données projet'!$B$18,Paramètres!$A$1:$I$89,3,0)*0.475*44/12</f>
        <v>49.428445986737216</v>
      </c>
      <c r="HH69" s="21">
        <f>EXP(-LN(2)/25)*HH68+(1-EXP(-LN(2)/25))/(LN(2)/25)*Calculateur!HC69*Calculateur!HE69*VLOOKUP('Données projet'!$B$18,Paramètres!$A$1:$I$89,3,0)*0.475*44/12</f>
        <v>22.127982504136103</v>
      </c>
      <c r="HI69" s="21">
        <f>EXP(-LN(2)/2)*HI68+(1-EXP(-LN(2)/2))/(LN(2)/2)*HC69*HF69*VLOOKUP('Données projet'!$B$18,Paramètres!$A$1:$I$89,3,0)*0.475*44/12</f>
        <v>1.7144823339913011</v>
      </c>
      <c r="HJ69" s="22">
        <f t="shared" si="84"/>
        <v>73.270910824864615</v>
      </c>
    </row>
    <row r="70" spans="1:218" x14ac:dyDescent="0.2">
      <c r="A70" s="10">
        <f t="shared" si="85"/>
        <v>67</v>
      </c>
      <c r="B70" s="71">
        <f>'Scénario référence'!$B$16*5+'Scénario référence'!$B$17*0+'Scénario référence'!$B$18*5</f>
        <v>3.3000000000000003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12.100000000000001</v>
      </c>
      <c r="H70" s="65">
        <f t="shared" si="56"/>
        <v>208.26666666666665</v>
      </c>
      <c r="I70" s="6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64.891732115479044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5</v>
      </c>
      <c r="N70" s="13">
        <f>IF('Données projet'!$A$36&gt;35,N69+M70-V69,IF(A70&lt;'Données projet'!$A$36,$K$205^A70,IF(A70='Données projet'!$A$36,'Données projet'!$B$36,N69+M70-V69)))</f>
        <v>157</v>
      </c>
      <c r="O70" s="13">
        <f>N70*VLOOKUP('Données projet'!$B$9,Paramètres!$A$1:$I$89,3,0)*VLOOKUP('Données projet'!$B$9,Paramètres!$A$1:$I$89,5,0)</f>
        <v>159.19800000000001</v>
      </c>
      <c r="P70" s="13">
        <f t="shared" si="87"/>
        <v>40.661569197787308</v>
      </c>
      <c r="Q70" s="20">
        <f t="shared" si="54"/>
        <v>348.08874968614623</v>
      </c>
      <c r="R70" s="57">
        <f t="shared" si="55"/>
        <v>622.6917674429028</v>
      </c>
      <c r="S70" s="57">
        <f ca="1">AVERAGE(OFFSET($R$3,0,0,'Données projet'!$E$9+1,1))-AVERAGE(OFFSET($H$3,0,0,'Données projet'!$E$9+1,1))</f>
        <v>332.70145542047612</v>
      </c>
      <c r="T70" s="57">
        <f t="shared" si="88"/>
        <v>172.22433737900428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8.5804419201504487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8.5804419201504487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64.891732115479044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>
        <f>VLOOKUP(A70,'Données projet'!$A$61:$I$81,2,0)</f>
        <v>211.64</v>
      </c>
      <c r="AG70" s="12">
        <f>VLOOKUP(A70,'Données projet'!$A$61:$I$81,9,0)</f>
        <v>8</v>
      </c>
      <c r="AH70" s="12">
        <f t="array" ref="AH70">INDEX(AG:AG,MIN(IF(ISNUMBER(AG70:AG266),ROW(AG70:AG266),"")))</f>
        <v>8</v>
      </c>
      <c r="AI70" s="13">
        <f>IF('Données projet'!$A$62&gt;35,AI69+AH70-AQ69,IF(A70&lt;'Données projet'!$A$62,$AF$205^A70,IF(A70='Données projet'!$A$62,'Données projet'!$B$62,AI69+AH70-AQ69)))</f>
        <v>211.64</v>
      </c>
      <c r="AJ70" s="13">
        <f>AI70*VLOOKUP('Données projet'!$B$10,Paramètres!$A$1:$I$89,3,0)*VLOOKUP('Données projet'!$B$10,Paramètres!$A$1:$I$89,5,0)</f>
        <v>191.49187199999997</v>
      </c>
      <c r="AK70" s="13">
        <f t="shared" si="89"/>
        <v>47.86963427931142</v>
      </c>
      <c r="AL70" s="20">
        <f t="shared" si="58"/>
        <v>416.88795676980067</v>
      </c>
      <c r="AM70" s="57">
        <f t="shared" si="59"/>
        <v>691.49097452655724</v>
      </c>
      <c r="AN70" s="57">
        <f ca="1">AVERAGE(OFFSET($AM$3,0,0,'Données projet'!$E$10+1,1))-AVERAGE(OFFSET($H$3,0,0,'Données projet'!$E$10+1,1))</f>
        <v>469.4210143164521</v>
      </c>
      <c r="AO70" s="57">
        <f t="shared" si="90"/>
        <v>308.4508386530556</v>
      </c>
      <c r="AP70" s="15">
        <f>IF(ISNA(VLOOKUP(A70,'Données projet'!$A$61:$I$81,3,0)),0,VLOOKUP(A70,'Données projet'!$A$61:$I$81,3,0))</f>
        <v>4</v>
      </c>
      <c r="AQ70" s="15">
        <f>IF(ISNA(VLOOKUP(A70,'Données projet'!$A$61:$I$81,4,0)),0,VLOOKUP(A70,'Données projet'!$A$61:$I$81,4,0))</f>
        <v>40.630000000000003</v>
      </c>
      <c r="AR70" s="16">
        <f>IF(ISNA(VLOOKUP(A70,'Données projet'!$A$61:$I$81,5,0)),0%,VLOOKUP(A70,'Données projet'!$A$61:$I$81,5,0)*VLOOKUP('Données projet'!$B$10,Paramètres!$A$1:$I$89,7,0))</f>
        <v>0.129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15.764485603338882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15.764485603338882</v>
      </c>
      <c r="AY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64.891732115479044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4.5999999999999996</v>
      </c>
      <c r="BD70" s="12">
        <f>IF('Données projet'!$A$88&gt;35,BD69+BC70-BL69,IF(A70&lt;'Données projet'!$A$88,$BA$205^A70,IF(A70='Données projet'!$A$88,'Données projet'!$B$88,BD69+BC70-BL69)))</f>
        <v>302.19999999999987</v>
      </c>
      <c r="BE70" s="13">
        <f>BD70*VLOOKUP('Données projet'!$B$11,Paramètres!$A$1:$I$89,3,0)*VLOOKUP('Données projet'!$B$11,Paramètres!$A$1:$I$89,5,0)</f>
        <v>221.57303999999991</v>
      </c>
      <c r="BF70" s="13">
        <f t="shared" si="91"/>
        <v>54.456636294321989</v>
      </c>
      <c r="BG70" s="20">
        <f t="shared" si="61"/>
        <v>480.75168621261065</v>
      </c>
      <c r="BH70" s="57">
        <f t="shared" si="62"/>
        <v>755.35470396936716</v>
      </c>
      <c r="BI70" s="57">
        <f ca="1">AVERAGE(OFFSET($BH$3,0,0,'Données projet'!$E$11+1,1))-AVERAGE(OFFSET($H$3,0,0,'Données projet'!$E$11+1,1))</f>
        <v>344.32981377462971</v>
      </c>
      <c r="BJ70" s="57">
        <f t="shared" si="92"/>
        <v>334.42512656625763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23.862490287569816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23.862490287569816</v>
      </c>
      <c r="BT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64.891732115479044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7.8</v>
      </c>
      <c r="BY70" s="12">
        <f>IF('Données projet'!$A$114&gt;35,BY69+BX70-CG69,IF(A70&lt;'Données projet'!$A$114,$BV$205^A70,IF(A70='Données projet'!$A$114,'Données projet'!$B$114,BY69+BX70-CG69)))</f>
        <v>274.60000000000014</v>
      </c>
      <c r="BZ70" s="13">
        <f>BY70*VLOOKUP('Données projet'!$B$12,Paramètres!$A$1:$I$89,3,0)*VLOOKUP('Données projet'!$B$12,Paramètres!$A$1:$I$89,5,0)</f>
        <v>261.30936000000014</v>
      </c>
      <c r="CA70" s="13">
        <f t="shared" si="93"/>
        <v>63.001398944980956</v>
      </c>
      <c r="CB70" s="20">
        <f t="shared" si="64"/>
        <v>564.84123849584205</v>
      </c>
      <c r="CC70" s="57">
        <f t="shared" si="65"/>
        <v>839.44425625259851</v>
      </c>
      <c r="CD70" s="57">
        <f ca="1">AVERAGE(OFFSET($CC$3,0,0,'Données projet'!$E$12+1,1))-AVERAGE(OFFSET($H$3,0,0,'Données projet'!$E$12+1,1))</f>
        <v>498.77732039282807</v>
      </c>
      <c r="CE70" s="57">
        <f t="shared" si="94"/>
        <v>384.57317421826531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24.780132855119447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24.780132855119447</v>
      </c>
      <c r="CO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64.891732115479044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>
        <f>VLOOKUP(A70,'Données projet'!$A$139:$I$159,2,0)</f>
        <v>211.64</v>
      </c>
      <c r="CR70" s="12">
        <f>VLOOKUP(A70,'Données projet'!$A$139:$I$159,9,0)</f>
        <v>8</v>
      </c>
      <c r="CS70" s="12">
        <f t="array" ref="CS70">INDEX(CR:CR,MIN(IF(ISNUMBER(CR70:CR266),ROW(CR70:CR266),"")))</f>
        <v>8</v>
      </c>
      <c r="CT70" s="12">
        <f>IF('Données projet'!$A$140&gt;35,CT69+CS70-DB69,IF(A70&lt;'Données projet'!$A$140,$CQ$205^A70,IF(A70='Données projet'!$A$140,'Données projet'!$B$140,CT69+CS70-DB69)))</f>
        <v>211.64</v>
      </c>
      <c r="CU70" s="17">
        <f>CT70*VLOOKUP('Données projet'!$B$13,Paramètres!$A$1:$I$89,3,0)*VLOOKUP('Données projet'!$B$13,Paramètres!$A$1:$I$89,5,0)</f>
        <v>141.96811199999999</v>
      </c>
      <c r="CV70" s="13">
        <f t="shared" si="95"/>
        <v>36.747505345913169</v>
      </c>
      <c r="CW70" s="20">
        <f t="shared" si="67"/>
        <v>311.26303354413204</v>
      </c>
      <c r="CX70" s="57">
        <f t="shared" si="68"/>
        <v>585.86605130088856</v>
      </c>
      <c r="CY70" s="57">
        <f ca="1">AVERAGE(OFFSET($CX$3,0,0,'Données projet'!$E$13+1,1))-AVERAGE(OFFSET($H$3,0,0,'Données projet'!$E$13+1,1))</f>
        <v>365.99625753737246</v>
      </c>
      <c r="CZ70" s="57">
        <f t="shared" si="96"/>
        <v>242.84814712692287</v>
      </c>
      <c r="DA70" s="15">
        <f>IF(ISNA(VLOOKUP(A70,'Données projet'!$A$139:$I$159,3,0)),0,VLOOKUP(A70,'Données projet'!$A$139:$I$159,3,0))</f>
        <v>4</v>
      </c>
      <c r="DB70" s="15">
        <f>IF(ISNA(VLOOKUP(A70,'Données projet'!$A$139:$I$159,4,0)),0,VLOOKUP(A70,'Données projet'!$A$139:$I$159,4,0))</f>
        <v>40.630000000000003</v>
      </c>
      <c r="DC70" s="16">
        <f>IF(ISNA(VLOOKUP(A70,'Données projet'!$A$139:$I$159,5,0)),0%,VLOOKUP(A70,'Données projet'!$A$139:$I$159,5,0)*VLOOKUP('Données projet'!$B$13,Paramètres!$A$1:$I$89,7,0))</f>
        <v>0.159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14.405478223740705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14.405478223740705</v>
      </c>
      <c r="DJ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64.891732115479044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5.4</v>
      </c>
      <c r="DO70" s="12">
        <f>IF('Données projet'!$A$166&gt;35,DO69+DN70-DW69,IF(A70&lt;'Données projet'!$A$166,$DL$205^A70,IF(A70='Données projet'!$A$166,'Données projet'!$B$166,DO69+DN70-DW69)))</f>
        <v>253.8000000000001</v>
      </c>
      <c r="DP70" s="17">
        <f>DO70*VLOOKUP('Données projet'!$B$14,Paramètres!$A$1:$I$89,3,0)*VLOOKUP('Données projet'!$B$14,Paramètres!$A$1:$I$89,5,0)</f>
        <v>166.28976000000006</v>
      </c>
      <c r="DQ70" s="13">
        <f t="shared" si="97"/>
        <v>42.257989067732332</v>
      </c>
      <c r="DR70" s="20">
        <f t="shared" si="70"/>
        <v>363.2206629596339</v>
      </c>
      <c r="DS70" s="57">
        <f t="shared" si="71"/>
        <v>637.82368071639041</v>
      </c>
      <c r="DT70" s="57">
        <f ca="1">AVERAGE(OFFSET($DS$3,0,0,'Données projet'!$E$14+1,1))-AVERAGE(OFFSET($H$3,0,0,'Données projet'!$E$14+1,1))</f>
        <v>313.79279628660527</v>
      </c>
      <c r="DU70" s="57">
        <f t="shared" si="98"/>
        <v>317.45469955216254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16.333003170439532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16.333003170439532</v>
      </c>
      <c r="EE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64.891732115479044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12.444444444444445</v>
      </c>
      <c r="EJ70" s="12">
        <f>IF('Données projet'!$A$192&gt;35,EJ69+EI70-ER69,IF(A70&lt;'Données projet'!$A$192,$EG$205^A70,IF(A70='Données projet'!$A$192,'Données projet'!$B$192,EJ69+EI70-ER69)))</f>
        <v>450.77777777777794</v>
      </c>
      <c r="EK70" s="17">
        <f>EJ70*VLOOKUP('Données projet'!$B$15,Paramètres!$A$1:$I$89,3,0)*VLOOKUP('Données projet'!$B$15,Paramètres!$A$1:$I$89,5,0)</f>
        <v>386.76733333333351</v>
      </c>
      <c r="EL70" s="13">
        <f t="shared" si="99"/>
        <v>89.088715222892645</v>
      </c>
      <c r="EM70" s="20">
        <f t="shared" si="73"/>
        <v>828.78261790209388</v>
      </c>
      <c r="EN70" s="57">
        <f t="shared" si="74"/>
        <v>1103.3856356588503</v>
      </c>
      <c r="EO70" s="57">
        <f ca="1">AVERAGE(OFFSET($EN$3,0,0,'Données projet'!$E$15+1,1))-AVERAGE(OFFSET($H$3,0,0,'Données projet'!$E$15+1,1))</f>
        <v>643.04899298561475</v>
      </c>
      <c r="EP70" s="57">
        <f t="shared" si="100"/>
        <v>474.94999304483031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93.735787900043846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93.735787900043846</v>
      </c>
      <c r="EZ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64.891732115479044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4.5999999999999996</v>
      </c>
      <c r="FE70" s="12">
        <f>IF('Données projet'!$A$218&gt;35,FE69+FD70-FM69,IF(A70&lt;'Données projet'!$A$218,$FB$205^A70,IF(A70='Données projet'!$A$218,'Données projet'!$B$218,FE69+FD70-FM69)))</f>
        <v>302.19999999999987</v>
      </c>
      <c r="FF70" s="17">
        <f>FE70*VLOOKUP('Données projet'!$B$16,Paramètres!$A$1:$I$89,3,0)*VLOOKUP('Données projet'!$B$16,Paramètres!$A$1:$I$89,5,0)</f>
        <v>245.14463999999992</v>
      </c>
      <c r="FG70" s="13">
        <f t="shared" si="101"/>
        <v>59.545054798309039</v>
      </c>
      <c r="FH70" s="20">
        <f t="shared" si="76"/>
        <v>530.66788510705476</v>
      </c>
      <c r="FI70" s="57">
        <f t="shared" si="77"/>
        <v>805.27090286381122</v>
      </c>
      <c r="FJ70" s="57">
        <f ca="1">AVERAGE(OFFSET($FI$3,0,0,'Données projet'!$E$16+1,1))-AVERAGE(OFFSET($H$3,0,0,'Données projet'!$E$16+1,1))</f>
        <v>375.34603719604439</v>
      </c>
      <c r="FK70" s="57">
        <f t="shared" si="102"/>
        <v>363.99476973672211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32.540832871124387</v>
      </c>
      <c r="FR70" s="21">
        <f>EXP(-LN(2)/25)*FR69+(1-EXP(-LN(2)/25))/(LN(2)/25)*Calculateur!FM70*Calculateur!FO70*VLOOKUP('Données projet'!$B$16,Paramètres!$A$1:$I$89,3,0)*0.475*44/12</f>
        <v>0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32.540832871124387</v>
      </c>
      <c r="FU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64.891732115479044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-1.1368683772161603E-13</v>
      </c>
      <c r="GA70" s="17">
        <f>FZ70*VLOOKUP('Données projet'!$B$17,Paramètres!$A$1:$I$89,3,0)*VLOOKUP('Données projet'!$B$17,Paramètres!$A$1:$I$89,5,0)</f>
        <v>-6.3550942286383367E-14</v>
      </c>
      <c r="GB70" s="13" t="e">
        <f t="shared" si="103"/>
        <v>#NUM!</v>
      </c>
      <c r="GC70" s="20" t="e">
        <f t="shared" si="79"/>
        <v>#NUM!</v>
      </c>
      <c r="GD70" s="57" t="e">
        <f t="shared" si="80"/>
        <v>#NUM!</v>
      </c>
      <c r="GE70" s="57">
        <f ca="1">AVERAGE(OFFSET($GD$3,0,0,'Données projet'!$E$17+1,1))-AVERAGE(OFFSET($H$3,0,0,'Données projet'!$E$17+1,1))</f>
        <v>414.47327143450701</v>
      </c>
      <c r="GF70" s="57">
        <f t="shared" si="104"/>
        <v>546.83385887302961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232.80186730541612</v>
      </c>
      <c r="GM70" s="21">
        <f>EXP(-LN(2)/25)*GM69+(1-EXP(-LN(2)/25))/(LN(2)/25)*Calculateur!GH70*Calculateur!GJ70*VLOOKUP('Données projet'!$B$17,Paramètres!$A$1:$I$89,3,0)*0.475*44/12</f>
        <v>44.398646428783429</v>
      </c>
      <c r="GN70" s="21">
        <f>EXP(-LN(2)/2)*GN69+(1-EXP(-LN(2)/2))/(LN(2)/2)*GH70*GK70*VLOOKUP('Données projet'!$B$17,Paramètres!$A$1:$I$89,3,0)*0.475*44/12</f>
        <v>0.45903350743872146</v>
      </c>
      <c r="GO70" s="21">
        <f t="shared" si="81"/>
        <v>277.65954724163828</v>
      </c>
      <c r="GP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64.891732115479044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7.2</v>
      </c>
      <c r="GU70" s="12">
        <f>IF('Données projet'!$A$270&gt;35,GU69+GT70-HC69,IF(A70&lt;'Données projet'!$A$270,$GR$205^A70,IF(A70='Données projet'!$A$270,'Données projet'!$B$270,GU69+GT70-HC69)))</f>
        <v>381.4</v>
      </c>
      <c r="GV70" s="17">
        <f>GU70*VLOOKUP('Données projet'!$B$18,Paramètres!$A$1:$I$89,3,0)*VLOOKUP('Données projet'!$B$18,Paramètres!$A$1:$I$89,5,0)</f>
        <v>208.24439999999998</v>
      </c>
      <c r="GW70" s="13">
        <f t="shared" si="105"/>
        <v>51.551755682596777</v>
      </c>
      <c r="GX70" s="20">
        <f t="shared" si="82"/>
        <v>452.47830448052264</v>
      </c>
      <c r="GY70" s="57">
        <f t="shared" si="83"/>
        <v>727.08132223727921</v>
      </c>
      <c r="GZ70" s="57">
        <f ca="1">AVERAGE(OFFSET($GY$3,0,0,'Données projet'!$E$18+1,1))-AVERAGE(OFFSET($H$3,0,0,'Données projet'!$E$18+1,1))</f>
        <v>381.00532469288714</v>
      </c>
      <c r="HA70" s="57">
        <f t="shared" si="106"/>
        <v>314.875259641757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>
        <f>EXP(-LN(2)/35)*HG69+(1-EXP(-LN(2)/35))/(LN(2)/35)*HC70*HD70*VLOOKUP('Données projet'!$B$18,Paramètres!$A$1:$I$89,3,0)*0.475*44/12</f>
        <v>48.459184309312448</v>
      </c>
      <c r="HH70" s="21">
        <f>EXP(-LN(2)/25)*HH69+(1-EXP(-LN(2)/25))/(LN(2)/25)*Calculateur!HC70*Calculateur!HE70*VLOOKUP('Données projet'!$B$18,Paramètres!$A$1:$I$89,3,0)*0.475*44/12</f>
        <v>21.522891658900477</v>
      </c>
      <c r="HI70" s="21">
        <f>EXP(-LN(2)/2)*HI69+(1-EXP(-LN(2)/2))/(LN(2)/2)*HC70*HF70*VLOOKUP('Données projet'!$B$18,Paramètres!$A$1:$I$89,3,0)*0.475*44/12</f>
        <v>1.2123220845897884</v>
      </c>
      <c r="HJ70" s="22">
        <f t="shared" si="84"/>
        <v>71.194398052802711</v>
      </c>
    </row>
    <row r="71" spans="1:218" x14ac:dyDescent="0.2">
      <c r="A71" s="10">
        <f t="shared" si="85"/>
        <v>68</v>
      </c>
      <c r="B71" s="71">
        <f>'Scénario référence'!$B$16*5+'Scénario référence'!$B$17*0+'Scénario référence'!$B$18*5</f>
        <v>3.3000000000000003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12.100000000000001</v>
      </c>
      <c r="H71" s="65">
        <f t="shared" si="56"/>
        <v>208.26666666666665</v>
      </c>
      <c r="I71" s="6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64.980349142899385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5</v>
      </c>
      <c r="N71" s="13">
        <f>IF('Données projet'!$A$36&gt;35,N70+M71-V70,IF(A71&lt;'Données projet'!$A$36,$K$205^A71,IF(A71='Données projet'!$A$36,'Données projet'!$B$36,N70+M71-V70)))</f>
        <v>162</v>
      </c>
      <c r="O71" s="13">
        <f>N71*VLOOKUP('Données projet'!$B$9,Paramètres!$A$1:$I$89,3,0)*VLOOKUP('Données projet'!$B$9,Paramètres!$A$1:$I$89,5,0)</f>
        <v>164.268</v>
      </c>
      <c r="P71" s="13">
        <f t="shared" si="87"/>
        <v>41.803694835525619</v>
      </c>
      <c r="Q71" s="20">
        <f t="shared" si="54"/>
        <v>358.90820183854044</v>
      </c>
      <c r="R71" s="57">
        <f t="shared" si="55"/>
        <v>633.83614869583812</v>
      </c>
      <c r="S71" s="57">
        <f ca="1">AVERAGE(OFFSET($R$3,0,0,'Données projet'!$E$9+1,1))-AVERAGE(OFFSET($H$3,0,0,'Données projet'!$E$9+1,1))</f>
        <v>332.70145542047612</v>
      </c>
      <c r="T71" s="57">
        <f t="shared" si="88"/>
        <v>172.22433737900428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8.4121846876490984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8.4121846876490984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64.980349142899385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7.3250000000000028</v>
      </c>
      <c r="AI71" s="13">
        <f>IF('Données projet'!$A$62&gt;35,AI70+AH71-AQ70,IF(A71&lt;'Données projet'!$A$62,$AF$205^A71,IF(A71='Données projet'!$A$62,'Données projet'!$B$62,AI70+AH71-AQ70)))</f>
        <v>178.33499999999998</v>
      </c>
      <c r="AJ71" s="13">
        <f>AI71*VLOOKUP('Données projet'!$B$10,Paramètres!$A$1:$I$89,3,0)*VLOOKUP('Données projet'!$B$10,Paramètres!$A$1:$I$89,5,0)</f>
        <v>161.35750799999997</v>
      </c>
      <c r="AK71" s="13">
        <f t="shared" si="89"/>
        <v>41.148554406090135</v>
      </c>
      <c r="AL71" s="20">
        <f t="shared" si="58"/>
        <v>352.69805869060696</v>
      </c>
      <c r="AM71" s="57">
        <f t="shared" si="59"/>
        <v>627.6260055479047</v>
      </c>
      <c r="AN71" s="57">
        <f ca="1">AVERAGE(OFFSET($AM$3,0,0,'Données projet'!$E$10+1,1))-AVERAGE(OFFSET($H$3,0,0,'Données projet'!$E$10+1,1))</f>
        <v>469.4210143164521</v>
      </c>
      <c r="AO71" s="57">
        <f t="shared" si="90"/>
        <v>308.4508386530556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15.455353656044183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15.455353656044183</v>
      </c>
      <c r="AY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64.980349142899385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4.5999999999999996</v>
      </c>
      <c r="BD71" s="12">
        <f>IF('Données projet'!$A$88&gt;35,BD70+BC71-BL70,IF(A71&lt;'Données projet'!$A$88,$BA$205^A71,IF(A71='Données projet'!$A$88,'Données projet'!$B$88,BD70+BC71-BL70)))</f>
        <v>306.7999999999999</v>
      </c>
      <c r="BE71" s="13">
        <f>BD71*VLOOKUP('Données projet'!$B$11,Paramètres!$A$1:$I$89,3,0)*VLOOKUP('Données projet'!$B$11,Paramètres!$A$1:$I$89,5,0)</f>
        <v>224.94575999999992</v>
      </c>
      <c r="BF71" s="13">
        <f t="shared" si="91"/>
        <v>55.188427424815572</v>
      </c>
      <c r="BG71" s="20">
        <f t="shared" si="61"/>
        <v>487.90037643155364</v>
      </c>
      <c r="BH71" s="57">
        <f t="shared" si="62"/>
        <v>762.82832328885138</v>
      </c>
      <c r="BI71" s="57">
        <f ca="1">AVERAGE(OFFSET($BH$3,0,0,'Données projet'!$E$11+1,1))-AVERAGE(OFFSET($H$3,0,0,'Données projet'!$E$11+1,1))</f>
        <v>344.32981377462971</v>
      </c>
      <c r="BJ71" s="57">
        <f t="shared" si="92"/>
        <v>334.42512656625763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23.394561407712491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23.394561407712491</v>
      </c>
      <c r="BT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64.980349142899385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7.8</v>
      </c>
      <c r="BY71" s="12">
        <f>IF('Données projet'!$A$114&gt;35,BY70+BX71-CG70,IF(A71&lt;'Données projet'!$A$114,$BV$205^A71,IF(A71='Données projet'!$A$114,'Données projet'!$B$114,BY70+BX71-CG70)))</f>
        <v>282.40000000000015</v>
      </c>
      <c r="BZ71" s="13">
        <f>BY71*VLOOKUP('Données projet'!$B$12,Paramètres!$A$1:$I$89,3,0)*VLOOKUP('Données projet'!$B$12,Paramètres!$A$1:$I$89,5,0)</f>
        <v>268.73184000000015</v>
      </c>
      <c r="CA71" s="13">
        <f t="shared" si="93"/>
        <v>64.580060030106694</v>
      </c>
      <c r="CB71" s="20">
        <f t="shared" si="64"/>
        <v>580.51822588576931</v>
      </c>
      <c r="CC71" s="57">
        <f t="shared" si="65"/>
        <v>855.44617274306711</v>
      </c>
      <c r="CD71" s="57">
        <f ca="1">AVERAGE(OFFSET($CC$3,0,0,'Données projet'!$E$12+1,1))-AVERAGE(OFFSET($H$3,0,0,'Données projet'!$E$12+1,1))</f>
        <v>498.77732039282807</v>
      </c>
      <c r="CE71" s="57">
        <f t="shared" si="94"/>
        <v>384.57317421826531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24.294209564219173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24.294209564219173</v>
      </c>
      <c r="CO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64.980349142899385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7.3250000000000028</v>
      </c>
      <c r="CT71" s="12">
        <f>IF('Données projet'!$A$140&gt;35,CT70+CS71-DB70,IF(A71&lt;'Données projet'!$A$140,$CQ$205^A71,IF(A71='Données projet'!$A$140,'Données projet'!$B$140,CT70+CS71-DB70)))</f>
        <v>178.33499999999998</v>
      </c>
      <c r="CU71" s="17">
        <f>CT71*VLOOKUP('Données projet'!$B$13,Paramètres!$A$1:$I$89,3,0)*VLOOKUP('Données projet'!$B$13,Paramètres!$A$1:$I$89,5,0)</f>
        <v>119.62711799999998</v>
      </c>
      <c r="CV71" s="13">
        <f t="shared" si="95"/>
        <v>31.588014944745616</v>
      </c>
      <c r="CW71" s="20">
        <f t="shared" si="67"/>
        <v>263.36635654543187</v>
      </c>
      <c r="CX71" s="57">
        <f t="shared" si="68"/>
        <v>538.29430340272961</v>
      </c>
      <c r="CY71" s="57">
        <f ca="1">AVERAGE(OFFSET($CX$3,0,0,'Données projet'!$E$13+1,1))-AVERAGE(OFFSET($H$3,0,0,'Données projet'!$E$13+1,1))</f>
        <v>365.99625753737246</v>
      </c>
      <c r="CZ71" s="57">
        <f t="shared" si="96"/>
        <v>242.84814712692287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14.122995582247274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14.122995582247274</v>
      </c>
      <c r="DJ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64.980349142899385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5.4</v>
      </c>
      <c r="DO71" s="12">
        <f>IF('Données projet'!$A$166&gt;35,DO70+DN71-DW70,IF(A71&lt;'Données projet'!$A$166,$DL$205^A71,IF(A71='Données projet'!$A$166,'Données projet'!$B$166,DO70+DN71-DW70)))</f>
        <v>259.2000000000001</v>
      </c>
      <c r="DP71" s="17">
        <f>DO71*VLOOKUP('Données projet'!$B$14,Paramètres!$A$1:$I$89,3,0)*VLOOKUP('Données projet'!$B$14,Paramètres!$A$1:$I$89,5,0)</f>
        <v>169.82784000000007</v>
      </c>
      <c r="DQ71" s="13">
        <f t="shared" si="97"/>
        <v>43.051463198873812</v>
      </c>
      <c r="DR71" s="20">
        <f t="shared" si="70"/>
        <v>370.76478640470532</v>
      </c>
      <c r="DS71" s="57">
        <f t="shared" si="71"/>
        <v>645.692733262003</v>
      </c>
      <c r="DT71" s="57">
        <f ca="1">AVERAGE(OFFSET($DS$3,0,0,'Données projet'!$E$14+1,1))-AVERAGE(OFFSET($H$3,0,0,'Données projet'!$E$14+1,1))</f>
        <v>313.79279628660527</v>
      </c>
      <c r="DU71" s="57">
        <f t="shared" si="98"/>
        <v>317.45469955216254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16.012722940415468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16.012722940415468</v>
      </c>
      <c r="EE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64.980349142899385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12.444444444444445</v>
      </c>
      <c r="EJ71" s="12">
        <f>IF('Données projet'!$A$192&gt;35,EJ70+EI71-ER70,IF(A71&lt;'Données projet'!$A$192,$EG$205^A71,IF(A71='Données projet'!$A$192,'Données projet'!$B$192,EJ70+EI71-ER70)))</f>
        <v>463.2222222222224</v>
      </c>
      <c r="EK71" s="17">
        <f>EJ71*VLOOKUP('Données projet'!$B$15,Paramètres!$A$1:$I$89,3,0)*VLOOKUP('Données projet'!$B$15,Paramètres!$A$1:$I$89,5,0)</f>
        <v>397.44466666666688</v>
      </c>
      <c r="EL71" s="13">
        <f t="shared" si="99"/>
        <v>91.2584175307219</v>
      </c>
      <c r="EM71" s="20">
        <f t="shared" si="73"/>
        <v>851.15787164378537</v>
      </c>
      <c r="EN71" s="57">
        <f t="shared" si="74"/>
        <v>1126.0858185010832</v>
      </c>
      <c r="EO71" s="57">
        <f ca="1">AVERAGE(OFFSET($EN$3,0,0,'Données projet'!$E$15+1,1))-AVERAGE(OFFSET($H$3,0,0,'Données projet'!$E$15+1,1))</f>
        <v>643.04899298561475</v>
      </c>
      <c r="EP71" s="57">
        <f t="shared" si="100"/>
        <v>474.94999304483031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91.897686272509219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91.897686272509219</v>
      </c>
      <c r="EZ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64.980349142899385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4.5999999999999996</v>
      </c>
      <c r="FE71" s="12">
        <f>IF('Données projet'!$A$218&gt;35,FE70+FD71-FM70,IF(A71&lt;'Données projet'!$A$218,$FB$205^A71,IF(A71='Données projet'!$A$218,'Données projet'!$B$218,FE70+FD71-FM70)))</f>
        <v>306.7999999999999</v>
      </c>
      <c r="FF71" s="17">
        <f>FE71*VLOOKUP('Données projet'!$B$16,Paramètres!$A$1:$I$89,3,0)*VLOOKUP('Données projet'!$B$16,Paramètres!$A$1:$I$89,5,0)</f>
        <v>248.87615999999991</v>
      </c>
      <c r="FG71" s="13">
        <f t="shared" si="101"/>
        <v>60.345224363146883</v>
      </c>
      <c r="FH71" s="20">
        <f t="shared" si="76"/>
        <v>538.56057776581395</v>
      </c>
      <c r="FI71" s="57">
        <f t="shared" si="77"/>
        <v>813.48852462311174</v>
      </c>
      <c r="FJ71" s="57">
        <f ca="1">AVERAGE(OFFSET($FI$3,0,0,'Données projet'!$E$16+1,1))-AVERAGE(OFFSET($H$3,0,0,'Données projet'!$E$16+1,1))</f>
        <v>375.34603719604439</v>
      </c>
      <c r="FK71" s="57">
        <f t="shared" si="102"/>
        <v>363.99476973672211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31.902726986469865</v>
      </c>
      <c r="FR71" s="21">
        <f>EXP(-LN(2)/25)*FR70+(1-EXP(-LN(2)/25))/(LN(2)/25)*Calculateur!FM71*Calculateur!FO71*VLOOKUP('Données projet'!$B$16,Paramètres!$A$1:$I$89,3,0)*0.475*44/12</f>
        <v>0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31.902726986469865</v>
      </c>
      <c r="FU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64.980349142899385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-1.1368683772161603E-13</v>
      </c>
      <c r="GA71" s="17">
        <f>FZ71*VLOOKUP('Données projet'!$B$17,Paramètres!$A$1:$I$89,3,0)*VLOOKUP('Données projet'!$B$17,Paramètres!$A$1:$I$89,5,0)</f>
        <v>-6.3550942286383367E-14</v>
      </c>
      <c r="GB71" s="13" t="e">
        <f t="shared" si="103"/>
        <v>#NUM!</v>
      </c>
      <c r="GC71" s="20" t="e">
        <f t="shared" si="79"/>
        <v>#NUM!</v>
      </c>
      <c r="GD71" s="57" t="e">
        <f t="shared" si="80"/>
        <v>#NUM!</v>
      </c>
      <c r="GE71" s="57">
        <f ca="1">AVERAGE(OFFSET($GD$3,0,0,'Données projet'!$E$17+1,1))-AVERAGE(OFFSET($H$3,0,0,'Données projet'!$E$17+1,1))</f>
        <v>414.47327143450701</v>
      </c>
      <c r="GF71" s="57">
        <f t="shared" si="104"/>
        <v>546.83385887302961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228.23676468267513</v>
      </c>
      <c r="GM71" s="21">
        <f>EXP(-LN(2)/25)*GM70+(1-EXP(-LN(2)/25))/(LN(2)/25)*Calculateur!GH71*Calculateur!GJ71*VLOOKUP('Données projet'!$B$17,Paramètres!$A$1:$I$89,3,0)*0.475*44/12</f>
        <v>43.184563107365008</v>
      </c>
      <c r="GN71" s="21">
        <f>EXP(-LN(2)/2)*GN70+(1-EXP(-LN(2)/2))/(LN(2)/2)*GH71*GK71*VLOOKUP('Données projet'!$B$17,Paramètres!$A$1:$I$89,3,0)*0.475*44/12</f>
        <v>0.32458570590176544</v>
      </c>
      <c r="GO71" s="21">
        <f t="shared" si="81"/>
        <v>271.74591349594192</v>
      </c>
      <c r="GP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64.980349142899385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7.2</v>
      </c>
      <c r="GU71" s="12">
        <f>IF('Données projet'!$A$270&gt;35,GU70+GT71-HC70,IF(A71&lt;'Données projet'!$A$270,$GR$205^A71,IF(A71='Données projet'!$A$270,'Données projet'!$B$270,GU70+GT71-HC70)))</f>
        <v>388.59999999999997</v>
      </c>
      <c r="GV71" s="17">
        <f>GU71*VLOOKUP('Données projet'!$B$18,Paramètres!$A$1:$I$89,3,0)*VLOOKUP('Données projet'!$B$18,Paramètres!$A$1:$I$89,5,0)</f>
        <v>212.1756</v>
      </c>
      <c r="GW71" s="13">
        <f t="shared" si="105"/>
        <v>52.410723477279205</v>
      </c>
      <c r="GX71" s="20">
        <f t="shared" si="82"/>
        <v>460.82118005626131</v>
      </c>
      <c r="GY71" s="57">
        <f t="shared" si="83"/>
        <v>735.74912691355905</v>
      </c>
      <c r="GZ71" s="57">
        <f ca="1">AVERAGE(OFFSET($GY$3,0,0,'Données projet'!$E$18+1,1))-AVERAGE(OFFSET($H$3,0,0,'Données projet'!$E$18+1,1))</f>
        <v>381.00532469288714</v>
      </c>
      <c r="HA71" s="57">
        <f t="shared" si="106"/>
        <v>314.875259641757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>
        <f>EXP(-LN(2)/35)*HG70+(1-EXP(-LN(2)/35))/(LN(2)/35)*HC71*HD71*VLOOKUP('Données projet'!$B$18,Paramètres!$A$1:$I$89,3,0)*0.475*44/12</f>
        <v>47.508929262190733</v>
      </c>
      <c r="HH71" s="21">
        <f>EXP(-LN(2)/25)*HH70+(1-EXP(-LN(2)/25))/(LN(2)/25)*Calculateur!HC71*Calculateur!HE71*VLOOKUP('Données projet'!$B$18,Paramètres!$A$1:$I$89,3,0)*0.475*44/12</f>
        <v>20.93434705464816</v>
      </c>
      <c r="HI71" s="21">
        <f>EXP(-LN(2)/2)*HI70+(1-EXP(-LN(2)/2))/(LN(2)/2)*HC71*HF71*VLOOKUP('Données projet'!$B$18,Paramètres!$A$1:$I$89,3,0)*0.475*44/12</f>
        <v>0.85724116699565078</v>
      </c>
      <c r="HJ71" s="22">
        <f t="shared" si="84"/>
        <v>69.30051748383454</v>
      </c>
    </row>
    <row r="72" spans="1:218" x14ac:dyDescent="0.2">
      <c r="A72" s="10">
        <f t="shared" si="85"/>
        <v>69</v>
      </c>
      <c r="B72" s="71">
        <f>'Scénario référence'!$B$16*5+'Scénario référence'!$B$17*0+'Scénario référence'!$B$18*5</f>
        <v>3.3000000000000003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12.100000000000001</v>
      </c>
      <c r="H72" s="65">
        <f t="shared" si="56"/>
        <v>208.26666666666665</v>
      </c>
      <c r="I72" s="6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65.067428863011983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5</v>
      </c>
      <c r="N72" s="13">
        <f>IF('Données projet'!$A$36&gt;35,N71+M72-V71,IF(A72&lt;'Données projet'!$A$36,$K$205^A72,IF(A72='Données projet'!$A$36,'Données projet'!$B$36,N71+M72-V71)))</f>
        <v>167</v>
      </c>
      <c r="O72" s="13">
        <f>N72*VLOOKUP('Données projet'!$B$9,Paramètres!$A$1:$I$89,3,0)*VLOOKUP('Données projet'!$B$9,Paramètres!$A$1:$I$89,5,0)</f>
        <v>169.33799999999999</v>
      </c>
      <c r="P72" s="13">
        <f t="shared" si="87"/>
        <v>42.941723955722921</v>
      </c>
      <c r="Q72" s="20">
        <f t="shared" si="54"/>
        <v>369.72051922288409</v>
      </c>
      <c r="R72" s="57">
        <f t="shared" si="55"/>
        <v>644.96775838726137</v>
      </c>
      <c r="S72" s="57">
        <f ca="1">AVERAGE(OFFSET($R$3,0,0,'Données projet'!$E$9+1,1))-AVERAGE(OFFSET($H$3,0,0,'Données projet'!$E$9+1,1))</f>
        <v>332.70145542047612</v>
      </c>
      <c r="T72" s="57">
        <f t="shared" si="88"/>
        <v>172.22433737900428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8.2472268768503216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8.2472268768503216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65.067428863011983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7.3250000000000028</v>
      </c>
      <c r="AI72" s="13">
        <f>IF('Données projet'!$A$62&gt;35,AI71+AH72-AQ71,IF(A72&lt;'Données projet'!$A$62,$AF$205^A72,IF(A72='Données projet'!$A$62,'Données projet'!$B$62,AI71+AH72-AQ71)))</f>
        <v>185.65999999999997</v>
      </c>
      <c r="AJ72" s="13">
        <f>AI72*VLOOKUP('Données projet'!$B$10,Paramètres!$A$1:$I$89,3,0)*VLOOKUP('Données projet'!$B$10,Paramètres!$A$1:$I$89,5,0)</f>
        <v>167.98516799999996</v>
      </c>
      <c r="AK72" s="13">
        <f t="shared" si="89"/>
        <v>42.638455591914493</v>
      </c>
      <c r="AL72" s="20">
        <f t="shared" si="58"/>
        <v>366.83614442258431</v>
      </c>
      <c r="AM72" s="57">
        <f t="shared" si="59"/>
        <v>642.08338358696165</v>
      </c>
      <c r="AN72" s="57">
        <f ca="1">AVERAGE(OFFSET($AM$3,0,0,'Données projet'!$E$10+1,1))-AVERAGE(OFFSET($H$3,0,0,'Données projet'!$E$10+1,1))</f>
        <v>469.4210143164521</v>
      </c>
      <c r="AO72" s="57">
        <f t="shared" si="90"/>
        <v>308.4508386530556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15.152283597684065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15.152283597684065</v>
      </c>
      <c r="AY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65.067428863011983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4.5999999999999996</v>
      </c>
      <c r="BD72" s="12">
        <f>IF('Données projet'!$A$88&gt;35,BD71+BC72-BL71,IF(A72&lt;'Données projet'!$A$88,$BA$205^A72,IF(A72='Données projet'!$A$88,'Données projet'!$B$88,BD71+BC72-BL71)))</f>
        <v>311.39999999999992</v>
      </c>
      <c r="BE72" s="13">
        <f>BD72*VLOOKUP('Données projet'!$B$11,Paramètres!$A$1:$I$89,3,0)*VLOOKUP('Données projet'!$B$11,Paramètres!$A$1:$I$89,5,0)</f>
        <v>228.31847999999994</v>
      </c>
      <c r="BF72" s="13">
        <f t="shared" si="91"/>
        <v>55.918942466546987</v>
      </c>
      <c r="BG72" s="20">
        <f t="shared" si="61"/>
        <v>495.04684412923598</v>
      </c>
      <c r="BH72" s="57">
        <f t="shared" si="62"/>
        <v>770.29408329361331</v>
      </c>
      <c r="BI72" s="57">
        <f ca="1">AVERAGE(OFFSET($BH$3,0,0,'Données projet'!$E$11+1,1))-AVERAGE(OFFSET($H$3,0,0,'Données projet'!$E$11+1,1))</f>
        <v>344.32981377462971</v>
      </c>
      <c r="BJ72" s="57">
        <f t="shared" si="92"/>
        <v>334.42512656625763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22.935808327780734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22.935808327780734</v>
      </c>
      <c r="BT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65.067428863011983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7.8</v>
      </c>
      <c r="BY72" s="12">
        <f>IF('Données projet'!$A$114&gt;35,BY71+BX72-CG71,IF(A72&lt;'Données projet'!$A$114,$BV$205^A72,IF(A72='Données projet'!$A$114,'Données projet'!$B$114,BY71+BX72-CG71)))</f>
        <v>290.20000000000016</v>
      </c>
      <c r="BZ72" s="13">
        <f>BY72*VLOOKUP('Données projet'!$B$12,Paramètres!$A$1:$I$89,3,0)*VLOOKUP('Données projet'!$B$12,Paramètres!$A$1:$I$89,5,0)</f>
        <v>276.15432000000015</v>
      </c>
      <c r="CA72" s="13">
        <f t="shared" si="93"/>
        <v>66.153653166605295</v>
      </c>
      <c r="CB72" s="20">
        <f t="shared" si="64"/>
        <v>596.18638659850455</v>
      </c>
      <c r="CC72" s="57">
        <f t="shared" si="65"/>
        <v>871.43362576288177</v>
      </c>
      <c r="CD72" s="57">
        <f ca="1">AVERAGE(OFFSET($CC$3,0,0,'Données projet'!$E$12+1,1))-AVERAGE(OFFSET($H$3,0,0,'Données projet'!$E$12+1,1))</f>
        <v>498.77732039282807</v>
      </c>
      <c r="CE72" s="57">
        <f t="shared" si="94"/>
        <v>384.57317421826531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23.817814932669513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23.817814932669513</v>
      </c>
      <c r="CO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65.067428863011983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7.3250000000000028</v>
      </c>
      <c r="CT72" s="12">
        <f>IF('Données projet'!$A$140&gt;35,CT71+CS72-DB71,IF(A72&lt;'Données projet'!$A$140,$CQ$205^A72,IF(A72='Données projet'!$A$140,'Données projet'!$B$140,CT71+CS72-DB71)))</f>
        <v>185.65999999999997</v>
      </c>
      <c r="CU72" s="17">
        <f>CT72*VLOOKUP('Données projet'!$B$13,Paramètres!$A$1:$I$89,3,0)*VLOOKUP('Données projet'!$B$13,Paramètres!$A$1:$I$89,5,0)</f>
        <v>124.54072799999997</v>
      </c>
      <c r="CV72" s="13">
        <f t="shared" si="95"/>
        <v>32.731749435623591</v>
      </c>
      <c r="CW72" s="20">
        <f t="shared" si="67"/>
        <v>273.91623153371103</v>
      </c>
      <c r="CX72" s="57">
        <f t="shared" si="68"/>
        <v>549.1634706980883</v>
      </c>
      <c r="CY72" s="57">
        <f ca="1">AVERAGE(OFFSET($CX$3,0,0,'Données projet'!$E$13+1,1))-AVERAGE(OFFSET($H$3,0,0,'Données projet'!$E$13+1,1))</f>
        <v>365.99625753737246</v>
      </c>
      <c r="CZ72" s="57">
        <f t="shared" si="96"/>
        <v>242.84814712692287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13.846052253056131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13.846052253056131</v>
      </c>
      <c r="DJ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65.067428863011983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5.4</v>
      </c>
      <c r="DO72" s="12">
        <f>IF('Données projet'!$A$166&gt;35,DO71+DN72-DW71,IF(A72&lt;'Données projet'!$A$166,$DL$205^A72,IF(A72='Données projet'!$A$166,'Données projet'!$B$166,DO71+DN72-DW71)))</f>
        <v>264.60000000000008</v>
      </c>
      <c r="DP72" s="17">
        <f>DO72*VLOOKUP('Données projet'!$B$14,Paramètres!$A$1:$I$89,3,0)*VLOOKUP('Données projet'!$B$14,Paramètres!$A$1:$I$89,5,0)</f>
        <v>173.36592000000005</v>
      </c>
      <c r="DQ72" s="13">
        <f t="shared" si="97"/>
        <v>43.843015339462696</v>
      </c>
      <c r="DR72" s="20">
        <f t="shared" si="70"/>
        <v>378.30556238289756</v>
      </c>
      <c r="DS72" s="57">
        <f t="shared" si="71"/>
        <v>653.55280154727484</v>
      </c>
      <c r="DT72" s="57">
        <f ca="1">AVERAGE(OFFSET($DS$3,0,0,'Données projet'!$E$14+1,1))-AVERAGE(OFFSET($H$3,0,0,'Données projet'!$E$14+1,1))</f>
        <v>313.79279628660527</v>
      </c>
      <c r="DU72" s="57">
        <f t="shared" si="98"/>
        <v>317.45469955216254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15.698723210350524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15.698723210350524</v>
      </c>
      <c r="EE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65.067428863011983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12.444444444444445</v>
      </c>
      <c r="EJ72" s="12">
        <f>IF('Données projet'!$A$192&gt;35,EJ71+EI72-ER71,IF(A72&lt;'Données projet'!$A$192,$EG$205^A72,IF(A72='Données projet'!$A$192,'Données projet'!$B$192,EJ71+EI72-ER71)))</f>
        <v>475.66666666666686</v>
      </c>
      <c r="EK72" s="17">
        <f>EJ72*VLOOKUP('Données projet'!$B$15,Paramètres!$A$1:$I$89,3,0)*VLOOKUP('Données projet'!$B$15,Paramètres!$A$1:$I$89,5,0)</f>
        <v>408.12200000000018</v>
      </c>
      <c r="EL72" s="13">
        <f t="shared" si="99"/>
        <v>93.421344740166759</v>
      </c>
      <c r="EM72" s="20">
        <f t="shared" si="73"/>
        <v>873.52132542245738</v>
      </c>
      <c r="EN72" s="57">
        <f t="shared" si="74"/>
        <v>1148.7685645868346</v>
      </c>
      <c r="EO72" s="57">
        <f ca="1">AVERAGE(OFFSET($EN$3,0,0,'Données projet'!$E$15+1,1))-AVERAGE(OFFSET($H$3,0,0,'Données projet'!$E$15+1,1))</f>
        <v>643.04899298561475</v>
      </c>
      <c r="EP72" s="57">
        <f t="shared" si="100"/>
        <v>474.94999304483031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90.095628696759263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90.095628696759263</v>
      </c>
      <c r="EZ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65.067428863011983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4.5999999999999996</v>
      </c>
      <c r="FE72" s="12">
        <f>IF('Données projet'!$A$218&gt;35,FE71+FD72-FM71,IF(A72&lt;'Données projet'!$A$218,$FB$205^A72,IF(A72='Données projet'!$A$218,'Données projet'!$B$218,FE71+FD72-FM71)))</f>
        <v>311.39999999999992</v>
      </c>
      <c r="FF72" s="17">
        <f>FE72*VLOOKUP('Données projet'!$B$16,Paramètres!$A$1:$I$89,3,0)*VLOOKUP('Données projet'!$B$16,Paramètres!$A$1:$I$89,5,0)</f>
        <v>252.60767999999996</v>
      </c>
      <c r="FG72" s="13">
        <f t="shared" si="101"/>
        <v>61.143998601713257</v>
      </c>
      <c r="FH72" s="20">
        <f t="shared" si="76"/>
        <v>546.4508402313171</v>
      </c>
      <c r="FI72" s="57">
        <f t="shared" si="77"/>
        <v>821.69807939569432</v>
      </c>
      <c r="FJ72" s="57">
        <f ca="1">AVERAGE(OFFSET($FI$3,0,0,'Données projet'!$E$16+1,1))-AVERAGE(OFFSET($H$3,0,0,'Données projet'!$E$16+1,1))</f>
        <v>375.34603719604439</v>
      </c>
      <c r="FK72" s="57">
        <f t="shared" si="102"/>
        <v>363.99476973672211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31.277133969007263</v>
      </c>
      <c r="FR72" s="21">
        <f>EXP(-LN(2)/25)*FR71+(1-EXP(-LN(2)/25))/(LN(2)/25)*Calculateur!FM72*Calculateur!FO72*VLOOKUP('Données projet'!$B$16,Paramètres!$A$1:$I$89,3,0)*0.475*44/12</f>
        <v>0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31.277133969007263</v>
      </c>
      <c r="FU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65.067428863011983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-1.1368683772161603E-13</v>
      </c>
      <c r="GA72" s="17">
        <f>FZ72*VLOOKUP('Données projet'!$B$17,Paramètres!$A$1:$I$89,3,0)*VLOOKUP('Données projet'!$B$17,Paramètres!$A$1:$I$89,5,0)</f>
        <v>-6.3550942286383367E-14</v>
      </c>
      <c r="GB72" s="13" t="e">
        <f t="shared" si="103"/>
        <v>#NUM!</v>
      </c>
      <c r="GC72" s="20" t="e">
        <f t="shared" si="79"/>
        <v>#NUM!</v>
      </c>
      <c r="GD72" s="57" t="e">
        <f t="shared" si="80"/>
        <v>#NUM!</v>
      </c>
      <c r="GE72" s="57">
        <f ca="1">AVERAGE(OFFSET($GD$3,0,0,'Données projet'!$E$17+1,1))-AVERAGE(OFFSET($H$3,0,0,'Données projet'!$E$17+1,1))</f>
        <v>414.47327143450701</v>
      </c>
      <c r="GF72" s="57">
        <f t="shared" si="104"/>
        <v>546.83385887302961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223.7611809379284</v>
      </c>
      <c r="GM72" s="21">
        <f>EXP(-LN(2)/25)*GM71+(1-EXP(-LN(2)/25))/(LN(2)/25)*Calculateur!GH72*Calculateur!GJ72*VLOOKUP('Données projet'!$B$17,Paramètres!$A$1:$I$89,3,0)*0.475*44/12</f>
        <v>42.003678958216639</v>
      </c>
      <c r="GN72" s="21">
        <f>EXP(-LN(2)/2)*GN71+(1-EXP(-LN(2)/2))/(LN(2)/2)*GH72*GK72*VLOOKUP('Données projet'!$B$17,Paramètres!$A$1:$I$89,3,0)*0.475*44/12</f>
        <v>0.22951675371936073</v>
      </c>
      <c r="GO72" s="21">
        <f t="shared" si="81"/>
        <v>265.99437664986436</v>
      </c>
      <c r="GP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65.067428863011983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7.2</v>
      </c>
      <c r="GU72" s="12">
        <f>IF('Données projet'!$A$270&gt;35,GU71+GT72-HC71,IF(A72&lt;'Données projet'!$A$270,$GR$205^A72,IF(A72='Données projet'!$A$270,'Données projet'!$B$270,GU71+GT72-HC71)))</f>
        <v>395.79999999999995</v>
      </c>
      <c r="GV72" s="17">
        <f>GU72*VLOOKUP('Données projet'!$B$18,Paramètres!$A$1:$I$89,3,0)*VLOOKUP('Données projet'!$B$18,Paramètres!$A$1:$I$89,5,0)</f>
        <v>216.10679999999996</v>
      </c>
      <c r="GW72" s="13">
        <f t="shared" si="105"/>
        <v>53.26784065047265</v>
      </c>
      <c r="GX72" s="20">
        <f t="shared" si="82"/>
        <v>469.16083246623975</v>
      </c>
      <c r="GY72" s="57">
        <f t="shared" si="83"/>
        <v>744.40807163061709</v>
      </c>
      <c r="GZ72" s="57">
        <f ca="1">AVERAGE(OFFSET($GY$3,0,0,'Données projet'!$E$18+1,1))-AVERAGE(OFFSET($H$3,0,0,'Données projet'!$E$18+1,1))</f>
        <v>381.00532469288714</v>
      </c>
      <c r="HA72" s="57">
        <f t="shared" si="106"/>
        <v>314.875259641757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>
        <f>EXP(-LN(2)/35)*HG71+(1-EXP(-LN(2)/35))/(LN(2)/35)*HC72*HD72*VLOOKUP('Données projet'!$B$18,Paramètres!$A$1:$I$89,3,0)*0.475*44/12</f>
        <v>46.577308136944723</v>
      </c>
      <c r="HH72" s="21">
        <f>EXP(-LN(2)/25)*HH71+(1-EXP(-LN(2)/25))/(LN(2)/25)*Calculateur!HC72*Calculateur!HE72*VLOOKUP('Données projet'!$B$18,Paramètres!$A$1:$I$89,3,0)*0.475*44/12</f>
        <v>20.361896233549341</v>
      </c>
      <c r="HI72" s="21">
        <f>EXP(-LN(2)/2)*HI71+(1-EXP(-LN(2)/2))/(LN(2)/2)*HC72*HF72*VLOOKUP('Données projet'!$B$18,Paramètres!$A$1:$I$89,3,0)*0.475*44/12</f>
        <v>0.60616104229489431</v>
      </c>
      <c r="HJ72" s="22">
        <f t="shared" si="84"/>
        <v>67.545365412788968</v>
      </c>
    </row>
    <row r="73" spans="1:218" x14ac:dyDescent="0.2">
      <c r="A73" s="10">
        <f t="shared" si="85"/>
        <v>70</v>
      </c>
      <c r="B73" s="71">
        <f>'Scénario référence'!$B$16*5+'Scénario référence'!$B$17*0+'Scénario référence'!$B$18*5</f>
        <v>3.3000000000000003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12.100000000000001</v>
      </c>
      <c r="H73" s="65">
        <f t="shared" si="56"/>
        <v>208.26666666666665</v>
      </c>
      <c r="I73" s="6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65.152997944661706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172</v>
      </c>
      <c r="L73" s="12">
        <f>VLOOKUP(A73,'Données projet'!$A$35:$I$55,9,0)</f>
        <v>5</v>
      </c>
      <c r="M73" s="12">
        <f t="array" ref="M73">INDEX(L:L,MIN(IF(ISNUMBER(L73:L269),ROW(L73:L269),"")))</f>
        <v>5</v>
      </c>
      <c r="N73" s="13">
        <f>IF('Données projet'!$A$36&gt;35,N72+M73-V72,IF(A73&lt;'Données projet'!$A$36,$K$205^A73,IF(A73='Données projet'!$A$36,'Données projet'!$B$36,N72+M73-V72)))</f>
        <v>172</v>
      </c>
      <c r="O73" s="13">
        <f>N73*VLOOKUP('Données projet'!$B$9,Paramètres!$A$1:$I$89,3,0)*VLOOKUP('Données projet'!$B$9,Paramètres!$A$1:$I$89,5,0)</f>
        <v>174.40800000000002</v>
      </c>
      <c r="P73" s="13">
        <f t="shared" si="87"/>
        <v>44.075793288194824</v>
      </c>
      <c r="Q73" s="20">
        <f t="shared" si="54"/>
        <v>380.52593997693936</v>
      </c>
      <c r="R73" s="57">
        <f t="shared" si="55"/>
        <v>656.086932440699</v>
      </c>
      <c r="S73" s="57">
        <f ca="1">AVERAGE(OFFSET($R$3,0,0,'Données projet'!$E$9+1,1))-AVERAGE(OFFSET($H$3,0,0,'Données projet'!$E$9+1,1))</f>
        <v>332.70145542047612</v>
      </c>
      <c r="T73" s="57">
        <f t="shared" si="88"/>
        <v>172.22433737900428</v>
      </c>
      <c r="U73" s="15">
        <f>IF(ISNA(VLOOKUP(A73,'Données projet'!$A$35:$I$55,3,0)),0,VLOOKUP(A73,'Données projet'!$A$35:$I$55,3,0))</f>
        <v>10</v>
      </c>
      <c r="V73" s="15">
        <f>IF(ISNA(VLOOKUP(A73,'Données projet'!$A$35:$I$55,4,0)),0,VLOOKUP(A73,'Données projet'!$A$35:$I$55,4,0))</f>
        <v>14</v>
      </c>
      <c r="W73" s="16">
        <f>IF(ISNA(VLOOKUP(A73,'Données projet'!$A$35:$I$55,5,0)),0%,VLOOKUP(A73,'Données projet'!$A$35:$I$55,5,0)*VLOOKUP('Données projet'!$B$9,Paramètres!$A$1:$I$89,7,0))</f>
        <v>0.17200000000000001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10.784744079457139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10.784744079457139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65.152997944661706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7.3250000000000028</v>
      </c>
      <c r="AI73" s="13">
        <f>IF('Données projet'!$A$62&gt;35,AI72+AH73-AQ72,IF(A73&lt;'Données projet'!$A$62,$AF$205^A73,IF(A73='Données projet'!$A$62,'Données projet'!$B$62,AI72+AH73-AQ72)))</f>
        <v>192.98499999999996</v>
      </c>
      <c r="AJ73" s="13">
        <f>AI73*VLOOKUP('Données projet'!$B$10,Paramètres!$A$1:$I$89,3,0)*VLOOKUP('Données projet'!$B$10,Paramètres!$A$1:$I$89,5,0)</f>
        <v>174.61282799999995</v>
      </c>
      <c r="AK73" s="13">
        <f t="shared" si="89"/>
        <v>44.121528331511364</v>
      </c>
      <c r="AL73" s="20">
        <f t="shared" si="58"/>
        <v>380.96233727738223</v>
      </c>
      <c r="AM73" s="57">
        <f t="shared" si="59"/>
        <v>656.52332974114188</v>
      </c>
      <c r="AN73" s="57">
        <f ca="1">AVERAGE(OFFSET($AM$3,0,0,'Données projet'!$E$10+1,1))-AVERAGE(OFFSET($H$3,0,0,'Données projet'!$E$10+1,1))</f>
        <v>469.4210143164521</v>
      </c>
      <c r="AO73" s="57">
        <f t="shared" si="90"/>
        <v>308.4508386530556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14.855156558313904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14.855156558313904</v>
      </c>
      <c r="AY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65.152997944661706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316</v>
      </c>
      <c r="BB73" s="12">
        <f>VLOOKUP(A73,'Données projet'!$A$87:$I$107,9,0)</f>
        <v>4.5999999999999996</v>
      </c>
      <c r="BC73" s="12">
        <f t="array" ref="BC73">INDEX(BB:BB,MIN(IF(ISNUMBER(BB73:BB269),ROW(BB73:BB269),"")))</f>
        <v>4.5999999999999996</v>
      </c>
      <c r="BD73" s="12">
        <f>IF('Données projet'!$A$88&gt;35,BD72+BC73-BL72,IF(A73&lt;'Données projet'!$A$88,$BA$205^A73,IF(A73='Données projet'!$A$88,'Données projet'!$B$88,BD72+BC73-BL72)))</f>
        <v>315.99999999999994</v>
      </c>
      <c r="BE73" s="13">
        <f>BD73*VLOOKUP('Données projet'!$B$11,Paramètres!$A$1:$I$89,3,0)*VLOOKUP('Données projet'!$B$11,Paramètres!$A$1:$I$89,5,0)</f>
        <v>231.69119999999992</v>
      </c>
      <c r="BF73" s="13">
        <f t="shared" si="91"/>
        <v>56.648202447537749</v>
      </c>
      <c r="BG73" s="20">
        <f t="shared" si="61"/>
        <v>502.19112592946141</v>
      </c>
      <c r="BH73" s="57">
        <f t="shared" si="62"/>
        <v>777.75211839322105</v>
      </c>
      <c r="BI73" s="57">
        <f ca="1">AVERAGE(OFFSET($BH$3,0,0,'Données projet'!$E$11+1,1))-AVERAGE(OFFSET($H$3,0,0,'Données projet'!$E$11+1,1))</f>
        <v>344.32981377462971</v>
      </c>
      <c r="BJ73" s="57">
        <f t="shared" si="92"/>
        <v>334.42512656625763</v>
      </c>
      <c r="BK73" s="15">
        <f>IF(ISNA(VLOOKUP(A73,'Données projet'!$A$87:$I$107,3,0)),0,VLOOKUP(A73,'Données projet'!$A$87:$I$107,3,0))</f>
        <v>13</v>
      </c>
      <c r="BL73" s="15">
        <f>IF(ISNA(VLOOKUP(A73,'Données projet'!$A$87:$I$107,4,0)),0,VLOOKUP(A73,'Données projet'!$A$87:$I$107,4,0))</f>
        <v>13</v>
      </c>
      <c r="BM73" s="16">
        <f>IF(ISNA(VLOOKUP(A73,'Données projet'!$A$87:$I$107,5,0)),0%,VLOOKUP(A73,'Données projet'!$A$87:$I$107,5,0)*VLOOKUP('Données projet'!$B$11,Paramètres!$A$1:$I$89,7,0))</f>
        <v>0.30099999999999999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25.657658458271126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25.657658458271126</v>
      </c>
      <c r="BT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65.152997944661706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298</v>
      </c>
      <c r="BW73" s="12">
        <f>VLOOKUP(A73,'Données projet'!$A$113:$I$133,9,0)</f>
        <v>7.8</v>
      </c>
      <c r="BX73" s="12">
        <f t="array" ref="BX73">INDEX(BW:BW,MIN(IF(ISNUMBER(BW73:BW269),ROW(BW73:BW269),"")))</f>
        <v>7.8</v>
      </c>
      <c r="BY73" s="12">
        <f>IF('Données projet'!$A$114&gt;35,BY72+BX73-CG72,IF(A73&lt;'Données projet'!$A$114,$BV$205^A73,IF(A73='Données projet'!$A$114,'Données projet'!$B$114,BY72+BX73-CG72)))</f>
        <v>298.00000000000017</v>
      </c>
      <c r="BZ73" s="13">
        <f>BY73*VLOOKUP('Données projet'!$B$12,Paramètres!$A$1:$I$89,3,0)*VLOOKUP('Données projet'!$B$12,Paramètres!$A$1:$I$89,5,0)</f>
        <v>283.57680000000016</v>
      </c>
      <c r="CA73" s="13">
        <f t="shared" si="93"/>
        <v>67.722330225853455</v>
      </c>
      <c r="CB73" s="20">
        <f t="shared" si="64"/>
        <v>611.84598514336176</v>
      </c>
      <c r="CC73" s="57">
        <f t="shared" si="65"/>
        <v>887.40697760712135</v>
      </c>
      <c r="CD73" s="57">
        <f ca="1">AVERAGE(OFFSET($CC$3,0,0,'Données projet'!$E$12+1,1))-AVERAGE(OFFSET($H$3,0,0,'Données projet'!$E$12+1,1))</f>
        <v>498.77732039282807</v>
      </c>
      <c r="CE73" s="57">
        <f t="shared" si="94"/>
        <v>384.57317421826531</v>
      </c>
      <c r="CF73" s="15">
        <f>IF(ISNA(VLOOKUP(A73,'Données projet'!$A$113:$I$133,3,0)),0,VLOOKUP(A73,'Données projet'!$A$113:$I$133,3,0))</f>
        <v>10</v>
      </c>
      <c r="CG73" s="15">
        <f>IF(ISNA(VLOOKUP(A73,'Données projet'!$A$113:$I$133,4,0)),0,VLOOKUP(A73,'Données projet'!$A$113:$I$133,4,0))</f>
        <v>33</v>
      </c>
      <c r="CH73" s="16">
        <f>IF(ISNA(VLOOKUP(A73,'Données projet'!$A$113:$I$133,5,0)),0%,VLOOKUP(A73,'Données projet'!$A$113:$I$133,5,0)*VLOOKUP('Données projet'!$B$12,Paramètres!$A$1:$I$89,7,0))</f>
        <v>0.215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30.814458134667934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30.814458134667934</v>
      </c>
      <c r="CO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65.152997944661706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7.3250000000000028</v>
      </c>
      <c r="CT73" s="12">
        <f>IF('Données projet'!$A$140&gt;35,CT72+CS73-DB72,IF(A73&lt;'Données projet'!$A$140,$CQ$205^A73,IF(A73='Données projet'!$A$140,'Données projet'!$B$140,CT72+CS73-DB72)))</f>
        <v>192.98499999999996</v>
      </c>
      <c r="CU73" s="17">
        <f>CT73*VLOOKUP('Données projet'!$B$13,Paramètres!$A$1:$I$89,3,0)*VLOOKUP('Données projet'!$B$13,Paramètres!$A$1:$I$89,5,0)</f>
        <v>129.45433799999998</v>
      </c>
      <c r="CV73" s="13">
        <f t="shared" si="95"/>
        <v>33.870242015464918</v>
      </c>
      <c r="CW73" s="20">
        <f t="shared" si="67"/>
        <v>284.45697686026801</v>
      </c>
      <c r="CX73" s="57">
        <f t="shared" si="68"/>
        <v>560.0179693240276</v>
      </c>
      <c r="CY73" s="57">
        <f ca="1">AVERAGE(OFFSET($CX$3,0,0,'Données projet'!$E$13+1,1))-AVERAGE(OFFSET($H$3,0,0,'Données projet'!$E$13+1,1))</f>
        <v>365.99625753737246</v>
      </c>
      <c r="CZ73" s="57">
        <f t="shared" si="96"/>
        <v>242.84814712692287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13.574539613631675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13.574539613631675</v>
      </c>
      <c r="DJ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65.152997944661706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270</v>
      </c>
      <c r="DM73" s="12">
        <f>VLOOKUP(A73,'Données projet'!$A$165:$I$185,9,0)</f>
        <v>5.4</v>
      </c>
      <c r="DN73" s="12">
        <f t="array" ref="DN73">INDEX(DM:DM,MIN(IF(ISNUMBER(DM73:DM269),ROW(DM73:DM269),"")))</f>
        <v>5.4</v>
      </c>
      <c r="DO73" s="12">
        <f>IF('Données projet'!$A$166&gt;35,DO72+DN73-DW72,IF(A73&lt;'Données projet'!$A$166,$DL$205^A73,IF(A73='Données projet'!$A$166,'Données projet'!$B$166,DO72+DN73-DW72)))</f>
        <v>270.00000000000006</v>
      </c>
      <c r="DP73" s="17">
        <f>DO73*VLOOKUP('Données projet'!$B$14,Paramètres!$A$1:$I$89,3,0)*VLOOKUP('Données projet'!$B$14,Paramètres!$A$1:$I$89,5,0)</f>
        <v>176.90400000000002</v>
      </c>
      <c r="DQ73" s="13">
        <f t="shared" si="97"/>
        <v>44.632689233663157</v>
      </c>
      <c r="DR73" s="20">
        <f t="shared" si="70"/>
        <v>385.8430670819634</v>
      </c>
      <c r="DS73" s="57">
        <f t="shared" si="71"/>
        <v>661.40405954572293</v>
      </c>
      <c r="DT73" s="57">
        <f ca="1">AVERAGE(OFFSET($DS$3,0,0,'Données projet'!$E$14+1,1))-AVERAGE(OFFSET($H$3,0,0,'Données projet'!$E$14+1,1))</f>
        <v>313.79279628660527</v>
      </c>
      <c r="DU73" s="57">
        <f t="shared" si="98"/>
        <v>317.45469955216254</v>
      </c>
      <c r="DV73" s="15">
        <f>IF(ISNA(VLOOKUP(A73,'Données projet'!$A$165:$I$185,3,0)),0,VLOOKUP(A73,'Données projet'!$A$165:$I$185,3,0))</f>
        <v>13</v>
      </c>
      <c r="DW73" s="15">
        <f>IF(ISNA(VLOOKUP(A73,'Données projet'!$A$165:$I$185,4,0)),0,VLOOKUP(A73,'Données projet'!$A$165:$I$185,4,0))</f>
        <v>21</v>
      </c>
      <c r="DX73" s="16">
        <f>IF(ISNA(VLOOKUP(A73,'Données projet'!$A$165:$I$185,5,0)),0%,VLOOKUP(A73,'Données projet'!$A$165:$I$185,5,0)*VLOOKUP('Données projet'!$B$14,Paramètres!$A$1:$I$89,7,0))</f>
        <v>0.25800000000000001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19.315160939357227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19.315160939357227</v>
      </c>
      <c r="EE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65.152997944661706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12.444444444444445</v>
      </c>
      <c r="EJ73" s="12">
        <f>IF('Données projet'!$A$192&gt;35,EJ72+EI73-ER72,IF(A73&lt;'Données projet'!$A$192,$EG$205^A73,IF(A73='Données projet'!$A$192,'Données projet'!$B$192,EJ72+EI73-ER72)))</f>
        <v>488.11111111111131</v>
      </c>
      <c r="EK73" s="17">
        <f>EJ73*VLOOKUP('Données projet'!$B$15,Paramètres!$A$1:$I$89,3,0)*VLOOKUP('Données projet'!$B$15,Paramètres!$A$1:$I$89,5,0)</f>
        <v>418.79933333333349</v>
      </c>
      <c r="EL73" s="13">
        <f t="shared" si="99"/>
        <v>95.577694478745855</v>
      </c>
      <c r="EM73" s="20">
        <f t="shared" si="73"/>
        <v>895.87332343937157</v>
      </c>
      <c r="EN73" s="57">
        <f t="shared" si="74"/>
        <v>1171.4343159031312</v>
      </c>
      <c r="EO73" s="57">
        <f ca="1">AVERAGE(OFFSET($EN$3,0,0,'Données projet'!$E$15+1,1))-AVERAGE(OFFSET($H$3,0,0,'Données projet'!$E$15+1,1))</f>
        <v>643.04899298561475</v>
      </c>
      <c r="EP73" s="57">
        <f t="shared" si="100"/>
        <v>474.94999304483031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88.328908370923173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88.328908370923173</v>
      </c>
      <c r="EZ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65.152997944661706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316</v>
      </c>
      <c r="FC73" s="12">
        <f>VLOOKUP(A73,'Données projet'!$A$217:$I$237,9,0)</f>
        <v>4.5999999999999996</v>
      </c>
      <c r="FD73" s="12">
        <f t="array" ref="FD73">INDEX(FC:FC,MIN(IF(ISNUMBER(FC73:FC269),ROW(FC73:FC269),"")))</f>
        <v>4.5999999999999996</v>
      </c>
      <c r="FE73" s="12">
        <f>IF('Données projet'!$A$218&gt;35,FE72+FD73-FM72,IF(A73&lt;'Données projet'!$A$218,$FB$205^A73,IF(A73='Données projet'!$A$218,'Données projet'!$B$218,FE72+FD73-FM72)))</f>
        <v>315.99999999999994</v>
      </c>
      <c r="FF73" s="17">
        <f>FE73*VLOOKUP('Données projet'!$B$16,Paramètres!$A$1:$I$89,3,0)*VLOOKUP('Données projet'!$B$16,Paramètres!$A$1:$I$89,5,0)</f>
        <v>256.33919999999995</v>
      </c>
      <c r="FG73" s="13">
        <f t="shared" si="101"/>
        <v>61.941400506884484</v>
      </c>
      <c r="FH73" s="20">
        <f t="shared" si="76"/>
        <v>554.33871254949031</v>
      </c>
      <c r="FI73" s="57">
        <f t="shared" si="77"/>
        <v>829.8997050132499</v>
      </c>
      <c r="FJ73" s="57">
        <f ca="1">AVERAGE(OFFSET($FI$3,0,0,'Données projet'!$E$16+1,1))-AVERAGE(OFFSET($H$3,0,0,'Données projet'!$E$16+1,1))</f>
        <v>375.34603719604439</v>
      </c>
      <c r="FK73" s="57">
        <f t="shared" si="102"/>
        <v>363.99476973672211</v>
      </c>
      <c r="FL73" s="15">
        <f>IF(ISNA(VLOOKUP(A73,'Données projet'!$A$217:$I$237,3,0)),0,VLOOKUP(A73,'Données projet'!$A$217:$I$237,3,0))</f>
        <v>13</v>
      </c>
      <c r="FM73" s="15">
        <f>IF(ISNA(VLOOKUP(A73,'Données projet'!$A$217:$I$237,4,0)),0,VLOOKUP(A73,'Données projet'!$A$217:$I$237,4,0))</f>
        <v>13</v>
      </c>
      <c r="FN73" s="16">
        <f>IF(ISNA(VLOOKUP(A73,'Données projet'!$A$217:$I$237,5,0)),0%,VLOOKUP(A73,'Données projet'!$A$217:$I$237,5,0)*VLOOKUP('Données projet'!$B$16,Paramètres!$A$1:$I$89,7,0))</f>
        <v>0.371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34.988870218206429</v>
      </c>
      <c r="FR73" s="21">
        <f>EXP(-LN(2)/25)*FR72+(1-EXP(-LN(2)/25))/(LN(2)/25)*Calculateur!FM73*Calculateur!FO73*VLOOKUP('Données projet'!$B$16,Paramètres!$A$1:$I$89,3,0)*0.475*44/12</f>
        <v>0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34.988870218206429</v>
      </c>
      <c r="FU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65.152997944661706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-1.1368683772161603E-13</v>
      </c>
      <c r="GA73" s="17">
        <f>FZ73*VLOOKUP('Données projet'!$B$17,Paramètres!$A$1:$I$89,3,0)*VLOOKUP('Données projet'!$B$17,Paramètres!$A$1:$I$89,5,0)</f>
        <v>-6.3550942286383367E-14</v>
      </c>
      <c r="GB73" s="13" t="e">
        <f t="shared" si="103"/>
        <v>#NUM!</v>
      </c>
      <c r="GC73" s="20" t="e">
        <f t="shared" si="79"/>
        <v>#NUM!</v>
      </c>
      <c r="GD73" s="57" t="e">
        <f t="shared" si="80"/>
        <v>#NUM!</v>
      </c>
      <c r="GE73" s="57">
        <f ca="1">AVERAGE(OFFSET($GD$3,0,0,'Données projet'!$E$17+1,1))-AVERAGE(OFFSET($H$3,0,0,'Données projet'!$E$17+1,1))</f>
        <v>414.47327143450701</v>
      </c>
      <c r="GF73" s="57">
        <f t="shared" si="104"/>
        <v>546.83385887302961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219.37336066057964</v>
      </c>
      <c r="GM73" s="21">
        <f>EXP(-LN(2)/25)*GM72+(1-EXP(-LN(2)/25))/(LN(2)/25)*Calculateur!GH73*Calculateur!GJ73*VLOOKUP('Données projet'!$B$17,Paramètres!$A$1:$I$89,3,0)*0.475*44/12</f>
        <v>40.855086148226732</v>
      </c>
      <c r="GN73" s="21">
        <f>EXP(-LN(2)/2)*GN72+(1-EXP(-LN(2)/2))/(LN(2)/2)*GH73*GK73*VLOOKUP('Données projet'!$B$17,Paramètres!$A$1:$I$89,3,0)*0.475*44/12</f>
        <v>0.16229285295088272</v>
      </c>
      <c r="GO73" s="21">
        <f t="shared" si="81"/>
        <v>260.39073966175727</v>
      </c>
      <c r="GP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65.152997944661706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>
        <f>VLOOKUP(A73,'Données projet'!$A$269:$I$289,2,0)</f>
        <v>403</v>
      </c>
      <c r="GS73" s="12">
        <f>VLOOKUP(A73,'Données projet'!$A$269:$I$289,9,0)</f>
        <v>7.2</v>
      </c>
      <c r="GT73" s="12">
        <f t="array" ref="GT73">INDEX(GS:GS,MIN(IF(ISNUMBER(GS73:GS269),ROW(GS73:GS269),"")))</f>
        <v>7.2</v>
      </c>
      <c r="GU73" s="12">
        <f>IF('Données projet'!$A$270&gt;35,GU72+GT73-HC72,IF(A73&lt;'Données projet'!$A$270,$GR$205^A73,IF(A73='Données projet'!$A$270,'Données projet'!$B$270,GU72+GT73-HC72)))</f>
        <v>402.99999999999994</v>
      </c>
      <c r="GV73" s="17">
        <f>GU73*VLOOKUP('Données projet'!$B$18,Paramètres!$A$1:$I$89,3,0)*VLOOKUP('Données projet'!$B$18,Paramètres!$A$1:$I$89,5,0)</f>
        <v>220.03799999999995</v>
      </c>
      <c r="GW73" s="13">
        <f t="shared" si="105"/>
        <v>54.123144749824128</v>
      </c>
      <c r="GX73" s="20">
        <f t="shared" si="82"/>
        <v>477.4973271059435</v>
      </c>
      <c r="GY73" s="57">
        <f t="shared" si="83"/>
        <v>753.05831956970314</v>
      </c>
      <c r="GZ73" s="57">
        <f ca="1">AVERAGE(OFFSET($GY$3,0,0,'Données projet'!$E$18+1,1))-AVERAGE(OFFSET($H$3,0,0,'Données projet'!$E$18+1,1))</f>
        <v>381.00532469288714</v>
      </c>
      <c r="HA73" s="57">
        <f t="shared" si="106"/>
        <v>314.875259641757</v>
      </c>
      <c r="HB73" s="15">
        <f>IF(ISNA(VLOOKUP(A73,'Données projet'!$A$269:$I$289,3,0)),0,VLOOKUP(A73,'Données projet'!$A$269:$I$289,3,0))</f>
        <v>13</v>
      </c>
      <c r="HC73" s="15">
        <f>IF(ISNA(VLOOKUP(A73,'Données projet'!$A$269:$I$289,4,0)),0,VLOOKUP(A73,'Données projet'!$A$269:$I$289,4,0))</f>
        <v>21</v>
      </c>
      <c r="HD73" s="16">
        <f>IF(ISNA(VLOOKUP(A73,'Données projet'!$A$269:$I$289,5,0)),0%,VLOOKUP(A73,'Données projet'!$A$269:$I$289,5,0)*VLOOKUP('Données projet'!$B$18,Paramètres!$A$1:$I$89,7,0))</f>
        <v>0.42</v>
      </c>
      <c r="HE73" s="16">
        <f>IF(ISNA(VLOOKUP(A73,'Données projet'!$A$269:$I$289,6,0)),0%,VLOOKUP(A73,'Données projet'!$A$269:$I$289,6,0)*VLOOKUP('Données projet'!$B$18,Paramètres!$A$1:$I$89,7,0))</f>
        <v>0.10200000000000001</v>
      </c>
      <c r="HF73" s="16">
        <f>IF(ISNA(VLOOKUP(A73,'Données projet'!$A$269:$I$289,7,0)),0%,VLOOKUP(A73,'Données projet'!$A$269:$I$289,7,0))</f>
        <v>0.13</v>
      </c>
      <c r="HG73" s="21">
        <f>EXP(-LN(2)/35)*HG72+(1-EXP(-LN(2)/35))/(LN(2)/35)*HC73*HD73*VLOOKUP('Données projet'!$B$18,Paramètres!$A$1:$I$89,3,0)*0.475*44/12</f>
        <v>52.05231851308131</v>
      </c>
      <c r="HH73" s="21">
        <f>EXP(-LN(2)/25)*HH72+(1-EXP(-LN(2)/25))/(LN(2)/25)*Calculateur!HC73*Calculateur!HE73*VLOOKUP('Données projet'!$B$18,Paramètres!$A$1:$I$89,3,0)*0.475*44/12</f>
        <v>21.350450003434805</v>
      </c>
      <c r="HI73" s="21">
        <f>EXP(-LN(2)/2)*HI72+(1-EXP(-LN(2)/2))/(LN(2)/2)*HC73*HF73*VLOOKUP('Données projet'!$B$18,Paramètres!$A$1:$I$89,3,0)*0.475*44/12</f>
        <v>2.1163034015448252</v>
      </c>
      <c r="HJ73" s="22">
        <f t="shared" si="84"/>
        <v>75.519071918060945</v>
      </c>
    </row>
    <row r="74" spans="1:218" x14ac:dyDescent="0.2">
      <c r="A74" s="10">
        <f t="shared" si="85"/>
        <v>71</v>
      </c>
      <c r="B74" s="71">
        <f>'Scénario référence'!$B$16*5+'Scénario référence'!$B$17*0+'Scénario référence'!$B$18*5</f>
        <v>3.3000000000000003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12.100000000000001</v>
      </c>
      <c r="H74" s="65">
        <f t="shared" si="56"/>
        <v>208.26666666666665</v>
      </c>
      <c r="I74" s="6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65.23708259404863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5</v>
      </c>
      <c r="N74" s="13">
        <f>IF('Données projet'!$A$36&gt;35,N73+M74-V73,IF(A74&lt;'Données projet'!$A$36,$K$205^A74,IF(A74='Données projet'!$A$36,'Données projet'!$B$36,N73+M74-V73)))</f>
        <v>163</v>
      </c>
      <c r="O74" s="13">
        <f>N74*VLOOKUP('Données projet'!$B$9,Paramètres!$A$1:$I$89,3,0)*VLOOKUP('Données projet'!$B$9,Paramètres!$A$1:$I$89,5,0)</f>
        <v>165.28200000000001</v>
      </c>
      <c r="P74" s="13">
        <f t="shared" si="87"/>
        <v>42.031623878204442</v>
      </c>
      <c r="Q74" s="20">
        <f t="shared" si="54"/>
        <v>361.07122825453939</v>
      </c>
      <c r="R74" s="57">
        <f t="shared" si="55"/>
        <v>636.94053109938432</v>
      </c>
      <c r="S74" s="57">
        <f ca="1">AVERAGE(OFFSET($R$3,0,0,'Données projet'!$E$9+1,1))-AVERAGE(OFFSET($H$3,0,0,'Données projet'!$E$9+1,1))</f>
        <v>332.70145542047612</v>
      </c>
      <c r="T74" s="57">
        <f t="shared" si="88"/>
        <v>172.22433737900428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10.573261826103346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10.573261826103346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65.23708259404863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7.3250000000000028</v>
      </c>
      <c r="AI74" s="13">
        <f>IF('Données projet'!$A$62&gt;35,AI73+AH74-AQ73,IF(A74&lt;'Données projet'!$A$62,$AF$205^A74,IF(A74='Données projet'!$A$62,'Données projet'!$B$62,AI73+AH74-AQ73)))</f>
        <v>200.30999999999995</v>
      </c>
      <c r="AJ74" s="13">
        <f>AI74*VLOOKUP('Données projet'!$B$10,Paramètres!$A$1:$I$89,3,0)*VLOOKUP('Données projet'!$B$10,Paramètres!$A$1:$I$89,5,0)</f>
        <v>181.24048799999994</v>
      </c>
      <c r="AK74" s="13">
        <f t="shared" si="89"/>
        <v>45.598061479363125</v>
      </c>
      <c r="AL74" s="20">
        <f t="shared" si="58"/>
        <v>395.07714034322402</v>
      </c>
      <c r="AM74" s="57">
        <f t="shared" si="59"/>
        <v>670.946443188069</v>
      </c>
      <c r="AN74" s="57">
        <f ca="1">AVERAGE(OFFSET($AM$3,0,0,'Données projet'!$E$10+1,1))-AVERAGE(OFFSET($H$3,0,0,'Données projet'!$E$10+1,1))</f>
        <v>469.4210143164521</v>
      </c>
      <c r="AO74" s="57">
        <f t="shared" si="90"/>
        <v>308.4508386530556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14.563855998956194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14.563855998956194</v>
      </c>
      <c r="AY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65.23708259404863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4.2</v>
      </c>
      <c r="BD74" s="12">
        <f>IF('Données projet'!$A$88&gt;35,BD73+BC74-BL73,IF(A74&lt;'Données projet'!$A$88,$BA$205^A74,IF(A74='Données projet'!$A$88,'Données projet'!$B$88,BD73+BC74-BL73)))</f>
        <v>307.19999999999993</v>
      </c>
      <c r="BE74" s="13">
        <f>BD74*VLOOKUP('Données projet'!$B$11,Paramètres!$A$1:$I$89,3,0)*VLOOKUP('Données projet'!$B$11,Paramètres!$A$1:$I$89,5,0)</f>
        <v>225.23903999999993</v>
      </c>
      <c r="BF74" s="13">
        <f t="shared" si="91"/>
        <v>55.252000822487368</v>
      </c>
      <c r="BG74" s="20">
        <f t="shared" si="61"/>
        <v>488.52189609916542</v>
      </c>
      <c r="BH74" s="57">
        <f t="shared" si="62"/>
        <v>764.3911989440104</v>
      </c>
      <c r="BI74" s="57">
        <f ca="1">AVERAGE(OFFSET($BH$3,0,0,'Données projet'!$E$11+1,1))-AVERAGE(OFFSET($H$3,0,0,'Données projet'!$E$11+1,1))</f>
        <v>344.32981377462971</v>
      </c>
      <c r="BJ74" s="57">
        <f t="shared" si="92"/>
        <v>334.42512656625763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25.154527425530816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25.154527425530816</v>
      </c>
      <c r="BT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65.23708259404863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7.6</v>
      </c>
      <c r="BY74" s="12">
        <f>IF('Données projet'!$A$114&gt;35,BY73+BX74-CG73,IF(A74&lt;'Données projet'!$A$114,$BV$205^A74,IF(A74='Données projet'!$A$114,'Données projet'!$B$114,BY73+BX74-CG73)))</f>
        <v>272.60000000000019</v>
      </c>
      <c r="BZ74" s="13">
        <f>BY74*VLOOKUP('Données projet'!$B$12,Paramètres!$A$1:$I$89,3,0)*VLOOKUP('Données projet'!$B$12,Paramètres!$A$1:$I$89,5,0)</f>
        <v>259.40616000000017</v>
      </c>
      <c r="CA74" s="13">
        <f t="shared" si="93"/>
        <v>62.595778424976423</v>
      </c>
      <c r="CB74" s="20">
        <f t="shared" si="64"/>
        <v>560.82004275683414</v>
      </c>
      <c r="CC74" s="57">
        <f t="shared" si="65"/>
        <v>836.68934560167918</v>
      </c>
      <c r="CD74" s="57">
        <f ca="1">AVERAGE(OFFSET($CC$3,0,0,'Données projet'!$E$12+1,1))-AVERAGE(OFFSET($H$3,0,0,'Données projet'!$E$12+1,1))</f>
        <v>498.77732039282807</v>
      </c>
      <c r="CE74" s="57">
        <f t="shared" si="94"/>
        <v>384.57317421826531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30.210205405610708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30.210205405610708</v>
      </c>
      <c r="CO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65.23708259404863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7.3250000000000028</v>
      </c>
      <c r="CT74" s="12">
        <f>IF('Données projet'!$A$140&gt;35,CT73+CS74-DB73,IF(A74&lt;'Données projet'!$A$140,$CQ$205^A74,IF(A74='Données projet'!$A$140,'Données projet'!$B$140,CT73+CS74-DB73)))</f>
        <v>200.30999999999995</v>
      </c>
      <c r="CU74" s="17">
        <f>CT74*VLOOKUP('Données projet'!$B$13,Paramètres!$A$1:$I$89,3,0)*VLOOKUP('Données projet'!$B$13,Paramètres!$A$1:$I$89,5,0)</f>
        <v>134.36794799999996</v>
      </c>
      <c r="CV74" s="13">
        <f t="shared" si="95"/>
        <v>35.003714425709525</v>
      </c>
      <c r="CW74" s="20">
        <f t="shared" si="67"/>
        <v>294.98897872477727</v>
      </c>
      <c r="CX74" s="57">
        <f t="shared" si="68"/>
        <v>570.85828156962225</v>
      </c>
      <c r="CY74" s="57">
        <f ca="1">AVERAGE(OFFSET($CX$3,0,0,'Données projet'!$E$13+1,1))-AVERAGE(OFFSET($H$3,0,0,'Données projet'!$E$13+1,1))</f>
        <v>365.99625753737246</v>
      </c>
      <c r="CZ74" s="57">
        <f t="shared" si="96"/>
        <v>242.84814712692287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13.308351171459975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13.308351171459975</v>
      </c>
      <c r="DJ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65.23708259404863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4.8</v>
      </c>
      <c r="DO74" s="12">
        <f>IF('Données projet'!$A$166&gt;35,DO73+DN74-DW73,IF(A74&lt;'Données projet'!$A$166,$DL$205^A74,IF(A74='Données projet'!$A$166,'Données projet'!$B$166,DO73+DN74-DW73)))</f>
        <v>253.80000000000007</v>
      </c>
      <c r="DP74" s="17">
        <f>DO74*VLOOKUP('Données projet'!$B$14,Paramètres!$A$1:$I$89,3,0)*VLOOKUP('Données projet'!$B$14,Paramètres!$A$1:$I$89,5,0)</f>
        <v>166.28976000000003</v>
      </c>
      <c r="DQ74" s="13">
        <f t="shared" si="97"/>
        <v>42.257989067732332</v>
      </c>
      <c r="DR74" s="20">
        <f t="shared" si="70"/>
        <v>363.2206629596339</v>
      </c>
      <c r="DS74" s="57">
        <f t="shared" si="71"/>
        <v>639.08996580447888</v>
      </c>
      <c r="DT74" s="57">
        <f ca="1">AVERAGE(OFFSET($DS$3,0,0,'Données projet'!$E$14+1,1))-AVERAGE(OFFSET($H$3,0,0,'Données projet'!$E$14+1,1))</f>
        <v>313.79279628660527</v>
      </c>
      <c r="DU74" s="57">
        <f t="shared" si="98"/>
        <v>317.45469955216254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18.93640241442132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18.93640241442132</v>
      </c>
      <c r="EE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65.23708259404863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12.444444444444445</v>
      </c>
      <c r="EJ74" s="12">
        <f>IF('Données projet'!$A$192&gt;35,EJ73+EI74-ER73,IF(A74&lt;'Données projet'!$A$192,$EG$205^A74,IF(A74='Données projet'!$A$192,'Données projet'!$B$192,EJ73+EI74-ER73)))</f>
        <v>500.55555555555577</v>
      </c>
      <c r="EK74" s="17">
        <f>EJ74*VLOOKUP('Données projet'!$B$15,Paramètres!$A$1:$I$89,3,0)*VLOOKUP('Données projet'!$B$15,Paramètres!$A$1:$I$89,5,0)</f>
        <v>429.47666666666692</v>
      </c>
      <c r="EL74" s="13">
        <f t="shared" si="99"/>
        <v>97.727653722749722</v>
      </c>
      <c r="EM74" s="20">
        <f t="shared" si="73"/>
        <v>918.21419134490054</v>
      </c>
      <c r="EN74" s="57">
        <f t="shared" si="74"/>
        <v>1194.0834941897456</v>
      </c>
      <c r="EO74" s="57">
        <f ca="1">AVERAGE(OFFSET($EN$3,0,0,'Données projet'!$E$15+1,1))-AVERAGE(OFFSET($H$3,0,0,'Données projet'!$E$15+1,1))</f>
        <v>643.04899298561475</v>
      </c>
      <c r="EP74" s="57">
        <f t="shared" si="100"/>
        <v>474.94999304483031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86.596832353083727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86.596832353083727</v>
      </c>
      <c r="EZ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65.23708259404863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4.2</v>
      </c>
      <c r="FE74" s="12">
        <f>IF('Données projet'!$A$218&gt;35,FE73+FD74-FM73,IF(A74&lt;'Données projet'!$A$218,$FB$205^A74,IF(A74='Données projet'!$A$218,'Données projet'!$B$218,FE73+FD74-FM73)))</f>
        <v>307.19999999999993</v>
      </c>
      <c r="FF74" s="17">
        <f>FE74*VLOOKUP('Données projet'!$B$16,Paramètres!$A$1:$I$89,3,0)*VLOOKUP('Données projet'!$B$16,Paramètres!$A$1:$I$89,5,0)</f>
        <v>249.20063999999996</v>
      </c>
      <c r="FG74" s="13">
        <f t="shared" si="101"/>
        <v>60.414738047899995</v>
      </c>
      <c r="FH74" s="20">
        <f t="shared" si="76"/>
        <v>539.24678343342578</v>
      </c>
      <c r="FI74" s="57">
        <f t="shared" si="77"/>
        <v>815.11608627827081</v>
      </c>
      <c r="FJ74" s="57">
        <f ca="1">AVERAGE(OFFSET($FI$3,0,0,'Données projet'!$E$16+1,1))-AVERAGE(OFFSET($H$3,0,0,'Données projet'!$E$16+1,1))</f>
        <v>375.34603719604439</v>
      </c>
      <c r="FK74" s="57">
        <f t="shared" si="102"/>
        <v>363.99476973672211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34.302759814330976</v>
      </c>
      <c r="FR74" s="21">
        <f>EXP(-LN(2)/25)*FR73+(1-EXP(-LN(2)/25))/(LN(2)/25)*Calculateur!FM74*Calculateur!FO74*VLOOKUP('Données projet'!$B$16,Paramètres!$A$1:$I$89,3,0)*0.475*44/12</f>
        <v>0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34.302759814330976</v>
      </c>
      <c r="FU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65.23708259404863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-1.1368683772161603E-13</v>
      </c>
      <c r="GA74" s="17">
        <f>FZ74*VLOOKUP('Données projet'!$B$17,Paramètres!$A$1:$I$89,3,0)*VLOOKUP('Données projet'!$B$17,Paramètres!$A$1:$I$89,5,0)</f>
        <v>-6.3550942286383367E-14</v>
      </c>
      <c r="GB74" s="13" t="e">
        <f t="shared" si="103"/>
        <v>#NUM!</v>
      </c>
      <c r="GC74" s="20" t="e">
        <f t="shared" si="79"/>
        <v>#NUM!</v>
      </c>
      <c r="GD74" s="57" t="e">
        <f t="shared" si="80"/>
        <v>#NUM!</v>
      </c>
      <c r="GE74" s="57">
        <f ca="1">AVERAGE(OFFSET($GD$3,0,0,'Données projet'!$E$17+1,1))-AVERAGE(OFFSET($H$3,0,0,'Données projet'!$E$17+1,1))</f>
        <v>414.47327143450701</v>
      </c>
      <c r="GF74" s="57">
        <f t="shared" si="104"/>
        <v>546.83385887302961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215.07158286256356</v>
      </c>
      <c r="GM74" s="21">
        <f>EXP(-LN(2)/25)*GM73+(1-EXP(-LN(2)/25))/(LN(2)/25)*Calculateur!GH74*Calculateur!GJ74*VLOOKUP('Données projet'!$B$17,Paramètres!$A$1:$I$89,3,0)*0.475*44/12</f>
        <v>39.73790166902787</v>
      </c>
      <c r="GN74" s="21">
        <f>EXP(-LN(2)/2)*GN73+(1-EXP(-LN(2)/2))/(LN(2)/2)*GH74*GK74*VLOOKUP('Données projet'!$B$17,Paramètres!$A$1:$I$89,3,0)*0.475*44/12</f>
        <v>0.11475837685968036</v>
      </c>
      <c r="GO74" s="21">
        <f t="shared" si="81"/>
        <v>254.92424290845111</v>
      </c>
      <c r="GP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65.23708259404863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6.4</v>
      </c>
      <c r="GU74" s="12">
        <f>IF('Données projet'!$A$270&gt;35,GU73+GT74-HC73,IF(A74&lt;'Données projet'!$A$270,$GR$205^A74,IF(A74='Données projet'!$A$270,'Données projet'!$B$270,GU73+GT74-HC73)))</f>
        <v>388.39999999999992</v>
      </c>
      <c r="GV74" s="17">
        <f>GU74*VLOOKUP('Données projet'!$B$18,Paramètres!$A$1:$I$89,3,0)*VLOOKUP('Données projet'!$B$18,Paramètres!$A$1:$I$89,5,0)</f>
        <v>212.06639999999996</v>
      </c>
      <c r="GW74" s="13">
        <f t="shared" si="105"/>
        <v>52.386888427001949</v>
      </c>
      <c r="GX74" s="20">
        <f t="shared" si="82"/>
        <v>460.58947734369491</v>
      </c>
      <c r="GY74" s="57">
        <f t="shared" si="83"/>
        <v>736.45878018853989</v>
      </c>
      <c r="GZ74" s="57">
        <f ca="1">AVERAGE(OFFSET($GY$3,0,0,'Données projet'!$E$18+1,1))-AVERAGE(OFFSET($H$3,0,0,'Données projet'!$E$18+1,1))</f>
        <v>381.00532469288714</v>
      </c>
      <c r="HA74" s="57">
        <f t="shared" si="106"/>
        <v>314.875259641757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>
        <f>EXP(-LN(2)/35)*HG73+(1-EXP(-LN(2)/35))/(LN(2)/35)*HC74*HD74*VLOOKUP('Données projet'!$B$18,Paramètres!$A$1:$I$89,3,0)*0.475*44/12</f>
        <v>51.03160429581915</v>
      </c>
      <c r="HH74" s="21">
        <f>EXP(-LN(2)/25)*HH73+(1-EXP(-LN(2)/25))/(LN(2)/25)*Calculateur!HC74*Calculateur!HE74*VLOOKUP('Données projet'!$B$18,Paramètres!$A$1:$I$89,3,0)*0.475*44/12</f>
        <v>20.76662082531951</v>
      </c>
      <c r="HI74" s="21">
        <f>EXP(-LN(2)/2)*HI73+(1-EXP(-LN(2)/2))/(LN(2)/2)*HC74*HF74*VLOOKUP('Données projet'!$B$18,Paramètres!$A$1:$I$89,3,0)*0.475*44/12</f>
        <v>1.4964524862805031</v>
      </c>
      <c r="HJ74" s="22">
        <f t="shared" si="84"/>
        <v>73.29467760741916</v>
      </c>
    </row>
    <row r="75" spans="1:218" x14ac:dyDescent="0.2">
      <c r="A75" s="10">
        <f t="shared" si="85"/>
        <v>72</v>
      </c>
      <c r="B75" s="71">
        <f>'Scénario référence'!$B$16*5+'Scénario référence'!$B$17*0+'Scénario référence'!$B$18*5</f>
        <v>3.3000000000000003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12.100000000000001</v>
      </c>
      <c r="H75" s="65">
        <f t="shared" si="56"/>
        <v>208.26666666666665</v>
      </c>
      <c r="I75" s="6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65.319708562753789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5</v>
      </c>
      <c r="N75" s="13">
        <f>IF('Données projet'!$A$36&gt;35,N74+M75-V74,IF(A75&lt;'Données projet'!$A$36,$K$205^A75,IF(A75='Données projet'!$A$36,'Données projet'!$B$36,N74+M75-V74)))</f>
        <v>168</v>
      </c>
      <c r="O75" s="13">
        <f>N75*VLOOKUP('Données projet'!$B$9,Paramètres!$A$1:$I$89,3,0)*VLOOKUP('Données projet'!$B$9,Paramètres!$A$1:$I$89,5,0)</f>
        <v>170.352</v>
      </c>
      <c r="P75" s="13">
        <f t="shared" si="87"/>
        <v>43.168850382694451</v>
      </c>
      <c r="Q75" s="20">
        <f t="shared" si="54"/>
        <v>371.88214774985948</v>
      </c>
      <c r="R75" s="57">
        <f t="shared" si="55"/>
        <v>648.05441247995668</v>
      </c>
      <c r="S75" s="57">
        <f ca="1">AVERAGE(OFFSET($R$3,0,0,'Données projet'!$E$9+1,1))-AVERAGE(OFFSET($H$3,0,0,'Données projet'!$E$9+1,1))</f>
        <v>332.70145542047612</v>
      </c>
      <c r="T75" s="57">
        <f t="shared" si="88"/>
        <v>172.22433737900428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10.365926610746383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10.365926610746383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65.319708562753789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7.3250000000000028</v>
      </c>
      <c r="AI75" s="13">
        <f>IF('Données projet'!$A$62&gt;35,AI74+AH75-AQ74,IF(A75&lt;'Données projet'!$A$62,$AF$205^A75,IF(A75='Données projet'!$A$62,'Données projet'!$B$62,AI74+AH75-AQ74)))</f>
        <v>207.63499999999993</v>
      </c>
      <c r="AJ75" s="13">
        <f>AI75*VLOOKUP('Données projet'!$B$10,Paramètres!$A$1:$I$89,3,0)*VLOOKUP('Données projet'!$B$10,Paramètres!$A$1:$I$89,5,0)</f>
        <v>187.86814799999993</v>
      </c>
      <c r="AK75" s="13">
        <f t="shared" si="89"/>
        <v>47.068321566912815</v>
      </c>
      <c r="AL75" s="20">
        <f t="shared" si="58"/>
        <v>409.18101782903972</v>
      </c>
      <c r="AM75" s="57">
        <f t="shared" si="59"/>
        <v>685.35328255913691</v>
      </c>
      <c r="AN75" s="57">
        <f ca="1">AVERAGE(OFFSET($AM$3,0,0,'Données projet'!$E$10+1,1))-AVERAGE(OFFSET($H$3,0,0,'Données projet'!$E$10+1,1))</f>
        <v>469.4210143164521</v>
      </c>
      <c r="AO75" s="57">
        <f t="shared" si="90"/>
        <v>308.4508386530556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14.278267665891692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14.278267665891692</v>
      </c>
      <c r="AY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65.319708562753789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4.2</v>
      </c>
      <c r="BD75" s="12">
        <f>IF('Données projet'!$A$88&gt;35,BD74+BC75-BL74,IF(A75&lt;'Données projet'!$A$88,$BA$205^A75,IF(A75='Données projet'!$A$88,'Données projet'!$B$88,BD74+BC75-BL74)))</f>
        <v>311.39999999999992</v>
      </c>
      <c r="BE75" s="13">
        <f>BD75*VLOOKUP('Données projet'!$B$11,Paramètres!$A$1:$I$89,3,0)*VLOOKUP('Données projet'!$B$11,Paramètres!$A$1:$I$89,5,0)</f>
        <v>228.31847999999994</v>
      </c>
      <c r="BF75" s="13">
        <f t="shared" si="91"/>
        <v>55.918942466546987</v>
      </c>
      <c r="BG75" s="20">
        <f t="shared" si="61"/>
        <v>495.04684412923598</v>
      </c>
      <c r="BH75" s="57">
        <f t="shared" si="62"/>
        <v>771.21910885933312</v>
      </c>
      <c r="BI75" s="57">
        <f ca="1">AVERAGE(OFFSET($BH$3,0,0,'Données projet'!$E$11+1,1))-AVERAGE(OFFSET($H$3,0,0,'Données projet'!$E$11+1,1))</f>
        <v>344.32981377462971</v>
      </c>
      <c r="BJ75" s="57">
        <f t="shared" si="92"/>
        <v>334.42512656625763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24.661262485462917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24.661262485462917</v>
      </c>
      <c r="BT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65.319708562753789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7.6</v>
      </c>
      <c r="BY75" s="12">
        <f>IF('Données projet'!$A$114&gt;35,BY74+BX75-CG74,IF(A75&lt;'Données projet'!$A$114,$BV$205^A75,IF(A75='Données projet'!$A$114,'Données projet'!$B$114,BY74+BX75-CG74)))</f>
        <v>280.20000000000022</v>
      </c>
      <c r="BZ75" s="13">
        <f>BY75*VLOOKUP('Données projet'!$B$12,Paramètres!$A$1:$I$89,3,0)*VLOOKUP('Données projet'!$B$12,Paramètres!$A$1:$I$89,5,0)</f>
        <v>266.63832000000025</v>
      </c>
      <c r="CA75" s="13">
        <f t="shared" si="93"/>
        <v>64.135316563180083</v>
      </c>
      <c r="CB75" s="20">
        <f t="shared" si="64"/>
        <v>576.09741701420569</v>
      </c>
      <c r="CC75" s="57">
        <f t="shared" si="65"/>
        <v>852.26968174430294</v>
      </c>
      <c r="CD75" s="57">
        <f ca="1">AVERAGE(OFFSET($CC$3,0,0,'Données projet'!$E$12+1,1))-AVERAGE(OFFSET($H$3,0,0,'Données projet'!$E$12+1,1))</f>
        <v>498.77732039282807</v>
      </c>
      <c r="CE75" s="57">
        <f t="shared" si="94"/>
        <v>384.57317421826531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29.617801704012521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29.617801704012521</v>
      </c>
      <c r="CO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65.319708562753789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7.3250000000000028</v>
      </c>
      <c r="CT75" s="12">
        <f>IF('Données projet'!$A$140&gt;35,CT74+CS75-DB74,IF(A75&lt;'Données projet'!$A$140,$CQ$205^A75,IF(A75='Données projet'!$A$140,'Données projet'!$B$140,CT74+CS75-DB74)))</f>
        <v>207.63499999999993</v>
      </c>
      <c r="CU75" s="17">
        <f>CT75*VLOOKUP('Données projet'!$B$13,Paramètres!$A$1:$I$89,3,0)*VLOOKUP('Données projet'!$B$13,Paramètres!$A$1:$I$89,5,0)</f>
        <v>139.28155799999996</v>
      </c>
      <c r="CV75" s="13">
        <f t="shared" si="95"/>
        <v>36.132371271338869</v>
      </c>
      <c r="CW75" s="20">
        <f t="shared" si="67"/>
        <v>305.51259348091509</v>
      </c>
      <c r="CX75" s="57">
        <f t="shared" si="68"/>
        <v>581.68485821101228</v>
      </c>
      <c r="CY75" s="57">
        <f ca="1">AVERAGE(OFFSET($CX$3,0,0,'Données projet'!$E$13+1,1))-AVERAGE(OFFSET($H$3,0,0,'Données projet'!$E$13+1,1))</f>
        <v>365.99625753737246</v>
      </c>
      <c r="CZ75" s="57">
        <f t="shared" si="96"/>
        <v>242.84814712692287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13.047382522280344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13.047382522280344</v>
      </c>
      <c r="DJ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65.319708562753789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4.8</v>
      </c>
      <c r="DO75" s="12">
        <f>IF('Données projet'!$A$166&gt;35,DO74+DN75-DW74,IF(A75&lt;'Données projet'!$A$166,$DL$205^A75,IF(A75='Données projet'!$A$166,'Données projet'!$B$166,DO74+DN75-DW74)))</f>
        <v>258.60000000000008</v>
      </c>
      <c r="DP75" s="17">
        <f>DO75*VLOOKUP('Données projet'!$B$14,Paramètres!$A$1:$I$89,3,0)*VLOOKUP('Données projet'!$B$14,Paramètres!$A$1:$I$89,5,0)</f>
        <v>169.43472000000006</v>
      </c>
      <c r="DQ75" s="13">
        <f t="shared" si="97"/>
        <v>42.963395138288874</v>
      </c>
      <c r="DR75" s="20">
        <f t="shared" si="70"/>
        <v>369.9267171991865</v>
      </c>
      <c r="DS75" s="57">
        <f t="shared" si="71"/>
        <v>646.0989819292837</v>
      </c>
      <c r="DT75" s="57">
        <f ca="1">AVERAGE(OFFSET($DS$3,0,0,'Données projet'!$E$14+1,1))-AVERAGE(OFFSET($H$3,0,0,'Données projet'!$E$14+1,1))</f>
        <v>313.79279628660527</v>
      </c>
      <c r="DU75" s="57">
        <f t="shared" si="98"/>
        <v>317.45469955216254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18.565071113139517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18.565071113139517</v>
      </c>
      <c r="EE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65.319708562753789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>
        <f>VLOOKUP(A75,'Données projet'!$A$191:$I$211,2,0)</f>
        <v>513</v>
      </c>
      <c r="EH75" s="12">
        <f>VLOOKUP(A75,'Données projet'!$A$191:$I$211,9,0)</f>
        <v>12.444444444444445</v>
      </c>
      <c r="EI75" s="12">
        <f t="array" ref="EI75">INDEX(EH:EH,MIN(IF(ISNUMBER(EH75:EH271),ROW(EH75:EH271),"")))</f>
        <v>12.444444444444445</v>
      </c>
      <c r="EJ75" s="12">
        <f>IF('Données projet'!$A$192&gt;35,EJ74+EI75-ER74,IF(A75&lt;'Données projet'!$A$192,$EG$205^A75,IF(A75='Données projet'!$A$192,'Données projet'!$B$192,EJ74+EI75-ER74)))</f>
        <v>513.00000000000023</v>
      </c>
      <c r="EK75" s="17">
        <f>EJ75*VLOOKUP('Données projet'!$B$15,Paramètres!$A$1:$I$89,3,0)*VLOOKUP('Données projet'!$B$15,Paramètres!$A$1:$I$89,5,0)</f>
        <v>440.15400000000022</v>
      </c>
      <c r="EL75" s="13">
        <f t="shared" si="99"/>
        <v>99.871399621623169</v>
      </c>
      <c r="EM75" s="20">
        <f t="shared" si="73"/>
        <v>940.54423767432718</v>
      </c>
      <c r="EN75" s="57">
        <f t="shared" si="74"/>
        <v>1216.7165024044243</v>
      </c>
      <c r="EO75" s="57">
        <f ca="1">AVERAGE(OFFSET($EN$3,0,0,'Données projet'!$E$15+1,1))-AVERAGE(OFFSET($H$3,0,0,'Données projet'!$E$15+1,1))</f>
        <v>643.04899298561475</v>
      </c>
      <c r="EP75" s="57">
        <f t="shared" si="100"/>
        <v>474.94999304483031</v>
      </c>
      <c r="EQ75" s="15">
        <f>IF(ISNA(VLOOKUP(A75,'Données projet'!$A$191:$I$211,3,0)),0,VLOOKUP(A75,'Données projet'!$A$191:$I$211,3,0))</f>
        <v>11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0.371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84.898721289492059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84.898721289492059</v>
      </c>
      <c r="EZ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65.319708562753789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4.2</v>
      </c>
      <c r="FE75" s="12">
        <f>IF('Données projet'!$A$218&gt;35,FE74+FD75-FM74,IF(A75&lt;'Données projet'!$A$218,$FB$205^A75,IF(A75='Données projet'!$A$218,'Données projet'!$B$218,FE74+FD75-FM74)))</f>
        <v>311.39999999999992</v>
      </c>
      <c r="FF75" s="17">
        <f>FE75*VLOOKUP('Données projet'!$B$16,Paramètres!$A$1:$I$89,3,0)*VLOOKUP('Données projet'!$B$16,Paramètres!$A$1:$I$89,5,0)</f>
        <v>252.60767999999996</v>
      </c>
      <c r="FG75" s="13">
        <f t="shared" si="101"/>
        <v>61.143998601713257</v>
      </c>
      <c r="FH75" s="20">
        <f t="shared" si="76"/>
        <v>546.4508402313171</v>
      </c>
      <c r="FI75" s="57">
        <f t="shared" si="77"/>
        <v>822.62310496141436</v>
      </c>
      <c r="FJ75" s="57">
        <f ca="1">AVERAGE(OFFSET($FI$3,0,0,'Données projet'!$E$16+1,1))-AVERAGE(OFFSET($H$3,0,0,'Données projet'!$E$16+1,1))</f>
        <v>375.34603719604439</v>
      </c>
      <c r="FK75" s="57">
        <f t="shared" si="102"/>
        <v>363.99476973672211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33.630103616989494</v>
      </c>
      <c r="FR75" s="21">
        <f>EXP(-LN(2)/25)*FR74+(1-EXP(-LN(2)/25))/(LN(2)/25)*Calculateur!FM75*Calculateur!FO75*VLOOKUP('Données projet'!$B$16,Paramètres!$A$1:$I$89,3,0)*0.475*44/12</f>
        <v>0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33.630103616989494</v>
      </c>
      <c r="FU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65.319708562753789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-1.1368683772161603E-13</v>
      </c>
      <c r="GA75" s="17">
        <f>FZ75*VLOOKUP('Données projet'!$B$17,Paramètres!$A$1:$I$89,3,0)*VLOOKUP('Données projet'!$B$17,Paramètres!$A$1:$I$89,5,0)</f>
        <v>-6.3550942286383367E-14</v>
      </c>
      <c r="GB75" s="13" t="e">
        <f t="shared" si="103"/>
        <v>#NUM!</v>
      </c>
      <c r="GC75" s="20" t="e">
        <f t="shared" si="79"/>
        <v>#NUM!</v>
      </c>
      <c r="GD75" s="57" t="e">
        <f t="shared" si="80"/>
        <v>#NUM!</v>
      </c>
      <c r="GE75" s="57">
        <f ca="1">AVERAGE(OFFSET($GD$3,0,0,'Données projet'!$E$17+1,1))-AVERAGE(OFFSET($H$3,0,0,'Données projet'!$E$17+1,1))</f>
        <v>414.47327143450701</v>
      </c>
      <c r="GF75" s="57">
        <f t="shared" si="104"/>
        <v>546.83385887302961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210.85416030334122</v>
      </c>
      <c r="GM75" s="21">
        <f>EXP(-LN(2)/25)*GM74+(1-EXP(-LN(2)/25))/(LN(2)/25)*Calculateur!GH75*Calculateur!GJ75*VLOOKUP('Données projet'!$B$17,Paramètres!$A$1:$I$89,3,0)*0.475*44/12</f>
        <v>38.651266658162875</v>
      </c>
      <c r="GN75" s="21">
        <f>EXP(-LN(2)/2)*GN74+(1-EXP(-LN(2)/2))/(LN(2)/2)*GH75*GK75*VLOOKUP('Données projet'!$B$17,Paramètres!$A$1:$I$89,3,0)*0.475*44/12</f>
        <v>8.1146426475441361E-2</v>
      </c>
      <c r="GO75" s="21">
        <f t="shared" si="81"/>
        <v>249.58657338797954</v>
      </c>
      <c r="GP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65.319708562753789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6.4</v>
      </c>
      <c r="GU75" s="12">
        <f>IF('Données projet'!$A$270&gt;35,GU74+GT75-HC74,IF(A75&lt;'Données projet'!$A$270,$GR$205^A75,IF(A75='Données projet'!$A$270,'Données projet'!$B$270,GU74+GT75-HC74)))</f>
        <v>394.7999999999999</v>
      </c>
      <c r="GV75" s="17">
        <f>GU75*VLOOKUP('Données projet'!$B$18,Paramètres!$A$1:$I$89,3,0)*VLOOKUP('Données projet'!$B$18,Paramètres!$A$1:$I$89,5,0)</f>
        <v>215.56079999999994</v>
      </c>
      <c r="GW75" s="13">
        <f t="shared" si="105"/>
        <v>53.14890585638225</v>
      </c>
      <c r="GX75" s="20">
        <f t="shared" si="82"/>
        <v>468.00273769986558</v>
      </c>
      <c r="GY75" s="57">
        <f t="shared" si="83"/>
        <v>744.17500242996277</v>
      </c>
      <c r="GZ75" s="57">
        <f ca="1">AVERAGE(OFFSET($GY$3,0,0,'Données projet'!$E$18+1,1))-AVERAGE(OFFSET($H$3,0,0,'Données projet'!$E$18+1,1))</f>
        <v>381.00532469288714</v>
      </c>
      <c r="HA75" s="57">
        <f t="shared" si="106"/>
        <v>314.875259641757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>
        <f>EXP(-LN(2)/35)*HG74+(1-EXP(-LN(2)/35))/(LN(2)/35)*HC75*HD75*VLOOKUP('Données projet'!$B$18,Paramètres!$A$1:$I$89,3,0)*0.475*44/12</f>
        <v>50.030905661783301</v>
      </c>
      <c r="HH75" s="21">
        <f>EXP(-LN(2)/25)*HH74+(1-EXP(-LN(2)/25))/(LN(2)/25)*Calculateur!HC75*Calculateur!HE75*VLOOKUP('Données projet'!$B$18,Paramètres!$A$1:$I$89,3,0)*0.475*44/12</f>
        <v>20.19875648678202</v>
      </c>
      <c r="HI75" s="21">
        <f>EXP(-LN(2)/2)*HI74+(1-EXP(-LN(2)/2))/(LN(2)/2)*HC75*HF75*VLOOKUP('Données projet'!$B$18,Paramètres!$A$1:$I$89,3,0)*0.475*44/12</f>
        <v>1.0581517007724128</v>
      </c>
      <c r="HJ75" s="22">
        <f t="shared" si="84"/>
        <v>71.287813849337738</v>
      </c>
    </row>
    <row r="76" spans="1:218" x14ac:dyDescent="0.2">
      <c r="A76" s="10">
        <f t="shared" si="85"/>
        <v>73</v>
      </c>
      <c r="B76" s="71">
        <f>'Scénario référence'!$B$16*5+'Scénario référence'!$B$17*0+'Scénario référence'!$B$18*5</f>
        <v>3.3000000000000003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12.100000000000001</v>
      </c>
      <c r="H76" s="65">
        <f t="shared" si="56"/>
        <v>208.26666666666665</v>
      </c>
      <c r="I76" s="6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65.400901155625917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5</v>
      </c>
      <c r="N76" s="13">
        <f>IF('Données projet'!$A$36&gt;35,N75+M76-V75,IF(A76&lt;'Données projet'!$A$36,$K$205^A76,IF(A76='Données projet'!$A$36,'Données projet'!$B$36,N75+M76-V75)))</f>
        <v>173</v>
      </c>
      <c r="O76" s="13">
        <f>N76*VLOOKUP('Données projet'!$B$9,Paramètres!$A$1:$I$89,3,0)*VLOOKUP('Données projet'!$B$9,Paramètres!$A$1:$I$89,5,0)</f>
        <v>175.422</v>
      </c>
      <c r="P76" s="13">
        <f t="shared" si="87"/>
        <v>44.302143412304737</v>
      </c>
      <c r="Q76" s="20">
        <f t="shared" si="54"/>
        <v>382.68621644309741</v>
      </c>
      <c r="R76" s="57">
        <f t="shared" si="55"/>
        <v>659.15618734705913</v>
      </c>
      <c r="S76" s="57">
        <f ca="1">AVERAGE(OFFSET($R$3,0,0,'Données projet'!$E$9+1,1))-AVERAGE(OFFSET($H$3,0,0,'Données projet'!$E$9+1,1))</f>
        <v>332.70145542047612</v>
      </c>
      <c r="T76" s="57">
        <f t="shared" si="88"/>
        <v>172.22433737900428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10.162657112500575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10.162657112500575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65.400901155625917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7.3250000000000028</v>
      </c>
      <c r="AI76" s="13">
        <f>IF('Données projet'!$A$62&gt;35,AI75+AH76-AQ75,IF(A76&lt;'Données projet'!$A$62,$AF$205^A76,IF(A76='Données projet'!$A$62,'Données projet'!$B$62,AI75+AH76-AQ75)))</f>
        <v>214.95999999999992</v>
      </c>
      <c r="AJ76" s="13">
        <f>AI76*VLOOKUP('Données projet'!$B$10,Paramètres!$A$1:$I$89,3,0)*VLOOKUP('Données projet'!$B$10,Paramètres!$A$1:$I$89,5,0)</f>
        <v>194.49580799999993</v>
      </c>
      <c r="AK76" s="13">
        <f t="shared" si="89"/>
        <v>48.532555253837756</v>
      </c>
      <c r="AL76" s="20">
        <f t="shared" si="58"/>
        <v>423.27439933376724</v>
      </c>
      <c r="AM76" s="57">
        <f t="shared" si="59"/>
        <v>699.74437023772896</v>
      </c>
      <c r="AN76" s="57">
        <f ca="1">AVERAGE(OFFSET($AM$3,0,0,'Données projet'!$E$10+1,1))-AVERAGE(OFFSET($H$3,0,0,'Données projet'!$E$10+1,1))</f>
        <v>469.4210143164521</v>
      </c>
      <c r="AO76" s="57">
        <f t="shared" si="90"/>
        <v>308.4508386530556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13.9982795458469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13.9982795458469</v>
      </c>
      <c r="AY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65.400901155625917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4.2</v>
      </c>
      <c r="BD76" s="12">
        <f>IF('Données projet'!$A$88&gt;35,BD75+BC76-BL75,IF(A76&lt;'Données projet'!$A$88,$BA$205^A76,IF(A76='Données projet'!$A$88,'Données projet'!$B$88,BD75+BC76-BL75)))</f>
        <v>315.59999999999991</v>
      </c>
      <c r="BE76" s="13">
        <f>BD76*VLOOKUP('Données projet'!$B$11,Paramètres!$A$1:$I$89,3,0)*VLOOKUP('Données projet'!$B$11,Paramètres!$A$1:$I$89,5,0)</f>
        <v>231.39791999999991</v>
      </c>
      <c r="BF76" s="13">
        <f t="shared" si="91"/>
        <v>56.584837838715806</v>
      </c>
      <c r="BG76" s="20">
        <f t="shared" si="61"/>
        <v>501.56996990242982</v>
      </c>
      <c r="BH76" s="57">
        <f t="shared" si="62"/>
        <v>778.03994080639154</v>
      </c>
      <c r="BI76" s="57">
        <f ca="1">AVERAGE(OFFSET($BH$3,0,0,'Données projet'!$E$11+1,1))-AVERAGE(OFFSET($H$3,0,0,'Données projet'!$E$11+1,1))</f>
        <v>344.32981377462971</v>
      </c>
      <c r="BJ76" s="57">
        <f t="shared" si="92"/>
        <v>334.42512656625763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24.177670170007843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24.177670170007843</v>
      </c>
      <c r="BT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65.400901155625917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7.6</v>
      </c>
      <c r="BY76" s="12">
        <f>IF('Données projet'!$A$114&gt;35,BY75+BX76-CG75,IF(A76&lt;'Données projet'!$A$114,$BV$205^A76,IF(A76='Données projet'!$A$114,'Données projet'!$B$114,BY75+BX76-CG75)))</f>
        <v>287.80000000000024</v>
      </c>
      <c r="BZ76" s="13">
        <f>BY76*VLOOKUP('Données projet'!$B$12,Paramètres!$A$1:$I$89,3,0)*VLOOKUP('Données projet'!$B$12,Paramètres!$A$1:$I$89,5,0)</f>
        <v>273.87048000000021</v>
      </c>
      <c r="CA76" s="13">
        <f t="shared" si="93"/>
        <v>65.670001148377906</v>
      </c>
      <c r="CB76" s="20">
        <f t="shared" si="64"/>
        <v>591.3663380000919</v>
      </c>
      <c r="CC76" s="57">
        <f t="shared" si="65"/>
        <v>867.83630890405357</v>
      </c>
      <c r="CD76" s="57">
        <f ca="1">AVERAGE(OFFSET($CC$3,0,0,'Données projet'!$E$12+1,1))-AVERAGE(OFFSET($H$3,0,0,'Données projet'!$E$12+1,1))</f>
        <v>498.77732039282807</v>
      </c>
      <c r="CE76" s="57">
        <f t="shared" si="94"/>
        <v>384.57317421826531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29.037014677672097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29.037014677672097</v>
      </c>
      <c r="CO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65.400901155625917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7.3250000000000028</v>
      </c>
      <c r="CT76" s="12">
        <f>IF('Données projet'!$A$140&gt;35,CT75+CS76-DB75,IF(A76&lt;'Données projet'!$A$140,$CQ$205^A76,IF(A76='Données projet'!$A$140,'Données projet'!$B$140,CT75+CS76-DB75)))</f>
        <v>214.95999999999992</v>
      </c>
      <c r="CU76" s="17">
        <f>CT76*VLOOKUP('Données projet'!$B$13,Paramètres!$A$1:$I$89,3,0)*VLOOKUP('Données projet'!$B$13,Paramètres!$A$1:$I$89,5,0)</f>
        <v>144.19516799999997</v>
      </c>
      <c r="CV76" s="13">
        <f t="shared" si="95"/>
        <v>37.256401902615117</v>
      </c>
      <c r="CW76" s="20">
        <f t="shared" si="67"/>
        <v>316.02815091372128</v>
      </c>
      <c r="CX76" s="57">
        <f t="shared" si="68"/>
        <v>592.498121817683</v>
      </c>
      <c r="CY76" s="57">
        <f ca="1">AVERAGE(OFFSET($CX$3,0,0,'Données projet'!$E$13+1,1))-AVERAGE(OFFSET($H$3,0,0,'Données projet'!$E$13+1,1))</f>
        <v>365.99625753737246</v>
      </c>
      <c r="CZ76" s="57">
        <f t="shared" si="96"/>
        <v>242.84814712692287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12.791531309135966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12.791531309135966</v>
      </c>
      <c r="DJ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65.400901155625917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4.8</v>
      </c>
      <c r="DO76" s="12">
        <f>IF('Données projet'!$A$166&gt;35,DO75+DN76-DW75,IF(A76&lt;'Données projet'!$A$166,$DL$205^A76,IF(A76='Données projet'!$A$166,'Données projet'!$B$166,DO75+DN76-DW75)))</f>
        <v>263.40000000000009</v>
      </c>
      <c r="DP76" s="17">
        <f>DO76*VLOOKUP('Données projet'!$B$14,Paramètres!$A$1:$I$89,3,0)*VLOOKUP('Données projet'!$B$14,Paramètres!$A$1:$I$89,5,0)</f>
        <v>172.57968000000005</v>
      </c>
      <c r="DQ76" s="13">
        <f t="shared" si="97"/>
        <v>43.667278691745118</v>
      </c>
      <c r="DR76" s="20">
        <f t="shared" si="70"/>
        <v>376.63011972145614</v>
      </c>
      <c r="DS76" s="57">
        <f t="shared" si="71"/>
        <v>653.10009062541781</v>
      </c>
      <c r="DT76" s="57">
        <f ca="1">AVERAGE(OFFSET($DS$3,0,0,'Données projet'!$E$14+1,1))-AVERAGE(OFFSET($H$3,0,0,'Données projet'!$E$14+1,1))</f>
        <v>313.79279628660527</v>
      </c>
      <c r="DU76" s="57">
        <f t="shared" si="98"/>
        <v>317.45469955216254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18.201021392186121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18.201021392186121</v>
      </c>
      <c r="EE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65.400901155625917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11.222222222222221</v>
      </c>
      <c r="EJ76" s="12">
        <f>IF('Données projet'!$A$192&gt;35,EJ75+EI76-ER75,IF(A76&lt;'Données projet'!$A$192,$EG$205^A76,IF(A76='Données projet'!$A$192,'Données projet'!$B$192,EJ75+EI76-ER75)))</f>
        <v>524.2222222222224</v>
      </c>
      <c r="EK76" s="17">
        <f>EJ76*VLOOKUP('Données projet'!$B$15,Paramètres!$A$1:$I$89,3,0)*VLOOKUP('Données projet'!$B$15,Paramètres!$A$1:$I$89,5,0)</f>
        <v>449.7826666666669</v>
      </c>
      <c r="EL76" s="13">
        <f t="shared" si="99"/>
        <v>101.79941066680914</v>
      </c>
      <c r="EM76" s="20">
        <f t="shared" si="73"/>
        <v>960.67211802247084</v>
      </c>
      <c r="EN76" s="57">
        <f t="shared" si="74"/>
        <v>1237.1420889264325</v>
      </c>
      <c r="EO76" s="57">
        <f ca="1">AVERAGE(OFFSET($EN$3,0,0,'Données projet'!$E$15+1,1))-AVERAGE(OFFSET($H$3,0,0,'Données projet'!$E$15+1,1))</f>
        <v>643.04899298561475</v>
      </c>
      <c r="EP76" s="57">
        <f t="shared" si="100"/>
        <v>474.94999304483031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83.233909148111948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83.233909148111948</v>
      </c>
      <c r="EZ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65.400901155625917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4.2</v>
      </c>
      <c r="FE76" s="12">
        <f>IF('Données projet'!$A$218&gt;35,FE75+FD76-FM75,IF(A76&lt;'Données projet'!$A$218,$FB$205^A76,IF(A76='Données projet'!$A$218,'Données projet'!$B$218,FE75+FD76-FM75)))</f>
        <v>315.59999999999991</v>
      </c>
      <c r="FF76" s="17">
        <f>FE76*VLOOKUP('Données projet'!$B$16,Paramètres!$A$1:$I$89,3,0)*VLOOKUP('Données projet'!$B$16,Paramètres!$A$1:$I$89,5,0)</f>
        <v>256.01471999999995</v>
      </c>
      <c r="FG76" s="13">
        <f t="shared" si="101"/>
        <v>61.872115120174627</v>
      </c>
      <c r="FH76" s="20">
        <f t="shared" si="76"/>
        <v>553.65290450097075</v>
      </c>
      <c r="FI76" s="57">
        <f t="shared" si="77"/>
        <v>830.12287540493253</v>
      </c>
      <c r="FJ76" s="57">
        <f ca="1">AVERAGE(OFFSET($FI$3,0,0,'Données projet'!$E$16+1,1))-AVERAGE(OFFSET($H$3,0,0,'Données projet'!$E$16+1,1))</f>
        <v>375.34603719604439</v>
      </c>
      <c r="FK76" s="57">
        <f t="shared" si="102"/>
        <v>363.99476973672211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32.970637797398112</v>
      </c>
      <c r="FR76" s="21">
        <f>EXP(-LN(2)/25)*FR75+(1-EXP(-LN(2)/25))/(LN(2)/25)*Calculateur!FM76*Calculateur!FO76*VLOOKUP('Données projet'!$B$16,Paramètres!$A$1:$I$89,3,0)*0.475*44/12</f>
        <v>0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32.970637797398112</v>
      </c>
      <c r="FU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65.400901155625917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-1.1368683772161603E-13</v>
      </c>
      <c r="GA76" s="17">
        <f>FZ76*VLOOKUP('Données projet'!$B$17,Paramètres!$A$1:$I$89,3,0)*VLOOKUP('Données projet'!$B$17,Paramètres!$A$1:$I$89,5,0)</f>
        <v>-6.3550942286383367E-14</v>
      </c>
      <c r="GB76" s="13" t="e">
        <f t="shared" si="103"/>
        <v>#NUM!</v>
      </c>
      <c r="GC76" s="20" t="e">
        <f t="shared" si="79"/>
        <v>#NUM!</v>
      </c>
      <c r="GD76" s="57" t="e">
        <f t="shared" si="80"/>
        <v>#NUM!</v>
      </c>
      <c r="GE76" s="57">
        <f ca="1">AVERAGE(OFFSET($GD$3,0,0,'Données projet'!$E$17+1,1))-AVERAGE(OFFSET($H$3,0,0,'Données projet'!$E$17+1,1))</f>
        <v>414.47327143450701</v>
      </c>
      <c r="GF76" s="57">
        <f t="shared" si="104"/>
        <v>546.83385887302961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206.71943882813147</v>
      </c>
      <c r="GM76" s="21">
        <f>EXP(-LN(2)/25)*GM75+(1-EXP(-LN(2)/25))/(LN(2)/25)*Calculateur!GH76*Calculateur!GJ76*VLOOKUP('Données projet'!$B$17,Paramètres!$A$1:$I$89,3,0)*0.475*44/12</f>
        <v>37.594345738813637</v>
      </c>
      <c r="GN76" s="21">
        <f>EXP(-LN(2)/2)*GN75+(1-EXP(-LN(2)/2))/(LN(2)/2)*GH76*GK76*VLOOKUP('Données projet'!$B$17,Paramètres!$A$1:$I$89,3,0)*0.475*44/12</f>
        <v>5.7379188429840182E-2</v>
      </c>
      <c r="GO76" s="21">
        <f t="shared" si="81"/>
        <v>244.37116375537497</v>
      </c>
      <c r="GP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65.400901155625917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6.4</v>
      </c>
      <c r="GU76" s="12">
        <f>IF('Données projet'!$A$270&gt;35,GU75+GT76-HC75,IF(A76&lt;'Données projet'!$A$270,$GR$205^A76,IF(A76='Données projet'!$A$270,'Données projet'!$B$270,GU75+GT76-HC75)))</f>
        <v>401.19999999999987</v>
      </c>
      <c r="GV76" s="17">
        <f>GU76*VLOOKUP('Données projet'!$B$18,Paramètres!$A$1:$I$89,3,0)*VLOOKUP('Données projet'!$B$18,Paramètres!$A$1:$I$89,5,0)</f>
        <v>219.05519999999993</v>
      </c>
      <c r="GW76" s="13">
        <f t="shared" si="105"/>
        <v>53.909486701352755</v>
      </c>
      <c r="GX76" s="20">
        <f t="shared" si="82"/>
        <v>475.41349600485592</v>
      </c>
      <c r="GY76" s="57">
        <f t="shared" si="83"/>
        <v>751.88346690881758</v>
      </c>
      <c r="GZ76" s="57">
        <f ca="1">AVERAGE(OFFSET($GY$3,0,0,'Données projet'!$E$18+1,1))-AVERAGE(OFFSET($H$3,0,0,'Données projet'!$E$18+1,1))</f>
        <v>381.00532469288714</v>
      </c>
      <c r="HA76" s="57">
        <f t="shared" si="106"/>
        <v>314.875259641757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>
        <f>EXP(-LN(2)/35)*HG75+(1-EXP(-LN(2)/35))/(LN(2)/35)*HC76*HD76*VLOOKUP('Données projet'!$B$18,Paramètres!$A$1:$I$89,3,0)*0.475*44/12</f>
        <v>49.049830117594993</v>
      </c>
      <c r="HH76" s="21">
        <f>EXP(-LN(2)/25)*HH75+(1-EXP(-LN(2)/25))/(LN(2)/25)*Calculateur!HC76*Calculateur!HE76*VLOOKUP('Données projet'!$B$18,Paramètres!$A$1:$I$89,3,0)*0.475*44/12</f>
        <v>19.646420428444529</v>
      </c>
      <c r="HI76" s="21">
        <f>EXP(-LN(2)/2)*HI75+(1-EXP(-LN(2)/2))/(LN(2)/2)*HC76*HF76*VLOOKUP('Données projet'!$B$18,Paramètres!$A$1:$I$89,3,0)*0.475*44/12</f>
        <v>0.74822624314025166</v>
      </c>
      <c r="HJ76" s="22">
        <f t="shared" si="84"/>
        <v>69.444476789179774</v>
      </c>
    </row>
    <row r="77" spans="1:218" x14ac:dyDescent="0.2">
      <c r="A77" s="10">
        <f t="shared" si="85"/>
        <v>74</v>
      </c>
      <c r="B77" s="71">
        <f>'Scénario référence'!$B$16*5+'Scénario référence'!$B$17*0+'Scénario référence'!$B$18*5</f>
        <v>3.3000000000000003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12.100000000000001</v>
      </c>
      <c r="H77" s="65">
        <f t="shared" si="56"/>
        <v>208.26666666666665</v>
      </c>
      <c r="I77" s="6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65.480685238531152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5</v>
      </c>
      <c r="N77" s="13">
        <f>IF('Données projet'!$A$36&gt;35,N76+M77-V76,IF(A77&lt;'Données projet'!$A$36,$K$205^A77,IF(A77='Données projet'!$A$36,'Données projet'!$B$36,N76+M77-V76)))</f>
        <v>178</v>
      </c>
      <c r="O77" s="13">
        <f>N77*VLOOKUP('Données projet'!$B$9,Paramètres!$A$1:$I$89,3,0)*VLOOKUP('Données projet'!$B$9,Paramètres!$A$1:$I$89,5,0)</f>
        <v>180.49200000000002</v>
      </c>
      <c r="P77" s="13">
        <f t="shared" si="87"/>
        <v>45.431629706642653</v>
      </c>
      <c r="Q77" s="20">
        <f t="shared" si="54"/>
        <v>393.4836550724026</v>
      </c>
      <c r="R77" s="57">
        <f t="shared" si="55"/>
        <v>670.2461676136835</v>
      </c>
      <c r="S77" s="57">
        <f ca="1">AVERAGE(OFFSET($R$3,0,0,'Données projet'!$E$9+1,1))-AVERAGE(OFFSET($H$3,0,0,'Données projet'!$E$9+1,1))</f>
        <v>332.70145542047612</v>
      </c>
      <c r="T77" s="57">
        <f t="shared" si="88"/>
        <v>172.22433737900428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9.9633736051332153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9.9633736051332153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65.480685238531152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7.3250000000000028</v>
      </c>
      <c r="AI77" s="13">
        <f>IF('Données projet'!$A$62&gt;35,AI76+AH77-AQ76,IF(A77&lt;'Données projet'!$A$62,$AF$205^A77,IF(A77='Données projet'!$A$62,'Données projet'!$B$62,AI76+AH77-AQ76)))</f>
        <v>222.28499999999991</v>
      </c>
      <c r="AJ77" s="13">
        <f>AI77*VLOOKUP('Données projet'!$B$10,Paramètres!$A$1:$I$89,3,0)*VLOOKUP('Données projet'!$B$10,Paramètres!$A$1:$I$89,5,0)</f>
        <v>201.12346799999992</v>
      </c>
      <c r="AK77" s="13">
        <f t="shared" si="89"/>
        <v>49.990991435816952</v>
      </c>
      <c r="AL77" s="20">
        <f t="shared" si="58"/>
        <v>437.35768351738102</v>
      </c>
      <c r="AM77" s="57">
        <f t="shared" si="59"/>
        <v>714.12019605866192</v>
      </c>
      <c r="AN77" s="57">
        <f ca="1">AVERAGE(OFFSET($AM$3,0,0,'Données projet'!$E$10+1,1))-AVERAGE(OFFSET($H$3,0,0,'Données projet'!$E$10+1,1))</f>
        <v>469.4210143164521</v>
      </c>
      <c r="AO77" s="57">
        <f t="shared" si="90"/>
        <v>308.4508386530556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13.723781822060298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13.723781822060298</v>
      </c>
      <c r="AY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65.480685238531152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4.2</v>
      </c>
      <c r="BD77" s="12">
        <f>IF('Données projet'!$A$88&gt;35,BD76+BC77-BL76,IF(A77&lt;'Données projet'!$A$88,$BA$205^A77,IF(A77='Données projet'!$A$88,'Données projet'!$B$88,BD76+BC77-BL76)))</f>
        <v>319.7999999999999</v>
      </c>
      <c r="BE77" s="13">
        <f>BD77*VLOOKUP('Données projet'!$B$11,Paramètres!$A$1:$I$89,3,0)*VLOOKUP('Données projet'!$B$11,Paramètres!$A$1:$I$89,5,0)</f>
        <v>234.47735999999995</v>
      </c>
      <c r="BF77" s="13">
        <f t="shared" si="91"/>
        <v>57.249702472380292</v>
      </c>
      <c r="BG77" s="20">
        <f t="shared" si="61"/>
        <v>508.09130047272885</v>
      </c>
      <c r="BH77" s="57">
        <f t="shared" si="62"/>
        <v>784.8538130140098</v>
      </c>
      <c r="BI77" s="57">
        <f ca="1">AVERAGE(OFFSET($BH$3,0,0,'Données projet'!$E$11+1,1))-AVERAGE(OFFSET($H$3,0,0,'Données projet'!$E$11+1,1))</f>
        <v>344.32981377462971</v>
      </c>
      <c r="BJ77" s="57">
        <f t="shared" si="92"/>
        <v>334.42512656625763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23.703560804896657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23.703560804896657</v>
      </c>
      <c r="BT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65.480685238531152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7.6</v>
      </c>
      <c r="BY77" s="12">
        <f>IF('Données projet'!$A$114&gt;35,BY76+BX77-CG76,IF(A77&lt;'Données projet'!$A$114,$BV$205^A77,IF(A77='Données projet'!$A$114,'Données projet'!$B$114,BY76+BX77-CG76)))</f>
        <v>295.40000000000026</v>
      </c>
      <c r="BZ77" s="13">
        <f>BY77*VLOOKUP('Données projet'!$B$12,Paramètres!$A$1:$I$89,3,0)*VLOOKUP('Données projet'!$B$12,Paramètres!$A$1:$I$89,5,0)</f>
        <v>281.10264000000024</v>
      </c>
      <c r="CA77" s="13">
        <f t="shared" si="93"/>
        <v>67.199975082239746</v>
      </c>
      <c r="CB77" s="20">
        <f t="shared" si="64"/>
        <v>606.62705460156792</v>
      </c>
      <c r="CC77" s="57">
        <f t="shared" si="65"/>
        <v>883.38956714284882</v>
      </c>
      <c r="CD77" s="57">
        <f ca="1">AVERAGE(OFFSET($CC$3,0,0,'Données projet'!$E$12+1,1))-AVERAGE(OFFSET($H$3,0,0,'Données projet'!$E$12+1,1))</f>
        <v>498.77732039282807</v>
      </c>
      <c r="CE77" s="57">
        <f t="shared" si="94"/>
        <v>384.57317421826531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28.467616530673101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28.467616530673101</v>
      </c>
      <c r="CO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65.480685238531152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7.3250000000000028</v>
      </c>
      <c r="CT77" s="12">
        <f>IF('Données projet'!$A$140&gt;35,CT76+CS77-DB76,IF(A77&lt;'Données projet'!$A$140,$CQ$205^A77,IF(A77='Données projet'!$A$140,'Données projet'!$B$140,CT76+CS77-DB76)))</f>
        <v>222.28499999999991</v>
      </c>
      <c r="CU77" s="17">
        <f>CT77*VLOOKUP('Données projet'!$B$13,Paramètres!$A$1:$I$89,3,0)*VLOOKUP('Données projet'!$B$13,Paramètres!$A$1:$I$89,5,0)</f>
        <v>149.10877799999994</v>
      </c>
      <c r="CV77" s="13">
        <f t="shared" si="95"/>
        <v>38.375982033126355</v>
      </c>
      <c r="CW77" s="20">
        <f t="shared" si="67"/>
        <v>326.53595705769493</v>
      </c>
      <c r="CX77" s="57">
        <f t="shared" si="68"/>
        <v>603.29846959897577</v>
      </c>
      <c r="CY77" s="57">
        <f ca="1">AVERAGE(OFFSET($CX$3,0,0,'Données projet'!$E$13+1,1))-AVERAGE(OFFSET($H$3,0,0,'Données projet'!$E$13+1,1))</f>
        <v>365.99625753737246</v>
      </c>
      <c r="CZ77" s="57">
        <f t="shared" si="96"/>
        <v>242.84814712692287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12.540697182227518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12.540697182227518</v>
      </c>
      <c r="DJ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65.480685238531152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4.8</v>
      </c>
      <c r="DO77" s="12">
        <f>IF('Données projet'!$A$166&gt;35,DO76+DN77-DW76,IF(A77&lt;'Données projet'!$A$166,$DL$205^A77,IF(A77='Données projet'!$A$166,'Données projet'!$B$166,DO76+DN77-DW76)))</f>
        <v>268.2000000000001</v>
      </c>
      <c r="DP77" s="17">
        <f>DO77*VLOOKUP('Données projet'!$B$14,Paramètres!$A$1:$I$89,3,0)*VLOOKUP('Données projet'!$B$14,Paramètres!$A$1:$I$89,5,0)</f>
        <v>175.72464000000005</v>
      </c>
      <c r="DQ77" s="13">
        <f t="shared" si="97"/>
        <v>44.369670673452703</v>
      </c>
      <c r="DR77" s="20">
        <f t="shared" si="70"/>
        <v>383.3309244229302</v>
      </c>
      <c r="DS77" s="57">
        <f t="shared" si="71"/>
        <v>660.09343696421115</v>
      </c>
      <c r="DT77" s="57">
        <f ca="1">AVERAGE(OFFSET($DS$3,0,0,'Données projet'!$E$14+1,1))-AVERAGE(OFFSET($H$3,0,0,'Données projet'!$E$14+1,1))</f>
        <v>313.79279628660527</v>
      </c>
      <c r="DU77" s="57">
        <f t="shared" si="98"/>
        <v>317.45469955216254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17.844110464212214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17.844110464212214</v>
      </c>
      <c r="EE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65.480685238531152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11.222222222222221</v>
      </c>
      <c r="EJ77" s="12">
        <f>IF('Données projet'!$A$192&gt;35,EJ76+EI77-ER76,IF(A77&lt;'Données projet'!$A$192,$EG$205^A77,IF(A77='Données projet'!$A$192,'Données projet'!$B$192,EJ76+EI77-ER76)))</f>
        <v>535.44444444444457</v>
      </c>
      <c r="EK77" s="17">
        <f>EJ77*VLOOKUP('Données projet'!$B$15,Paramètres!$A$1:$I$89,3,0)*VLOOKUP('Données projet'!$B$15,Paramètres!$A$1:$I$89,5,0)</f>
        <v>459.41133333333346</v>
      </c>
      <c r="EL77" s="13">
        <f t="shared" si="99"/>
        <v>103.72262305156094</v>
      </c>
      <c r="EM77" s="20">
        <f t="shared" si="73"/>
        <v>980.79164070369097</v>
      </c>
      <c r="EN77" s="57">
        <f t="shared" si="74"/>
        <v>1257.554153244972</v>
      </c>
      <c r="EO77" s="57">
        <f ca="1">AVERAGE(OFFSET($EN$3,0,0,'Données projet'!$E$15+1,1))-AVERAGE(OFFSET($H$3,0,0,'Données projet'!$E$15+1,1))</f>
        <v>643.04899298561475</v>
      </c>
      <c r="EP77" s="57">
        <f t="shared" si="100"/>
        <v>474.94999304483031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81.601742957389163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81.601742957389163</v>
      </c>
      <c r="EZ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65.480685238531152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4.2</v>
      </c>
      <c r="FE77" s="12">
        <f>IF('Données projet'!$A$218&gt;35,FE76+FD77-FM76,IF(A77&lt;'Données projet'!$A$218,$FB$205^A77,IF(A77='Données projet'!$A$218,'Données projet'!$B$218,FE76+FD77-FM76)))</f>
        <v>319.7999999999999</v>
      </c>
      <c r="FF77" s="17">
        <f>FE77*VLOOKUP('Données projet'!$B$16,Paramètres!$A$1:$I$89,3,0)*VLOOKUP('Données projet'!$B$16,Paramètres!$A$1:$I$89,5,0)</f>
        <v>259.42175999999995</v>
      </c>
      <c r="FG77" s="13">
        <f t="shared" si="101"/>
        <v>62.599104588107195</v>
      </c>
      <c r="FH77" s="20">
        <f t="shared" si="76"/>
        <v>560.85300582428658</v>
      </c>
      <c r="FI77" s="57">
        <f t="shared" si="77"/>
        <v>837.61551836556748</v>
      </c>
      <c r="FJ77" s="57">
        <f ca="1">AVERAGE(OFFSET($FI$3,0,0,'Données projet'!$E$16+1,1))-AVERAGE(OFFSET($H$3,0,0,'Données projet'!$E$16+1,1))</f>
        <v>375.34603719604439</v>
      </c>
      <c r="FK77" s="57">
        <f t="shared" si="102"/>
        <v>363.99476973672211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32.324103700294486</v>
      </c>
      <c r="FR77" s="21">
        <f>EXP(-LN(2)/25)*FR76+(1-EXP(-LN(2)/25))/(LN(2)/25)*Calculateur!FM77*Calculateur!FO77*VLOOKUP('Données projet'!$B$16,Paramètres!$A$1:$I$89,3,0)*0.475*44/12</f>
        <v>0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32.324103700294486</v>
      </c>
      <c r="FU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65.480685238531152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-1.1368683772161603E-13</v>
      </c>
      <c r="GA77" s="17">
        <f>FZ77*VLOOKUP('Données projet'!$B$17,Paramètres!$A$1:$I$89,3,0)*VLOOKUP('Données projet'!$B$17,Paramètres!$A$1:$I$89,5,0)</f>
        <v>-6.3550942286383367E-14</v>
      </c>
      <c r="GB77" s="13" t="e">
        <f t="shared" si="103"/>
        <v>#NUM!</v>
      </c>
      <c r="GC77" s="20" t="e">
        <f t="shared" si="79"/>
        <v>#NUM!</v>
      </c>
      <c r="GD77" s="57" t="e">
        <f t="shared" si="80"/>
        <v>#NUM!</v>
      </c>
      <c r="GE77" s="57">
        <f ca="1">AVERAGE(OFFSET($GD$3,0,0,'Données projet'!$E$17+1,1))-AVERAGE(OFFSET($H$3,0,0,'Données projet'!$E$17+1,1))</f>
        <v>414.47327143450701</v>
      </c>
      <c r="GF77" s="57">
        <f t="shared" si="104"/>
        <v>546.83385887302961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202.6657967191195</v>
      </c>
      <c r="GM77" s="21">
        <f>EXP(-LN(2)/25)*GM76+(1-EXP(-LN(2)/25))/(LN(2)/25)*Calculateur!GH77*Calculateur!GJ77*VLOOKUP('Données projet'!$B$17,Paramètres!$A$1:$I$89,3,0)*0.475*44/12</f>
        <v>36.566326377585057</v>
      </c>
      <c r="GN77" s="21">
        <f>EXP(-LN(2)/2)*GN76+(1-EXP(-LN(2)/2))/(LN(2)/2)*GH77*GK77*VLOOKUP('Données projet'!$B$17,Paramètres!$A$1:$I$89,3,0)*0.475*44/12</f>
        <v>4.057321323772068E-2</v>
      </c>
      <c r="GO77" s="21">
        <f t="shared" si="81"/>
        <v>239.27269630994226</v>
      </c>
      <c r="GP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65.480685238531152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6.4</v>
      </c>
      <c r="GU77" s="12">
        <f>IF('Données projet'!$A$270&gt;35,GU76+GT77-HC76,IF(A77&lt;'Données projet'!$A$270,$GR$205^A77,IF(A77='Données projet'!$A$270,'Données projet'!$B$270,GU76+GT77-HC76)))</f>
        <v>407.59999999999985</v>
      </c>
      <c r="GV77" s="17">
        <f>GU77*VLOOKUP('Données projet'!$B$18,Paramètres!$A$1:$I$89,3,0)*VLOOKUP('Données projet'!$B$18,Paramètres!$A$1:$I$89,5,0)</f>
        <v>222.54959999999991</v>
      </c>
      <c r="GW77" s="13">
        <f t="shared" si="105"/>
        <v>54.66865652445258</v>
      </c>
      <c r="GX77" s="20">
        <f t="shared" si="82"/>
        <v>482.82179678008805</v>
      </c>
      <c r="GY77" s="57">
        <f t="shared" si="83"/>
        <v>759.58430932136889</v>
      </c>
      <c r="GZ77" s="57">
        <f ca="1">AVERAGE(OFFSET($GY$3,0,0,'Données projet'!$E$18+1,1))-AVERAGE(OFFSET($H$3,0,0,'Données projet'!$E$18+1,1))</f>
        <v>381.00532469288714</v>
      </c>
      <c r="HA77" s="57">
        <f t="shared" si="106"/>
        <v>314.875259641757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>
        <f>EXP(-LN(2)/35)*HG76+(1-EXP(-LN(2)/35))/(LN(2)/35)*HC77*HD77*VLOOKUP('Données projet'!$B$18,Paramètres!$A$1:$I$89,3,0)*0.475*44/12</f>
        <v>48.087992866431222</v>
      </c>
      <c r="HH77" s="21">
        <f>EXP(-LN(2)/25)*HH76+(1-EXP(-LN(2)/25))/(LN(2)/25)*Calculateur!HC77*Calculateur!HE77*VLOOKUP('Données projet'!$B$18,Paramètres!$A$1:$I$89,3,0)*0.475*44/12</f>
        <v>19.109188028668367</v>
      </c>
      <c r="HI77" s="21">
        <f>EXP(-LN(2)/2)*HI76+(1-EXP(-LN(2)/2))/(LN(2)/2)*HC77*HF77*VLOOKUP('Données projet'!$B$18,Paramètres!$A$1:$I$89,3,0)*0.475*44/12</f>
        <v>0.52907585038620653</v>
      </c>
      <c r="HJ77" s="22">
        <f t="shared" si="84"/>
        <v>67.726256745485799</v>
      </c>
    </row>
    <row r="78" spans="1:218" x14ac:dyDescent="0.2">
      <c r="A78" s="10">
        <f t="shared" si="85"/>
        <v>75</v>
      </c>
      <c r="B78" s="71">
        <f>'Scénario référence'!$B$16*5+'Scénario référence'!$B$17*0+'Scénario référence'!$B$18*5</f>
        <v>3.3000000000000003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12.100000000000001</v>
      </c>
      <c r="H78" s="65">
        <f t="shared" si="56"/>
        <v>208.26666666666665</v>
      </c>
      <c r="I78" s="6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65.559085245968475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183</v>
      </c>
      <c r="L78" s="12">
        <f>VLOOKUP(A78,'Données projet'!$A$35:$I$55,9,0)</f>
        <v>5</v>
      </c>
      <c r="M78" s="12">
        <f t="array" ref="M78">INDEX(L:L,MIN(IF(ISNUMBER(L78:L274),ROW(L78:L274),"")))</f>
        <v>5</v>
      </c>
      <c r="N78" s="13">
        <f>IF('Données projet'!$A$36&gt;35,N77+M78-V77,IF(A78&lt;'Données projet'!$A$36,$K$205^A78,IF(A78='Données projet'!$A$36,'Données projet'!$B$36,N77+M78-V77)))</f>
        <v>183</v>
      </c>
      <c r="O78" s="13">
        <f>N78*VLOOKUP('Données projet'!$B$9,Paramètres!$A$1:$I$89,3,0)*VLOOKUP('Données projet'!$B$9,Paramètres!$A$1:$I$89,5,0)</f>
        <v>185.56200000000001</v>
      </c>
      <c r="P78" s="13">
        <f t="shared" si="87"/>
        <v>46.557428480028591</v>
      </c>
      <c r="Q78" s="20">
        <f t="shared" si="54"/>
        <v>404.27467126938313</v>
      </c>
      <c r="R78" s="57">
        <f t="shared" si="55"/>
        <v>681.32465050460087</v>
      </c>
      <c r="S78" s="57">
        <f ca="1">AVERAGE(OFFSET($R$3,0,0,'Données projet'!$E$9+1,1))-AVERAGE(OFFSET($H$3,0,0,'Données projet'!$E$9+1,1))</f>
        <v>332.70145542047612</v>
      </c>
      <c r="T78" s="57">
        <f t="shared" si="88"/>
        <v>172.22433737900428</v>
      </c>
      <c r="U78" s="15">
        <f>IF(ISNA(VLOOKUP(A78,'Données projet'!$A$35:$I$55,3,0)),0,VLOOKUP(A78,'Données projet'!$A$35:$I$55,3,0))</f>
        <v>11</v>
      </c>
      <c r="V78" s="15">
        <f>IF(ISNA(VLOOKUP(A78,'Données projet'!$A$35:$I$55,4,0)),0,VLOOKUP(A78,'Données projet'!$A$35:$I$55,4,0))</f>
        <v>14</v>
      </c>
      <c r="W78" s="16">
        <f>IF(ISNA(VLOOKUP(A78,'Données projet'!$A$35:$I$55,5,0)),0%,VLOOKUP(A78,'Données projet'!$A$35:$I$55,5,0)*VLOOKUP('Données projet'!$B$9,Paramètres!$A$1:$I$89,7,0))</f>
        <v>0.215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13.142048289982091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13.142048289982091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65.559085245968475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229.61</v>
      </c>
      <c r="AG78" s="12">
        <f>VLOOKUP(A78,'Données projet'!$A$61:$I$81,9,0)</f>
        <v>7.3250000000000028</v>
      </c>
      <c r="AH78" s="12">
        <f t="array" ref="AH78">INDEX(AG:AG,MIN(IF(ISNUMBER(AG78:AG274),ROW(AG78:AG274),"")))</f>
        <v>7.3250000000000028</v>
      </c>
      <c r="AI78" s="13">
        <f>IF('Données projet'!$A$62&gt;35,AI77+AH78-AQ77,IF(A78&lt;'Données projet'!$A$62,$AF$205^A78,IF(A78='Données projet'!$A$62,'Données projet'!$B$62,AI77+AH78-AQ77)))</f>
        <v>229.6099999999999</v>
      </c>
      <c r="AJ78" s="13">
        <f>AI78*VLOOKUP('Données projet'!$B$10,Paramètres!$A$1:$I$89,3,0)*VLOOKUP('Données projet'!$B$10,Paramètres!$A$1:$I$89,5,0)</f>
        <v>207.75112799999991</v>
      </c>
      <c r="AK78" s="13">
        <f t="shared" si="89"/>
        <v>51.443843066664108</v>
      </c>
      <c r="AL78" s="20">
        <f t="shared" si="58"/>
        <v>451.43124127443986</v>
      </c>
      <c r="AM78" s="57">
        <f t="shared" si="59"/>
        <v>728.48122050965753</v>
      </c>
      <c r="AN78" s="57">
        <f ca="1">AVERAGE(OFFSET($AM$3,0,0,'Données projet'!$E$10+1,1))-AVERAGE(OFFSET($H$3,0,0,'Données projet'!$E$10+1,1))</f>
        <v>469.4210143164521</v>
      </c>
      <c r="AO78" s="57">
        <f t="shared" si="90"/>
        <v>308.4508386530556</v>
      </c>
      <c r="AP78" s="15">
        <f>IF(ISNA(VLOOKUP(A78,'Données projet'!$A$61:$I$81,3,0)),0,VLOOKUP(A78,'Données projet'!$A$61:$I$81,3,0))</f>
        <v>5</v>
      </c>
      <c r="AQ78" s="15">
        <f>IF(ISNA(VLOOKUP(A78,'Données projet'!$A$61:$I$81,4,0)),0,VLOOKUP(A78,'Données projet'!$A$61:$I$81,4,0))</f>
        <v>39.54</v>
      </c>
      <c r="AR78" s="16">
        <f>IF(ISNA(VLOOKUP(A78,'Données projet'!$A$61:$I$81,5,0)),0%,VLOOKUP(A78,'Données projet'!$A$61:$I$81,5,0)*VLOOKUP('Données projet'!$B$10,Paramètres!$A$1:$I$89,7,0))</f>
        <v>0.129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18.556497939692882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18.556497939692882</v>
      </c>
      <c r="AY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65.559085245968475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324</v>
      </c>
      <c r="BB78" s="12">
        <f>VLOOKUP(A78,'Données projet'!$A$87:$I$107,9,0)</f>
        <v>4.2</v>
      </c>
      <c r="BC78" s="12">
        <f t="array" ref="BC78">INDEX(BB:BB,MIN(IF(ISNUMBER(BB78:BB274),ROW(BB78:BB274),"")))</f>
        <v>4.2</v>
      </c>
      <c r="BD78" s="12">
        <f>IF('Données projet'!$A$88&gt;35,BD77+BC78-BL77,IF(A78&lt;'Données projet'!$A$88,$BA$205^A78,IF(A78='Données projet'!$A$88,'Données projet'!$B$88,BD77+BC78-BL77)))</f>
        <v>323.99999999999989</v>
      </c>
      <c r="BE78" s="13">
        <f>BD78*VLOOKUP('Données projet'!$B$11,Paramètres!$A$1:$I$89,3,0)*VLOOKUP('Données projet'!$B$11,Paramètres!$A$1:$I$89,5,0)</f>
        <v>237.55679999999992</v>
      </c>
      <c r="BF78" s="13">
        <f t="shared" si="91"/>
        <v>57.913551469467308</v>
      </c>
      <c r="BG78" s="20">
        <f t="shared" si="61"/>
        <v>514.61086214265538</v>
      </c>
      <c r="BH78" s="57">
        <f t="shared" si="62"/>
        <v>791.66084137787311</v>
      </c>
      <c r="BI78" s="57">
        <f ca="1">AVERAGE(OFFSET($BH$3,0,0,'Données projet'!$E$11+1,1))-AVERAGE(OFFSET($H$3,0,0,'Données projet'!$E$11+1,1))</f>
        <v>344.32981377462971</v>
      </c>
      <c r="BJ78" s="57">
        <f t="shared" si="92"/>
        <v>334.42512656625763</v>
      </c>
      <c r="BK78" s="15">
        <f>IF(ISNA(VLOOKUP(A78,'Données projet'!$A$87:$I$107,3,0)),0,VLOOKUP(A78,'Données projet'!$A$87:$I$107,3,0))</f>
        <v>14</v>
      </c>
      <c r="BL78" s="15">
        <f>IF(ISNA(VLOOKUP(A78,'Données projet'!$A$87:$I$107,4,0)),0,VLOOKUP(A78,'Données projet'!$A$87:$I$107,4,0))</f>
        <v>12</v>
      </c>
      <c r="BM78" s="16">
        <f>IF(ISNA(VLOOKUP(A78,'Données projet'!$A$87:$I$107,5,0)),0%,VLOOKUP(A78,'Données projet'!$A$87:$I$107,5,0)*VLOOKUP('Données projet'!$B$11,Paramètres!$A$1:$I$89,7,0))</f>
        <v>0.34400000000000003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26.584619917282392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26.584619917282392</v>
      </c>
      <c r="BT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65.559085245968475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303</v>
      </c>
      <c r="BW78" s="12">
        <f>VLOOKUP(A78,'Données projet'!$A$113:$I$133,9,0)</f>
        <v>7.6</v>
      </c>
      <c r="BX78" s="12">
        <f t="array" ref="BX78">INDEX(BW:BW,MIN(IF(ISNUMBER(BW78:BW274),ROW(BW78:BW274),"")))</f>
        <v>7.6</v>
      </c>
      <c r="BY78" s="12">
        <f>IF('Données projet'!$A$114&gt;35,BY77+BX78-CG77,IF(A78&lt;'Données projet'!$A$114,$BV$205^A78,IF(A78='Données projet'!$A$114,'Données projet'!$B$114,BY77+BX78-CG77)))</f>
        <v>303.00000000000028</v>
      </c>
      <c r="BZ78" s="13">
        <f>BY78*VLOOKUP('Données projet'!$B$12,Paramètres!$A$1:$I$89,3,0)*VLOOKUP('Données projet'!$B$12,Paramètres!$A$1:$I$89,5,0)</f>
        <v>288.33480000000031</v>
      </c>
      <c r="CA78" s="13">
        <f t="shared" si="93"/>
        <v>68.725373494438969</v>
      </c>
      <c r="CB78" s="20">
        <f t="shared" si="64"/>
        <v>621.87980216948165</v>
      </c>
      <c r="CC78" s="57">
        <f t="shared" si="65"/>
        <v>898.92978140469938</v>
      </c>
      <c r="CD78" s="57">
        <f ca="1">AVERAGE(OFFSET($CC$3,0,0,'Données projet'!$E$12+1,1))-AVERAGE(OFFSET($H$3,0,0,'Données projet'!$E$12+1,1))</f>
        <v>498.77732039282807</v>
      </c>
      <c r="CE78" s="57">
        <f t="shared" si="94"/>
        <v>384.57317421826531</v>
      </c>
      <c r="CF78" s="15">
        <f>IF(ISNA(VLOOKUP(A78,'Données projet'!$A$113:$I$133,3,0)),0,VLOOKUP(A78,'Données projet'!$A$113:$I$133,3,0))</f>
        <v>11</v>
      </c>
      <c r="CG78" s="15">
        <f>IF(ISNA(VLOOKUP(A78,'Données projet'!$A$113:$I$133,4,0)),0,VLOOKUP(A78,'Données projet'!$A$113:$I$133,4,0))</f>
        <v>33</v>
      </c>
      <c r="CH78" s="16">
        <f>IF(ISNA(VLOOKUP(A78,'Données projet'!$A$113:$I$133,5,0)),0%,VLOOKUP(A78,'Données projet'!$A$113:$I$133,5,0)*VLOOKUP('Données projet'!$B$12,Paramètres!$A$1:$I$89,7,0))</f>
        <v>0.25800000000000001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36.865819164512686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36.865819164512686</v>
      </c>
      <c r="CO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65.559085245968475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229.61</v>
      </c>
      <c r="CR78" s="12">
        <f>VLOOKUP(A78,'Données projet'!$A$139:$I$159,9,0)</f>
        <v>7.3250000000000028</v>
      </c>
      <c r="CS78" s="12">
        <f t="array" ref="CS78">INDEX(CR:CR,MIN(IF(ISNUMBER(CR78:CR274),ROW(CR78:CR274),"")))</f>
        <v>7.3250000000000028</v>
      </c>
      <c r="CT78" s="12">
        <f>IF('Données projet'!$A$140&gt;35,CT77+CS78-DB77,IF(A78&lt;'Données projet'!$A$140,$CQ$205^A78,IF(A78='Données projet'!$A$140,'Données projet'!$B$140,CT77+CS78-DB77)))</f>
        <v>229.6099999999999</v>
      </c>
      <c r="CU78" s="17">
        <f>CT78*VLOOKUP('Données projet'!$B$13,Paramètres!$A$1:$I$89,3,0)*VLOOKUP('Données projet'!$B$13,Paramètres!$A$1:$I$89,5,0)</f>
        <v>154.02238799999992</v>
      </c>
      <c r="CV78" s="13">
        <f t="shared" si="95"/>
        <v>39.491275138560525</v>
      </c>
      <c r="CW78" s="20">
        <f t="shared" si="67"/>
        <v>337.03629663299273</v>
      </c>
      <c r="CX78" s="57">
        <f t="shared" si="68"/>
        <v>614.08627586821046</v>
      </c>
      <c r="CY78" s="57">
        <f ca="1">AVERAGE(OFFSET($CX$3,0,0,'Données projet'!$E$13+1,1))-AVERAGE(OFFSET($H$3,0,0,'Données projet'!$E$13+1,1))</f>
        <v>365.99625753737246</v>
      </c>
      <c r="CZ78" s="57">
        <f t="shared" si="96"/>
        <v>242.84814712692287</v>
      </c>
      <c r="DA78" s="15">
        <f>IF(ISNA(VLOOKUP(A78,'Données projet'!$A$139:$I$159,3,0)),0,VLOOKUP(A78,'Données projet'!$A$139:$I$159,3,0))</f>
        <v>5</v>
      </c>
      <c r="DB78" s="15">
        <f>IF(ISNA(VLOOKUP(A78,'Données projet'!$A$139:$I$159,4,0)),0,VLOOKUP(A78,'Données projet'!$A$139:$I$159,4,0))</f>
        <v>39.54</v>
      </c>
      <c r="DC78" s="16">
        <f>IF(ISNA(VLOOKUP(A78,'Données projet'!$A$139:$I$159,5,0)),0%,VLOOKUP(A78,'Données projet'!$A$139:$I$159,5,0)*VLOOKUP('Données projet'!$B$13,Paramètres!$A$1:$I$89,7,0))</f>
        <v>0.159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16.956799841443502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16.956799841443502</v>
      </c>
      <c r="DJ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65.559085245968475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273</v>
      </c>
      <c r="DM78" s="12">
        <f>VLOOKUP(A78,'Données projet'!$A$165:$I$185,9,0)</f>
        <v>4.8</v>
      </c>
      <c r="DN78" s="12">
        <f t="array" ref="DN78">INDEX(DM:DM,MIN(IF(ISNUMBER(DM78:DM274),ROW(DM78:DM274),"")))</f>
        <v>4.8</v>
      </c>
      <c r="DO78" s="12">
        <f>IF('Données projet'!$A$166&gt;35,DO77+DN78-DW77,IF(A78&lt;'Données projet'!$A$166,$DL$205^A78,IF(A78='Données projet'!$A$166,'Données projet'!$B$166,DO77+DN78-DW77)))</f>
        <v>273.00000000000011</v>
      </c>
      <c r="DP78" s="17">
        <f>DO78*VLOOKUP('Données projet'!$B$14,Paramètres!$A$1:$I$89,3,0)*VLOOKUP('Données projet'!$B$14,Paramètres!$A$1:$I$89,5,0)</f>
        <v>178.86960000000008</v>
      </c>
      <c r="DQ78" s="13">
        <f t="shared" si="97"/>
        <v>45.07060085766652</v>
      </c>
      <c r="DR78" s="20">
        <f t="shared" si="70"/>
        <v>390.02918316043593</v>
      </c>
      <c r="DS78" s="57">
        <f t="shared" si="71"/>
        <v>667.07916239565361</v>
      </c>
      <c r="DT78" s="57">
        <f ca="1">AVERAGE(OFFSET($DS$3,0,0,'Données projet'!$E$14+1,1))-AVERAGE(OFFSET($H$3,0,0,'Données projet'!$E$14+1,1))</f>
        <v>313.79279628660527</v>
      </c>
      <c r="DU78" s="57">
        <f t="shared" si="98"/>
        <v>317.45469955216254</v>
      </c>
      <c r="DV78" s="15">
        <f>IF(ISNA(VLOOKUP(A78,'Données projet'!$A$165:$I$185,3,0)),0,VLOOKUP(A78,'Données projet'!$A$165:$I$185,3,0))</f>
        <v>14</v>
      </c>
      <c r="DW78" s="15">
        <f>IF(ISNA(VLOOKUP(A78,'Données projet'!$A$165:$I$185,4,0)),0,VLOOKUP(A78,'Données projet'!$A$165:$I$185,4,0))</f>
        <v>19</v>
      </c>
      <c r="DX78" s="16">
        <f>IF(ISNA(VLOOKUP(A78,'Données projet'!$A$165:$I$185,5,0)),0%,VLOOKUP(A78,'Données projet'!$A$165:$I$185,5,0)*VLOOKUP('Données projet'!$B$14,Paramètres!$A$1:$I$89,7,0))</f>
        <v>0.25800000000000001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21.044737494309992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21.044737494309992</v>
      </c>
      <c r="EE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65.559085245968475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11.222222222222221</v>
      </c>
      <c r="EJ78" s="12">
        <f>IF('Données projet'!$A$192&gt;35,EJ77+EI78-ER77,IF(A78&lt;'Données projet'!$A$192,$EG$205^A78,IF(A78='Données projet'!$A$192,'Données projet'!$B$192,EJ77+EI78-ER77)))</f>
        <v>546.66666666666674</v>
      </c>
      <c r="EK78" s="17">
        <f>EJ78*VLOOKUP('Données projet'!$B$15,Paramètres!$A$1:$I$89,3,0)*VLOOKUP('Données projet'!$B$15,Paramètres!$A$1:$I$89,5,0)</f>
        <v>469.04000000000013</v>
      </c>
      <c r="EL78" s="13">
        <f t="shared" si="99"/>
        <v>105.64114893609936</v>
      </c>
      <c r="EM78" s="20">
        <f t="shared" si="73"/>
        <v>1000.9030010637066</v>
      </c>
      <c r="EN78" s="57">
        <f t="shared" si="74"/>
        <v>1277.9529802989243</v>
      </c>
      <c r="EO78" s="57">
        <f ca="1">AVERAGE(OFFSET($EN$3,0,0,'Données projet'!$E$15+1,1))-AVERAGE(OFFSET($H$3,0,0,'Données projet'!$E$15+1,1))</f>
        <v>643.04899298561475</v>
      </c>
      <c r="EP78" s="57">
        <f t="shared" si="100"/>
        <v>474.94999304483031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80.001582550143368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80.001582550143368</v>
      </c>
      <c r="EZ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65.559085245968475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324</v>
      </c>
      <c r="FC78" s="12">
        <f>VLOOKUP(A78,'Données projet'!$A$217:$I$237,9,0)</f>
        <v>4.2</v>
      </c>
      <c r="FD78" s="12">
        <f t="array" ref="FD78">INDEX(FC:FC,MIN(IF(ISNUMBER(FC78:FC274),ROW(FC78:FC274),"")))</f>
        <v>4.2</v>
      </c>
      <c r="FE78" s="12">
        <f>IF('Données projet'!$A$218&gt;35,FE77+FD78-FM77,IF(A78&lt;'Données projet'!$A$218,$FB$205^A78,IF(A78='Données projet'!$A$218,'Données projet'!$B$218,FE77+FD78-FM77)))</f>
        <v>323.99999999999989</v>
      </c>
      <c r="FF78" s="17">
        <f>FE78*VLOOKUP('Données projet'!$B$16,Paramètres!$A$1:$I$89,3,0)*VLOOKUP('Données projet'!$B$16,Paramètres!$A$1:$I$89,5,0)</f>
        <v>262.82879999999989</v>
      </c>
      <c r="FG78" s="13">
        <f t="shared" si="101"/>
        <v>63.324983518559428</v>
      </c>
      <c r="FH78" s="20">
        <f t="shared" si="76"/>
        <v>568.05117296149081</v>
      </c>
      <c r="FI78" s="57">
        <f t="shared" si="77"/>
        <v>845.10115219670854</v>
      </c>
      <c r="FJ78" s="57">
        <f ca="1">AVERAGE(OFFSET($FI$3,0,0,'Données projet'!$E$16+1,1))-AVERAGE(OFFSET($H$3,0,0,'Données projet'!$E$16+1,1))</f>
        <v>375.34603719604439</v>
      </c>
      <c r="FK78" s="57">
        <f t="shared" si="102"/>
        <v>363.99476973672211</v>
      </c>
      <c r="FL78" s="15">
        <f>IF(ISNA(VLOOKUP(A78,'Données projet'!$A$217:$I$237,3,0)),0,VLOOKUP(A78,'Données projet'!$A$217:$I$237,3,0))</f>
        <v>14</v>
      </c>
      <c r="FM78" s="15">
        <f>IF(ISNA(VLOOKUP(A78,'Données projet'!$A$217:$I$237,4,0)),0,VLOOKUP(A78,'Données projet'!$A$217:$I$237,4,0))</f>
        <v>12</v>
      </c>
      <c r="FN78" s="16">
        <f>IF(ISNA(VLOOKUP(A78,'Données projet'!$A$217:$I$237,5,0)),0%,VLOOKUP(A78,'Données projet'!$A$217:$I$237,5,0)*VLOOKUP('Données projet'!$B$16,Paramètres!$A$1:$I$89,7,0))</f>
        <v>0.42400000000000004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36.252950268199037</v>
      </c>
      <c r="FR78" s="21">
        <f>EXP(-LN(2)/25)*FR77+(1-EXP(-LN(2)/25))/(LN(2)/25)*Calculateur!FM78*Calculateur!FO78*VLOOKUP('Données projet'!$B$16,Paramètres!$A$1:$I$89,3,0)*0.475*44/12</f>
        <v>0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36.252950268199037</v>
      </c>
      <c r="FU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65.559085245968475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-1.1368683772161603E-13</v>
      </c>
      <c r="GA78" s="17">
        <f>FZ78*VLOOKUP('Données projet'!$B$17,Paramètres!$A$1:$I$89,3,0)*VLOOKUP('Données projet'!$B$17,Paramètres!$A$1:$I$89,5,0)</f>
        <v>-6.3550942286383367E-14</v>
      </c>
      <c r="GB78" s="13" t="e">
        <f t="shared" si="103"/>
        <v>#NUM!</v>
      </c>
      <c r="GC78" s="20" t="e">
        <f t="shared" si="79"/>
        <v>#NUM!</v>
      </c>
      <c r="GD78" s="57" t="e">
        <f t="shared" si="80"/>
        <v>#NUM!</v>
      </c>
      <c r="GE78" s="57">
        <f ca="1">AVERAGE(OFFSET($GD$3,0,0,'Données projet'!$E$17+1,1))-AVERAGE(OFFSET($H$3,0,0,'Données projet'!$E$17+1,1))</f>
        <v>414.47327143450701</v>
      </c>
      <c r="GF78" s="57">
        <f t="shared" si="104"/>
        <v>546.83385887302961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198.6916440593877</v>
      </c>
      <c r="GM78" s="21">
        <f>EXP(-LN(2)/25)*GM77+(1-EXP(-LN(2)/25))/(LN(2)/25)*Calculateur!GH78*Calculateur!GJ78*VLOOKUP('Données projet'!$B$17,Paramètres!$A$1:$I$89,3,0)*0.475*44/12</f>
        <v>35.566418259850465</v>
      </c>
      <c r="GN78" s="21">
        <f>EXP(-LN(2)/2)*GN77+(1-EXP(-LN(2)/2))/(LN(2)/2)*GH78*GK78*VLOOKUP('Données projet'!$B$17,Paramètres!$A$1:$I$89,3,0)*0.475*44/12</f>
        <v>2.8689594214920091E-2</v>
      </c>
      <c r="GO78" s="21">
        <f t="shared" si="81"/>
        <v>234.28675191345306</v>
      </c>
      <c r="GP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65.559085245968475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>
        <f>VLOOKUP(A78,'Données projet'!$A$269:$I$289,2,0)</f>
        <v>414</v>
      </c>
      <c r="GS78" s="12">
        <f>VLOOKUP(A78,'Données projet'!$A$269:$I$289,9,0)</f>
        <v>6.4</v>
      </c>
      <c r="GT78" s="12">
        <f t="array" ref="GT78">INDEX(GS:GS,MIN(IF(ISNUMBER(GS78:GS274),ROW(GS78:GS274),"")))</f>
        <v>6.4</v>
      </c>
      <c r="GU78" s="12">
        <f>IF('Données projet'!$A$270&gt;35,GU77+GT78-HC77,IF(A78&lt;'Données projet'!$A$270,$GR$205^A78,IF(A78='Données projet'!$A$270,'Données projet'!$B$270,GU77+GT78-HC77)))</f>
        <v>413.99999999999983</v>
      </c>
      <c r="GV78" s="17">
        <f>GU78*VLOOKUP('Données projet'!$B$18,Paramètres!$A$1:$I$89,3,0)*VLOOKUP('Données projet'!$B$18,Paramètres!$A$1:$I$89,5,0)</f>
        <v>226.0439999999999</v>
      </c>
      <c r="GW78" s="13">
        <f t="shared" si="105"/>
        <v>55.426440039423454</v>
      </c>
      <c r="GX78" s="20">
        <f t="shared" si="82"/>
        <v>490.22768306866232</v>
      </c>
      <c r="GY78" s="57">
        <f t="shared" si="83"/>
        <v>767.27766230388011</v>
      </c>
      <c r="GZ78" s="57">
        <f ca="1">AVERAGE(OFFSET($GY$3,0,0,'Données projet'!$E$18+1,1))-AVERAGE(OFFSET($H$3,0,0,'Données projet'!$E$18+1,1))</f>
        <v>381.00532469288714</v>
      </c>
      <c r="HA78" s="57">
        <f t="shared" si="106"/>
        <v>314.875259641757</v>
      </c>
      <c r="HB78" s="15">
        <f>IF(ISNA(VLOOKUP(A78,'Données projet'!$A$269:$I$289,3,0)),0,VLOOKUP(A78,'Données projet'!$A$269:$I$289,3,0))</f>
        <v>14</v>
      </c>
      <c r="HC78" s="15">
        <f>IF(ISNA(VLOOKUP(A78,'Données projet'!$A$269:$I$289,4,0)),0,VLOOKUP(A78,'Données projet'!$A$269:$I$289,4,0))</f>
        <v>19</v>
      </c>
      <c r="HD78" s="16">
        <f>IF(ISNA(VLOOKUP(A78,'Données projet'!$A$269:$I$289,5,0)),0%,VLOOKUP(A78,'Données projet'!$A$269:$I$289,5,0)*VLOOKUP('Données projet'!$B$18,Paramètres!$A$1:$I$89,7,0))</f>
        <v>0.48</v>
      </c>
      <c r="HE78" s="16">
        <f>IF(ISNA(VLOOKUP(A78,'Données projet'!$A$269:$I$289,6,0)),0%,VLOOKUP(A78,'Données projet'!$A$269:$I$289,6,0)*VLOOKUP('Données projet'!$B$18,Paramètres!$A$1:$I$89,7,0))</f>
        <v>6.6000000000000003E-2</v>
      </c>
      <c r="HF78" s="16">
        <f>IF(ISNA(VLOOKUP(A78,'Données projet'!$A$269:$I$289,7,0)),0%,VLOOKUP(A78,'Données projet'!$A$269:$I$289,7,0))</f>
        <v>0.09</v>
      </c>
      <c r="HG78" s="21">
        <f>EXP(-LN(2)/35)*HG77+(1-EXP(-LN(2)/35))/(LN(2)/35)*HC78*HD78*VLOOKUP('Données projet'!$B$18,Paramètres!$A$1:$I$89,3,0)*0.475*44/12</f>
        <v>53.750670894250277</v>
      </c>
      <c r="HH78" s="21">
        <f>EXP(-LN(2)/25)*HH77+(1-EXP(-LN(2)/25))/(LN(2)/25)*Calculateur!HC78*Calculateur!HE78*VLOOKUP('Données projet'!$B$18,Paramètres!$A$1:$I$89,3,0)*0.475*44/12</f>
        <v>19.491347500292626</v>
      </c>
      <c r="HI78" s="21">
        <f>EXP(-LN(2)/2)*HI77+(1-EXP(-LN(2)/2))/(LN(2)/2)*HC78*HF78*VLOOKUP('Données projet'!$B$18,Paramètres!$A$1:$I$89,3,0)*0.475*44/12</f>
        <v>1.4312331284786859</v>
      </c>
      <c r="HJ78" s="22">
        <f t="shared" si="84"/>
        <v>74.673251523021577</v>
      </c>
    </row>
    <row r="79" spans="1:218" x14ac:dyDescent="0.2">
      <c r="A79" s="10">
        <f t="shared" si="85"/>
        <v>76</v>
      </c>
      <c r="B79" s="71">
        <f>'Scénario référence'!$B$16*5+'Scénario référence'!$B$17*0+'Scénario référence'!$B$18*5</f>
        <v>3.3000000000000003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12.100000000000001</v>
      </c>
      <c r="H79" s="65">
        <f t="shared" si="56"/>
        <v>208.26666666666665</v>
      </c>
      <c r="I79" s="6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65.63612518855291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4.5999999999999996</v>
      </c>
      <c r="N79" s="13">
        <f>IF('Données projet'!$A$36&gt;35,N78+M79-V78,IF(A79&lt;'Données projet'!$A$36,$K$205^A79,IF(A79='Données projet'!$A$36,'Données projet'!$B$36,N78+M79-V78)))</f>
        <v>173.6</v>
      </c>
      <c r="O79" s="13">
        <f>N79*VLOOKUP('Données projet'!$B$9,Paramètres!$A$1:$I$89,3,0)*VLOOKUP('Données projet'!$B$9,Paramètres!$A$1:$I$89,5,0)</f>
        <v>176.03040000000001</v>
      </c>
      <c r="P79" s="13">
        <f t="shared" si="87"/>
        <v>44.437880346232944</v>
      </c>
      <c r="Q79" s="20">
        <f t="shared" si="54"/>
        <v>383.98225493635573</v>
      </c>
      <c r="R79" s="57">
        <f t="shared" si="55"/>
        <v>661.31471396104973</v>
      </c>
      <c r="S79" s="57">
        <f ca="1">AVERAGE(OFFSET($R$3,0,0,'Données projet'!$E$9+1,1))-AVERAGE(OFFSET($H$3,0,0,'Données projet'!$E$9+1,1))</f>
        <v>332.70145542047612</v>
      </c>
      <c r="T79" s="57">
        <f t="shared" si="88"/>
        <v>172.22433737900428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12.884340738873499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12.884340738873499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65.63612518855291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7.0711111111111098</v>
      </c>
      <c r="AI79" s="13">
        <f>IF('Données projet'!$A$62&gt;35,AI78+AH79-AQ78,IF(A79&lt;'Données projet'!$A$62,$AF$205^A79,IF(A79='Données projet'!$A$62,'Données projet'!$B$62,AI78+AH79-AQ78)))</f>
        <v>197.14111111111103</v>
      </c>
      <c r="AJ79" s="13">
        <f>AI79*VLOOKUP('Données projet'!$B$10,Paramètres!$A$1:$I$89,3,0)*VLOOKUP('Données projet'!$B$10,Paramètres!$A$1:$I$89,5,0)</f>
        <v>178.37327733333325</v>
      </c>
      <c r="AK79" s="13">
        <f t="shared" si="89"/>
        <v>44.960079342354881</v>
      </c>
      <c r="AL79" s="20">
        <f t="shared" si="58"/>
        <v>388.97226287682344</v>
      </c>
      <c r="AM79" s="57">
        <f t="shared" si="59"/>
        <v>666.3047219015175</v>
      </c>
      <c r="AN79" s="57">
        <f ca="1">AVERAGE(OFFSET($AM$3,0,0,'Données projet'!$E$10+1,1))-AVERAGE(OFFSET($H$3,0,0,'Données projet'!$E$10+1,1))</f>
        <v>469.4210143164521</v>
      </c>
      <c r="AO79" s="57">
        <f t="shared" si="90"/>
        <v>308.4508386530556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18.192616333441652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18.192616333441652</v>
      </c>
      <c r="AY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65.63612518855291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3.6</v>
      </c>
      <c r="BD79" s="12">
        <f>IF('Données projet'!$A$88&gt;35,BD78+BC79-BL78,IF(A79&lt;'Données projet'!$A$88,$BA$205^A79,IF(A79='Données projet'!$A$88,'Données projet'!$B$88,BD78+BC79-BL78)))</f>
        <v>315.59999999999991</v>
      </c>
      <c r="BE79" s="13">
        <f>BD79*VLOOKUP('Données projet'!$B$11,Paramètres!$A$1:$I$89,3,0)*VLOOKUP('Données projet'!$B$11,Paramètres!$A$1:$I$89,5,0)</f>
        <v>231.39791999999991</v>
      </c>
      <c r="BF79" s="13">
        <f t="shared" si="91"/>
        <v>56.584837838715806</v>
      </c>
      <c r="BG79" s="20">
        <f t="shared" si="61"/>
        <v>501.56996990242982</v>
      </c>
      <c r="BH79" s="57">
        <f t="shared" si="62"/>
        <v>778.90242892712376</v>
      </c>
      <c r="BI79" s="57">
        <f ca="1">AVERAGE(OFFSET($BH$3,0,0,'Données projet'!$E$11+1,1))-AVERAGE(OFFSET($H$3,0,0,'Données projet'!$E$11+1,1))</f>
        <v>344.32981377462971</v>
      </c>
      <c r="BJ79" s="57">
        <f t="shared" si="92"/>
        <v>334.42512656625763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26.063311735721534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26.063311735721534</v>
      </c>
      <c r="BT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65.63612518855291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7.6</v>
      </c>
      <c r="BY79" s="12">
        <f>IF('Données projet'!$A$114&gt;35,BY78+BX79-CG78,IF(A79&lt;'Données projet'!$A$114,$BV$205^A79,IF(A79='Données projet'!$A$114,'Données projet'!$B$114,BY78+BX79-CG78)))</f>
        <v>277.60000000000031</v>
      </c>
      <c r="BZ79" s="13">
        <f>BY79*VLOOKUP('Données projet'!$B$12,Paramètres!$A$1:$I$89,3,0)*VLOOKUP('Données projet'!$B$12,Paramètres!$A$1:$I$89,5,0)</f>
        <v>264.16416000000032</v>
      </c>
      <c r="CA79" s="13">
        <f t="shared" si="93"/>
        <v>63.609186092368439</v>
      </c>
      <c r="CB79" s="20">
        <f t="shared" si="64"/>
        <v>570.87191111087543</v>
      </c>
      <c r="CC79" s="57">
        <f t="shared" si="65"/>
        <v>848.20437013556943</v>
      </c>
      <c r="CD79" s="57">
        <f ca="1">AVERAGE(OFFSET($CC$3,0,0,'Données projet'!$E$12+1,1))-AVERAGE(OFFSET($H$3,0,0,'Données projet'!$E$12+1,1))</f>
        <v>498.77732039282807</v>
      </c>
      <c r="CE79" s="57">
        <f t="shared" si="94"/>
        <v>384.57317421826531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36.14290293662598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36.14290293662598</v>
      </c>
      <c r="CO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65.63612518855291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7.0711111111111098</v>
      </c>
      <c r="CT79" s="12">
        <f>IF('Données projet'!$A$140&gt;35,CT78+CS79-DB78,IF(A79&lt;'Données projet'!$A$140,$CQ$205^A79,IF(A79='Données projet'!$A$140,'Données projet'!$B$140,CT78+CS79-DB78)))</f>
        <v>197.14111111111103</v>
      </c>
      <c r="CU79" s="17">
        <f>CT79*VLOOKUP('Données projet'!$B$13,Paramètres!$A$1:$I$89,3,0)*VLOOKUP('Données projet'!$B$13,Paramètres!$A$1:$I$89,5,0)</f>
        <v>132.24225733333327</v>
      </c>
      <c r="CV79" s="13">
        <f t="shared" si="95"/>
        <v>34.513962365906593</v>
      </c>
      <c r="CW79" s="20">
        <f t="shared" si="67"/>
        <v>290.43374930950944</v>
      </c>
      <c r="CX79" s="57">
        <f t="shared" si="68"/>
        <v>567.76620833420338</v>
      </c>
      <c r="CY79" s="57">
        <f ca="1">AVERAGE(OFFSET($CX$3,0,0,'Données projet'!$E$13+1,1))-AVERAGE(OFFSET($H$3,0,0,'Données projet'!$E$13+1,1))</f>
        <v>365.99625753737246</v>
      </c>
      <c r="CZ79" s="57">
        <f t="shared" si="96"/>
        <v>242.84814712692287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16.62428733917945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16.62428733917945</v>
      </c>
      <c r="DJ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65.63612518855291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4.5999999999999996</v>
      </c>
      <c r="DO79" s="12">
        <f>IF('Données projet'!$A$166&gt;35,DO78+DN79-DW78,IF(A79&lt;'Données projet'!$A$166,$DL$205^A79,IF(A79='Données projet'!$A$166,'Données projet'!$B$166,DO78+DN79-DW78)))</f>
        <v>258.60000000000014</v>
      </c>
      <c r="DP79" s="17">
        <f>DO79*VLOOKUP('Données projet'!$B$14,Paramètres!$A$1:$I$89,3,0)*VLOOKUP('Données projet'!$B$14,Paramètres!$A$1:$I$89,5,0)</f>
        <v>169.43472000000008</v>
      </c>
      <c r="DQ79" s="13">
        <f t="shared" si="97"/>
        <v>42.963395138288874</v>
      </c>
      <c r="DR79" s="20">
        <f t="shared" si="70"/>
        <v>369.92671719918661</v>
      </c>
      <c r="DS79" s="57">
        <f t="shared" si="71"/>
        <v>647.25917622388056</v>
      </c>
      <c r="DT79" s="57">
        <f ca="1">AVERAGE(OFFSET($DS$3,0,0,'Données projet'!$E$14+1,1))-AVERAGE(OFFSET($H$3,0,0,'Données projet'!$E$14+1,1))</f>
        <v>313.79279628660527</v>
      </c>
      <c r="DU79" s="57">
        <f t="shared" si="98"/>
        <v>317.45469955216254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20.632063028068991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20.632063028068991</v>
      </c>
      <c r="EE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65.63612518855291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11.222222222222221</v>
      </c>
      <c r="EJ79" s="12">
        <f>IF('Données projet'!$A$192&gt;35,EJ78+EI79-ER78,IF(A79&lt;'Données projet'!$A$192,$EG$205^A79,IF(A79='Données projet'!$A$192,'Données projet'!$B$192,EJ78+EI79-ER78)))</f>
        <v>557.88888888888891</v>
      </c>
      <c r="EK79" s="17">
        <f>EJ79*VLOOKUP('Données projet'!$B$15,Paramètres!$A$1:$I$89,3,0)*VLOOKUP('Données projet'!$B$15,Paramètres!$A$1:$I$89,5,0)</f>
        <v>478.6686666666667</v>
      </c>
      <c r="EL79" s="13">
        <f t="shared" si="99"/>
        <v>107.55509561247612</v>
      </c>
      <c r="EM79" s="20">
        <f t="shared" si="73"/>
        <v>1021.0063859695071</v>
      </c>
      <c r="EN79" s="57">
        <f t="shared" si="74"/>
        <v>1298.3388449942011</v>
      </c>
      <c r="EO79" s="57">
        <f ca="1">AVERAGE(OFFSET($EN$3,0,0,'Données projet'!$E$15+1,1))-AVERAGE(OFFSET($H$3,0,0,'Données projet'!$E$15+1,1))</f>
        <v>643.04899298561475</v>
      </c>
      <c r="EP79" s="57">
        <f t="shared" si="100"/>
        <v>474.94999304483031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78.432800312482186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78.432800312482186</v>
      </c>
      <c r="EZ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65.63612518855291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3.6</v>
      </c>
      <c r="FE79" s="12">
        <f>IF('Données projet'!$A$218&gt;35,FE78+FD79-FM78,IF(A79&lt;'Données projet'!$A$218,$FB$205^A79,IF(A79='Données projet'!$A$218,'Données projet'!$B$218,FE78+FD79-FM78)))</f>
        <v>315.59999999999991</v>
      </c>
      <c r="FF79" s="17">
        <f>FE79*VLOOKUP('Données projet'!$B$16,Paramètres!$A$1:$I$89,3,0)*VLOOKUP('Données projet'!$B$16,Paramètres!$A$1:$I$89,5,0)</f>
        <v>256.01471999999995</v>
      </c>
      <c r="FG79" s="13">
        <f t="shared" si="101"/>
        <v>61.872115120174627</v>
      </c>
      <c r="FH79" s="20">
        <f t="shared" si="76"/>
        <v>553.65290450097075</v>
      </c>
      <c r="FI79" s="57">
        <f t="shared" si="77"/>
        <v>830.98536352566475</v>
      </c>
      <c r="FJ79" s="57">
        <f ca="1">AVERAGE(OFFSET($FI$3,0,0,'Données projet'!$E$16+1,1))-AVERAGE(OFFSET($H$3,0,0,'Données projet'!$E$16+1,1))</f>
        <v>375.34603719604439</v>
      </c>
      <c r="FK79" s="57">
        <f t="shared" si="102"/>
        <v>363.99476973672211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35.542052025555925</v>
      </c>
      <c r="FR79" s="21">
        <f>EXP(-LN(2)/25)*FR78+(1-EXP(-LN(2)/25))/(LN(2)/25)*Calculateur!FM79*Calculateur!FO79*VLOOKUP('Données projet'!$B$16,Paramètres!$A$1:$I$89,3,0)*0.475*44/12</f>
        <v>0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35.542052025555925</v>
      </c>
      <c r="FU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65.63612518855291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-1.1368683772161603E-13</v>
      </c>
      <c r="GA79" s="17">
        <f>FZ79*VLOOKUP('Données projet'!$B$17,Paramètres!$A$1:$I$89,3,0)*VLOOKUP('Données projet'!$B$17,Paramètres!$A$1:$I$89,5,0)</f>
        <v>-6.3550942286383367E-14</v>
      </c>
      <c r="GB79" s="13" t="e">
        <f t="shared" si="103"/>
        <v>#NUM!</v>
      </c>
      <c r="GC79" s="20" t="e">
        <f t="shared" si="79"/>
        <v>#NUM!</v>
      </c>
      <c r="GD79" s="57" t="e">
        <f t="shared" si="80"/>
        <v>#NUM!</v>
      </c>
      <c r="GE79" s="57">
        <f ca="1">AVERAGE(OFFSET($GD$3,0,0,'Données projet'!$E$17+1,1))-AVERAGE(OFFSET($H$3,0,0,'Données projet'!$E$17+1,1))</f>
        <v>414.47327143450701</v>
      </c>
      <c r="GF79" s="57">
        <f t="shared" si="104"/>
        <v>546.83385887302961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194.79542210931947</v>
      </c>
      <c r="GM79" s="21">
        <f>EXP(-LN(2)/25)*GM78+(1-EXP(-LN(2)/25))/(LN(2)/25)*Calculateur!GH79*Calculateur!GJ79*VLOOKUP('Données projet'!$B$17,Paramètres!$A$1:$I$89,3,0)*0.475*44/12</f>
        <v>34.593852682178209</v>
      </c>
      <c r="GN79" s="21">
        <f>EXP(-LN(2)/2)*GN78+(1-EXP(-LN(2)/2))/(LN(2)/2)*GH79*GK79*VLOOKUP('Données projet'!$B$17,Paramètres!$A$1:$I$89,3,0)*0.475*44/12</f>
        <v>2.028660661886034E-2</v>
      </c>
      <c r="GO79" s="21">
        <f t="shared" si="81"/>
        <v>229.40956139811655</v>
      </c>
      <c r="GP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65.63612518855291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5.6</v>
      </c>
      <c r="GU79" s="12">
        <f>IF('Données projet'!$A$270&gt;35,GU78+GT79-HC78,IF(A79&lt;'Données projet'!$A$270,$GR$205^A79,IF(A79='Données projet'!$A$270,'Données projet'!$B$270,GU78+GT79-HC78)))</f>
        <v>400.59999999999985</v>
      </c>
      <c r="GV79" s="17">
        <f>GU79*VLOOKUP('Données projet'!$B$18,Paramètres!$A$1:$I$89,3,0)*VLOOKUP('Données projet'!$B$18,Paramètres!$A$1:$I$89,5,0)</f>
        <v>218.72759999999991</v>
      </c>
      <c r="GW79" s="13">
        <f t="shared" si="105"/>
        <v>53.838242577515985</v>
      </c>
      <c r="GX79" s="20">
        <f t="shared" si="82"/>
        <v>474.7188424891736</v>
      </c>
      <c r="GY79" s="57">
        <f t="shared" si="83"/>
        <v>752.05130151386766</v>
      </c>
      <c r="GZ79" s="57">
        <f ca="1">AVERAGE(OFFSET($GY$3,0,0,'Données projet'!$E$18+1,1))-AVERAGE(OFFSET($H$3,0,0,'Données projet'!$E$18+1,1))</f>
        <v>381.00532469288714</v>
      </c>
      <c r="HA79" s="57">
        <f t="shared" si="106"/>
        <v>314.875259641757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>
        <f>EXP(-LN(2)/35)*HG78+(1-EXP(-LN(2)/35))/(LN(2)/35)*HC79*HD79*VLOOKUP('Données projet'!$B$18,Paramètres!$A$1:$I$89,3,0)*0.475*44/12</f>
        <v>52.696653022686057</v>
      </c>
      <c r="HH79" s="21">
        <f>EXP(-LN(2)/25)*HH78+(1-EXP(-LN(2)/25))/(LN(2)/25)*Calculateur!HC79*Calculateur!HE79*VLOOKUP('Données projet'!$B$18,Paramètres!$A$1:$I$89,3,0)*0.475*44/12</f>
        <v>18.958355577891709</v>
      </c>
      <c r="HI79" s="21">
        <f>EXP(-LN(2)/2)*HI78+(1-EXP(-LN(2)/2))/(LN(2)/2)*HC79*HF79*VLOOKUP('Données projet'!$B$18,Paramètres!$A$1:$I$89,3,0)*0.475*44/12</f>
        <v>1.012034650606116</v>
      </c>
      <c r="HJ79" s="22">
        <f t="shared" si="84"/>
        <v>72.66704325118387</v>
      </c>
    </row>
    <row r="80" spans="1:218" x14ac:dyDescent="0.2">
      <c r="A80" s="10">
        <f t="shared" si="85"/>
        <v>77</v>
      </c>
      <c r="B80" s="71">
        <f>'Scénario référence'!$B$16*5+'Scénario référence'!$B$17*0+'Scénario référence'!$B$18*5</f>
        <v>3.3000000000000003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12.100000000000001</v>
      </c>
      <c r="H80" s="65">
        <f t="shared" si="56"/>
        <v>208.26666666666665</v>
      </c>
      <c r="I80" s="6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65.711828660369022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4.5999999999999996</v>
      </c>
      <c r="N80" s="13">
        <f>IF('Données projet'!$A$36&gt;35,N79+M80-V79,IF(A80&lt;'Données projet'!$A$36,$K$205^A80,IF(A80='Données projet'!$A$36,'Données projet'!$B$36,N79+M80-V79)))</f>
        <v>178.2</v>
      </c>
      <c r="O80" s="13">
        <f>N80*VLOOKUP('Données projet'!$B$9,Paramètres!$A$1:$I$89,3,0)*VLOOKUP('Données projet'!$B$9,Paramètres!$A$1:$I$89,5,0)</f>
        <v>180.69480000000001</v>
      </c>
      <c r="P80" s="13">
        <f t="shared" si="87"/>
        <v>45.47673168866379</v>
      </c>
      <c r="Q80" s="20">
        <f t="shared" si="54"/>
        <v>393.91541769108943</v>
      </c>
      <c r="R80" s="57">
        <f t="shared" si="55"/>
        <v>671.5254561124425</v>
      </c>
      <c r="S80" s="57">
        <f ca="1">AVERAGE(OFFSET($R$3,0,0,'Données projet'!$E$9+1,1))-AVERAGE(OFFSET($H$3,0,0,'Données projet'!$E$9+1,1))</f>
        <v>332.70145542047612</v>
      </c>
      <c r="T80" s="57">
        <f t="shared" si="88"/>
        <v>172.22433737900428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12.631686675656061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12.631686675656061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65.711828660369022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7.0711111111111098</v>
      </c>
      <c r="AI80" s="13">
        <f>IF('Données projet'!$A$62&gt;35,AI79+AH80-AQ79,IF(A80&lt;'Données projet'!$A$62,$AF$205^A80,IF(A80='Données projet'!$A$62,'Données projet'!$B$62,AI79+AH80-AQ79)))</f>
        <v>204.21222222222215</v>
      </c>
      <c r="AJ80" s="13">
        <f>AI80*VLOOKUP('Données projet'!$B$10,Paramètres!$A$1:$I$89,3,0)*VLOOKUP('Données projet'!$B$10,Paramètres!$A$1:$I$89,5,0)</f>
        <v>184.77121866666658</v>
      </c>
      <c r="AK80" s="13">
        <f t="shared" si="89"/>
        <v>46.382072763296506</v>
      </c>
      <c r="AL80" s="20">
        <f t="shared" si="58"/>
        <v>402.59198257385236</v>
      </c>
      <c r="AM80" s="57">
        <f t="shared" si="59"/>
        <v>680.20202099520543</v>
      </c>
      <c r="AN80" s="57">
        <f ca="1">AVERAGE(OFFSET($AM$3,0,0,'Données projet'!$E$10+1,1))-AVERAGE(OFFSET($H$3,0,0,'Données projet'!$E$10+1,1))</f>
        <v>469.4210143164521</v>
      </c>
      <c r="AO80" s="57">
        <f t="shared" si="90"/>
        <v>308.4508386530556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17.835870223543147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17.835870223543147</v>
      </c>
      <c r="AY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65.711828660369022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3.6</v>
      </c>
      <c r="BD80" s="12">
        <f>IF('Données projet'!$A$88&gt;35,BD79+BC80-BL79,IF(A80&lt;'Données projet'!$A$88,$BA$205^A80,IF(A80='Données projet'!$A$88,'Données projet'!$B$88,BD79+BC80-BL79)))</f>
        <v>319.19999999999993</v>
      </c>
      <c r="BE80" s="13">
        <f>BD80*VLOOKUP('Données projet'!$B$11,Paramètres!$A$1:$I$89,3,0)*VLOOKUP('Données projet'!$B$11,Paramètres!$A$1:$I$89,5,0)</f>
        <v>234.03743999999998</v>
      </c>
      <c r="BF80" s="13">
        <f t="shared" si="91"/>
        <v>57.154784339928739</v>
      </c>
      <c r="BG80" s="20">
        <f t="shared" si="61"/>
        <v>507.15979072537579</v>
      </c>
      <c r="BH80" s="57">
        <f t="shared" si="62"/>
        <v>784.76982914672885</v>
      </c>
      <c r="BI80" s="57">
        <f ca="1">AVERAGE(OFFSET($BH$3,0,0,'Données projet'!$E$11+1,1))-AVERAGE(OFFSET($H$3,0,0,'Données projet'!$E$11+1,1))</f>
        <v>344.32981377462971</v>
      </c>
      <c r="BJ80" s="57">
        <f t="shared" si="92"/>
        <v>334.42512656625763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25.552226089634491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25.552226089634491</v>
      </c>
      <c r="BT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65.711828660369022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7.6</v>
      </c>
      <c r="BY80" s="12">
        <f>IF('Données projet'!$A$114&gt;35,BY79+BX80-CG79,IF(A80&lt;'Données projet'!$A$114,$BV$205^A80,IF(A80='Données projet'!$A$114,'Données projet'!$B$114,BY79+BX80-CG79)))</f>
        <v>285.20000000000033</v>
      </c>
      <c r="BZ80" s="13">
        <f>BY80*VLOOKUP('Données projet'!$B$12,Paramètres!$A$1:$I$89,3,0)*VLOOKUP('Données projet'!$B$12,Paramètres!$A$1:$I$89,5,0)</f>
        <v>271.39632000000034</v>
      </c>
      <c r="CA80" s="13">
        <f t="shared" si="93"/>
        <v>65.14551461171898</v>
      </c>
      <c r="CB80" s="20">
        <f t="shared" si="64"/>
        <v>586.14369528207772</v>
      </c>
      <c r="CC80" s="57">
        <f t="shared" si="65"/>
        <v>863.75373370343073</v>
      </c>
      <c r="CD80" s="57">
        <f ca="1">AVERAGE(OFFSET($CC$3,0,0,'Données projet'!$E$12+1,1))-AVERAGE(OFFSET($H$3,0,0,'Données projet'!$E$12+1,1))</f>
        <v>498.77732039282807</v>
      </c>
      <c r="CE80" s="57">
        <f t="shared" si="94"/>
        <v>384.57317421826531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35.434162655032772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35.434162655032772</v>
      </c>
      <c r="CO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65.711828660369022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7.0711111111111098</v>
      </c>
      <c r="CT80" s="12">
        <f>IF('Données projet'!$A$140&gt;35,CT79+CS80-DB79,IF(A80&lt;'Données projet'!$A$140,$CQ$205^A80,IF(A80='Données projet'!$A$140,'Données projet'!$B$140,CT79+CS80-DB79)))</f>
        <v>204.21222222222215</v>
      </c>
      <c r="CU80" s="17">
        <f>CT80*VLOOKUP('Données projet'!$B$13,Paramètres!$A$1:$I$89,3,0)*VLOOKUP('Données projet'!$B$13,Paramètres!$A$1:$I$89,5,0)</f>
        <v>136.98555866666661</v>
      </c>
      <c r="CV80" s="13">
        <f t="shared" si="95"/>
        <v>35.605566921166151</v>
      </c>
      <c r="CW80" s="20">
        <f t="shared" si="67"/>
        <v>300.59621039880869</v>
      </c>
      <c r="CX80" s="57">
        <f t="shared" si="68"/>
        <v>578.20624882016182</v>
      </c>
      <c r="CY80" s="57">
        <f ca="1">AVERAGE(OFFSET($CX$3,0,0,'Données projet'!$E$13+1,1))-AVERAGE(OFFSET($H$3,0,0,'Données projet'!$E$13+1,1))</f>
        <v>365.99625753737246</v>
      </c>
      <c r="CZ80" s="57">
        <f t="shared" si="96"/>
        <v>242.84814712692287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16.298295204272193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16.298295204272193</v>
      </c>
      <c r="DJ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65.711828660369022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4.5999999999999996</v>
      </c>
      <c r="DO80" s="12">
        <f>IF('Données projet'!$A$166&gt;35,DO79+DN80-DW79,IF(A80&lt;'Données projet'!$A$166,$DL$205^A80,IF(A80='Données projet'!$A$166,'Données projet'!$B$166,DO79+DN80-DW79)))</f>
        <v>263.20000000000016</v>
      </c>
      <c r="DP80" s="17">
        <f>DO80*VLOOKUP('Données projet'!$B$14,Paramètres!$A$1:$I$89,3,0)*VLOOKUP('Données projet'!$B$14,Paramètres!$A$1:$I$89,5,0)</f>
        <v>172.44864000000013</v>
      </c>
      <c r="DQ80" s="13">
        <f t="shared" si="97"/>
        <v>43.637980200453718</v>
      </c>
      <c r="DR80" s="20">
        <f t="shared" si="70"/>
        <v>376.35086351579042</v>
      </c>
      <c r="DS80" s="57">
        <f t="shared" si="71"/>
        <v>653.96090193714349</v>
      </c>
      <c r="DT80" s="57">
        <f ca="1">AVERAGE(OFFSET($DS$3,0,0,'Données projet'!$E$14+1,1))-AVERAGE(OFFSET($H$3,0,0,'Données projet'!$E$14+1,1))</f>
        <v>313.79279628660527</v>
      </c>
      <c r="DU80" s="57">
        <f t="shared" si="98"/>
        <v>317.45469955216254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20.227480856404409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20.227480856404409</v>
      </c>
      <c r="EE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65.711828660369022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11.222222222222221</v>
      </c>
      <c r="EJ80" s="12">
        <f>IF('Données projet'!$A$192&gt;35,EJ79+EI80-ER79,IF(A80&lt;'Données projet'!$A$192,$EG$205^A80,IF(A80='Données projet'!$A$192,'Données projet'!$B$192,EJ79+EI80-ER79)))</f>
        <v>569.11111111111109</v>
      </c>
      <c r="EK80" s="17">
        <f>EJ80*VLOOKUP('Données projet'!$B$15,Paramètres!$A$1:$I$89,3,0)*VLOOKUP('Données projet'!$B$15,Paramètres!$A$1:$I$89,5,0)</f>
        <v>488.29733333333337</v>
      </c>
      <c r="EL80" s="13">
        <f t="shared" si="99"/>
        <v>109.46456580947465</v>
      </c>
      <c r="EM80" s="20">
        <f t="shared" si="73"/>
        <v>1041.1019743403906</v>
      </c>
      <c r="EN80" s="57">
        <f t="shared" si="74"/>
        <v>1318.7120127617436</v>
      </c>
      <c r="EO80" s="57">
        <f ca="1">AVERAGE(OFFSET($EN$3,0,0,'Données projet'!$E$15+1,1))-AVERAGE(OFFSET($H$3,0,0,'Données projet'!$E$15+1,1))</f>
        <v>643.04899298561475</v>
      </c>
      <c r="EP80" s="57">
        <f t="shared" si="100"/>
        <v>474.94999304483031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76.89478093763887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76.89478093763887</v>
      </c>
      <c r="EZ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65.711828660369022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3.6</v>
      </c>
      <c r="FE80" s="12">
        <f>IF('Données projet'!$A$218&gt;35,FE79+FD80-FM79,IF(A80&lt;'Données projet'!$A$218,$FB$205^A80,IF(A80='Données projet'!$A$218,'Données projet'!$B$218,FE79+FD80-FM79)))</f>
        <v>319.19999999999993</v>
      </c>
      <c r="FF80" s="17">
        <f>FE80*VLOOKUP('Données projet'!$B$16,Paramètres!$A$1:$I$89,3,0)*VLOOKUP('Données projet'!$B$16,Paramètres!$A$1:$I$89,5,0)</f>
        <v>258.93503999999996</v>
      </c>
      <c r="FG80" s="13">
        <f t="shared" si="101"/>
        <v>62.495317322077135</v>
      </c>
      <c r="FH80" s="20">
        <f t="shared" si="76"/>
        <v>559.8245390026176</v>
      </c>
      <c r="FI80" s="57">
        <f t="shared" si="77"/>
        <v>837.43457742397072</v>
      </c>
      <c r="FJ80" s="57">
        <f ca="1">AVERAGE(OFFSET($FI$3,0,0,'Données projet'!$E$16+1,1))-AVERAGE(OFFSET($H$3,0,0,'Données projet'!$E$16+1,1))</f>
        <v>375.34603719604439</v>
      </c>
      <c r="FK80" s="57">
        <f t="shared" si="102"/>
        <v>363.99476973672211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34.845094063845934</v>
      </c>
      <c r="FR80" s="21">
        <f>EXP(-LN(2)/25)*FR79+(1-EXP(-LN(2)/25))/(LN(2)/25)*Calculateur!FM80*Calculateur!FO80*VLOOKUP('Données projet'!$B$16,Paramètres!$A$1:$I$89,3,0)*0.475*44/12</f>
        <v>0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34.845094063845934</v>
      </c>
      <c r="FU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65.711828660369022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-1.1368683772161603E-13</v>
      </c>
      <c r="GA80" s="17">
        <f>FZ80*VLOOKUP('Données projet'!$B$17,Paramètres!$A$1:$I$89,3,0)*VLOOKUP('Données projet'!$B$17,Paramètres!$A$1:$I$89,5,0)</f>
        <v>-6.3550942286383367E-14</v>
      </c>
      <c r="GB80" s="13" t="e">
        <f t="shared" si="103"/>
        <v>#NUM!</v>
      </c>
      <c r="GC80" s="20" t="e">
        <f t="shared" si="79"/>
        <v>#NUM!</v>
      </c>
      <c r="GD80" s="57" t="e">
        <f t="shared" si="80"/>
        <v>#NUM!</v>
      </c>
      <c r="GE80" s="57">
        <f ca="1">AVERAGE(OFFSET($GD$3,0,0,'Données projet'!$E$17+1,1))-AVERAGE(OFFSET($H$3,0,0,'Données projet'!$E$17+1,1))</f>
        <v>414.47327143450701</v>
      </c>
      <c r="GF80" s="57">
        <f t="shared" si="104"/>
        <v>546.83385887302961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190.97560269523134</v>
      </c>
      <c r="GM80" s="21">
        <f>EXP(-LN(2)/25)*GM79+(1-EXP(-LN(2)/25))/(LN(2)/25)*Calculateur!GH80*Calculateur!GJ80*VLOOKUP('Données projet'!$B$17,Paramètres!$A$1:$I$89,3,0)*0.475*44/12</f>
        <v>33.647881961372399</v>
      </c>
      <c r="GN80" s="21">
        <f>EXP(-LN(2)/2)*GN79+(1-EXP(-LN(2)/2))/(LN(2)/2)*GH80*GK80*VLOOKUP('Données projet'!$B$17,Paramètres!$A$1:$I$89,3,0)*0.475*44/12</f>
        <v>1.4344797107460045E-2</v>
      </c>
      <c r="GO80" s="21">
        <f t="shared" si="81"/>
        <v>224.63782945371122</v>
      </c>
      <c r="GP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65.711828660369022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5.6</v>
      </c>
      <c r="GU80" s="12">
        <f>IF('Données projet'!$A$270&gt;35,GU79+GT80-HC79,IF(A80&lt;'Données projet'!$A$270,$GR$205^A80,IF(A80='Données projet'!$A$270,'Données projet'!$B$270,GU79+GT80-HC79)))</f>
        <v>406.19999999999987</v>
      </c>
      <c r="GV80" s="17">
        <f>GU80*VLOOKUP('Données projet'!$B$18,Paramètres!$A$1:$I$89,3,0)*VLOOKUP('Données projet'!$B$18,Paramètres!$A$1:$I$89,5,0)</f>
        <v>221.78519999999992</v>
      </c>
      <c r="GW80" s="13">
        <f t="shared" si="105"/>
        <v>54.502707429741271</v>
      </c>
      <c r="GX80" s="20">
        <f t="shared" si="82"/>
        <v>481.2014387734659</v>
      </c>
      <c r="GY80" s="57">
        <f t="shared" si="83"/>
        <v>758.81147719481896</v>
      </c>
      <c r="GZ80" s="57">
        <f ca="1">AVERAGE(OFFSET($GY$3,0,0,'Données projet'!$E$18+1,1))-AVERAGE(OFFSET($H$3,0,0,'Données projet'!$E$18+1,1))</f>
        <v>381.00532469288714</v>
      </c>
      <c r="HA80" s="57">
        <f t="shared" si="106"/>
        <v>314.875259641757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>
        <f>EXP(-LN(2)/35)*HG79+(1-EXP(-LN(2)/35))/(LN(2)/35)*HC80*HD80*VLOOKUP('Données projet'!$B$18,Paramètres!$A$1:$I$89,3,0)*0.475*44/12</f>
        <v>51.663303798695793</v>
      </c>
      <c r="HH80" s="21">
        <f>EXP(-LN(2)/25)*HH79+(1-EXP(-LN(2)/25))/(LN(2)/25)*Calculateur!HC80*Calculateur!HE80*VLOOKUP('Données projet'!$B$18,Paramètres!$A$1:$I$89,3,0)*0.475*44/12</f>
        <v>18.439938347637671</v>
      </c>
      <c r="HI80" s="21">
        <f>EXP(-LN(2)/2)*HI79+(1-EXP(-LN(2)/2))/(LN(2)/2)*HC80*HF80*VLOOKUP('Données projet'!$B$18,Paramètres!$A$1:$I$89,3,0)*0.475*44/12</f>
        <v>0.71561656423934294</v>
      </c>
      <c r="HJ80" s="22">
        <f t="shared" si="84"/>
        <v>70.818858710572798</v>
      </c>
    </row>
    <row r="81" spans="1:218" x14ac:dyDescent="0.2">
      <c r="A81" s="10">
        <f t="shared" si="85"/>
        <v>78</v>
      </c>
      <c r="B81" s="71">
        <f>'Scénario référence'!$B$16*5+'Scénario référence'!$B$17*0+'Scénario référence'!$B$18*5</f>
        <v>3.3000000000000003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12.100000000000001</v>
      </c>
      <c r="H81" s="65">
        <f t="shared" si="56"/>
        <v>208.26666666666665</v>
      </c>
      <c r="I81" s="6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65.786218846196718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4.5999999999999996</v>
      </c>
      <c r="N81" s="13">
        <f>IF('Données projet'!$A$36&gt;35,N80+M81-V80,IF(A81&lt;'Données projet'!$A$36,$K$205^A81,IF(A81='Données projet'!$A$36,'Données projet'!$B$36,N80+M81-V80)))</f>
        <v>182.79999999999998</v>
      </c>
      <c r="O81" s="13">
        <f>N81*VLOOKUP('Données projet'!$B$9,Paramètres!$A$1:$I$89,3,0)*VLOOKUP('Données projet'!$B$9,Paramètres!$A$1:$I$89,5,0)</f>
        <v>185.35919999999999</v>
      </c>
      <c r="P81" s="13">
        <f t="shared" si="87"/>
        <v>46.512465899126433</v>
      </c>
      <c r="Q81" s="20">
        <f t="shared" si="54"/>
        <v>403.84315144097854</v>
      </c>
      <c r="R81" s="57">
        <f t="shared" si="55"/>
        <v>681.72595387703313</v>
      </c>
      <c r="S81" s="57">
        <f ca="1">AVERAGE(OFFSET($R$3,0,0,'Données projet'!$E$9+1,1))-AVERAGE(OFFSET($H$3,0,0,'Données projet'!$E$9+1,1))</f>
        <v>332.70145542047612</v>
      </c>
      <c r="T81" s="57">
        <f t="shared" si="88"/>
        <v>172.22433737900428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12.383987004514555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12.383987004514555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65.786218846196718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7.0711111111111098</v>
      </c>
      <c r="AI81" s="13">
        <f>IF('Données projet'!$A$62&gt;35,AI80+AH81-AQ80,IF(A81&lt;'Données projet'!$A$62,$AF$205^A81,IF(A81='Données projet'!$A$62,'Données projet'!$B$62,AI80+AH81-AQ80)))</f>
        <v>211.28333333333327</v>
      </c>
      <c r="AJ81" s="13">
        <f>AI81*VLOOKUP('Données projet'!$B$10,Paramètres!$A$1:$I$89,3,0)*VLOOKUP('Données projet'!$B$10,Paramètres!$A$1:$I$89,5,0)</f>
        <v>191.16915999999992</v>
      </c>
      <c r="AK81" s="13">
        <f t="shared" si="89"/>
        <v>47.798345166860187</v>
      </c>
      <c r="AL81" s="20">
        <f t="shared" si="58"/>
        <v>416.2017381656147</v>
      </c>
      <c r="AM81" s="57">
        <f t="shared" si="59"/>
        <v>694.08454060166935</v>
      </c>
      <c r="AN81" s="57">
        <f ca="1">AVERAGE(OFFSET($AM$3,0,0,'Données projet'!$E$10+1,1))-AVERAGE(OFFSET($H$3,0,0,'Données projet'!$E$10+1,1))</f>
        <v>469.4210143164521</v>
      </c>
      <c r="AO81" s="57">
        <f t="shared" si="90"/>
        <v>308.4508386530556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17.486119687266108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17.486119687266108</v>
      </c>
      <c r="AY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65.786218846196718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3.6</v>
      </c>
      <c r="BD81" s="12">
        <f>IF('Données projet'!$A$88&gt;35,BD80+BC81-BL80,IF(A81&lt;'Données projet'!$A$88,$BA$205^A81,IF(A81='Données projet'!$A$88,'Données projet'!$B$88,BD80+BC81-BL80)))</f>
        <v>322.79999999999995</v>
      </c>
      <c r="BE81" s="13">
        <f>BD81*VLOOKUP('Données projet'!$B$11,Paramètres!$A$1:$I$89,3,0)*VLOOKUP('Données projet'!$B$11,Paramètres!$A$1:$I$89,5,0)</f>
        <v>236.67695999999998</v>
      </c>
      <c r="BF81" s="13">
        <f t="shared" si="91"/>
        <v>57.723983099802702</v>
      </c>
      <c r="BG81" s="20">
        <f t="shared" si="61"/>
        <v>512.74830923215643</v>
      </c>
      <c r="BH81" s="57">
        <f t="shared" si="62"/>
        <v>790.63111166821113</v>
      </c>
      <c r="BI81" s="57">
        <f ca="1">AVERAGE(OFFSET($BH$3,0,0,'Données projet'!$E$11+1,1))-AVERAGE(OFFSET($H$3,0,0,'Données projet'!$E$11+1,1))</f>
        <v>344.32981377462971</v>
      </c>
      <c r="BJ81" s="57">
        <f t="shared" si="92"/>
        <v>334.42512656625763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25.051162521335751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25.051162521335751</v>
      </c>
      <c r="BT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65.786218846196718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7.6</v>
      </c>
      <c r="BY81" s="12">
        <f>IF('Données projet'!$A$114&gt;35,BY80+BX81-CG80,IF(A81&lt;'Données projet'!$A$114,$BV$205^A81,IF(A81='Données projet'!$A$114,'Données projet'!$B$114,BY80+BX81-CG80)))</f>
        <v>292.80000000000035</v>
      </c>
      <c r="BZ81" s="13">
        <f>BY81*VLOOKUP('Données projet'!$B$12,Paramètres!$A$1:$I$89,3,0)*VLOOKUP('Données projet'!$B$12,Paramètres!$A$1:$I$89,5,0)</f>
        <v>278.62848000000031</v>
      </c>
      <c r="CA81" s="13">
        <f t="shared" si="93"/>
        <v>66.677084499456754</v>
      </c>
      <c r="CB81" s="20">
        <f t="shared" si="64"/>
        <v>601.40719150322104</v>
      </c>
      <c r="CC81" s="57">
        <f t="shared" si="65"/>
        <v>879.28999393927575</v>
      </c>
      <c r="CD81" s="57">
        <f ca="1">AVERAGE(OFFSET($CC$3,0,0,'Données projet'!$E$12+1,1))-AVERAGE(OFFSET($H$3,0,0,'Données projet'!$E$12+1,1))</f>
        <v>498.77732039282807</v>
      </c>
      <c r="CE81" s="57">
        <f t="shared" si="94"/>
        <v>384.57317421826531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34.739320338072723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34.739320338072723</v>
      </c>
      <c r="CO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65.786218846196718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7.0711111111111098</v>
      </c>
      <c r="CT81" s="12">
        <f>IF('Données projet'!$A$140&gt;35,CT80+CS81-DB80,IF(A81&lt;'Données projet'!$A$140,$CQ$205^A81,IF(A81='Données projet'!$A$140,'Données projet'!$B$140,CT80+CS81-DB80)))</f>
        <v>211.28333333333327</v>
      </c>
      <c r="CU81" s="17">
        <f>CT81*VLOOKUP('Données projet'!$B$13,Paramètres!$A$1:$I$89,3,0)*VLOOKUP('Données projet'!$B$13,Paramètres!$A$1:$I$89,5,0)</f>
        <v>141.72885999999997</v>
      </c>
      <c r="CV81" s="13">
        <f t="shared" si="95"/>
        <v>36.692779691950122</v>
      </c>
      <c r="CW81" s="20">
        <f t="shared" si="67"/>
        <v>310.75102246347967</v>
      </c>
      <c r="CX81" s="57">
        <f t="shared" si="68"/>
        <v>588.63382489953437</v>
      </c>
      <c r="CY81" s="57">
        <f ca="1">AVERAGE(OFFSET($CX$3,0,0,'Données projet'!$E$13+1,1))-AVERAGE(OFFSET($H$3,0,0,'Données projet'!$E$13+1,1))</f>
        <v>365.99625753737246</v>
      </c>
      <c r="CZ81" s="57">
        <f t="shared" si="96"/>
        <v>242.84814712692287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15.9786955762949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15.9786955762949</v>
      </c>
      <c r="DJ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65.786218846196718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4.5999999999999996</v>
      </c>
      <c r="DO81" s="12">
        <f>IF('Données projet'!$A$166&gt;35,DO80+DN81-DW80,IF(A81&lt;'Données projet'!$A$166,$DL$205^A81,IF(A81='Données projet'!$A$166,'Données projet'!$B$166,DO80+DN81-DW80)))</f>
        <v>267.80000000000018</v>
      </c>
      <c r="DP81" s="17">
        <f>DO81*VLOOKUP('Données projet'!$B$14,Paramètres!$A$1:$I$89,3,0)*VLOOKUP('Données projet'!$B$14,Paramètres!$A$1:$I$89,5,0)</f>
        <v>175.46256000000011</v>
      </c>
      <c r="DQ81" s="13">
        <f t="shared" si="97"/>
        <v>44.311194244027092</v>
      </c>
      <c r="DR81" s="20">
        <f t="shared" si="70"/>
        <v>382.77262197501403</v>
      </c>
      <c r="DS81" s="57">
        <f t="shared" si="71"/>
        <v>660.65542441106868</v>
      </c>
      <c r="DT81" s="57">
        <f ca="1">AVERAGE(OFFSET($DS$3,0,0,'Données projet'!$E$14+1,1))-AVERAGE(OFFSET($H$3,0,0,'Données projet'!$E$14+1,1))</f>
        <v>313.79279628660527</v>
      </c>
      <c r="DU81" s="57">
        <f t="shared" si="98"/>
        <v>317.45469955216254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19.83083229435541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19.83083229435541</v>
      </c>
      <c r="EE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65.786218846196718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11.222222222222221</v>
      </c>
      <c r="EJ81" s="12">
        <f>IF('Données projet'!$A$192&gt;35,EJ80+EI81-ER80,IF(A81&lt;'Données projet'!$A$192,$EG$205^A81,IF(A81='Données projet'!$A$192,'Données projet'!$B$192,EJ80+EI81-ER80)))</f>
        <v>580.33333333333326</v>
      </c>
      <c r="EK81" s="17">
        <f>EJ81*VLOOKUP('Données projet'!$B$15,Paramètres!$A$1:$I$89,3,0)*VLOOKUP('Données projet'!$B$15,Paramètres!$A$1:$I$89,5,0)</f>
        <v>497.92600000000004</v>
      </c>
      <c r="EL81" s="13">
        <f t="shared" si="99"/>
        <v>111.36965797278296</v>
      </c>
      <c r="EM81" s="20">
        <f t="shared" si="73"/>
        <v>1061.1899376359304</v>
      </c>
      <c r="EN81" s="57">
        <f t="shared" si="74"/>
        <v>1339.072740071985</v>
      </c>
      <c r="EO81" s="57">
        <f ca="1">AVERAGE(OFFSET($EN$3,0,0,'Données projet'!$E$15+1,1))-AVERAGE(OFFSET($H$3,0,0,'Données projet'!$E$15+1,1))</f>
        <v>643.04899298561475</v>
      </c>
      <c r="EP81" s="57">
        <f t="shared" si="100"/>
        <v>474.94999304483031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75.386921184637032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75.386921184637032</v>
      </c>
      <c r="EZ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65.786218846196718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3.6</v>
      </c>
      <c r="FE81" s="12">
        <f>IF('Données projet'!$A$218&gt;35,FE80+FD81-FM80,IF(A81&lt;'Données projet'!$A$218,$FB$205^A81,IF(A81='Données projet'!$A$218,'Données projet'!$B$218,FE80+FD81-FM80)))</f>
        <v>322.79999999999995</v>
      </c>
      <c r="FF81" s="17">
        <f>FE81*VLOOKUP('Données projet'!$B$16,Paramètres!$A$1:$I$89,3,0)*VLOOKUP('Données projet'!$B$16,Paramètres!$A$1:$I$89,5,0)</f>
        <v>261.85536000000002</v>
      </c>
      <c r="FG81" s="13">
        <f t="shared" si="101"/>
        <v>63.117701913821712</v>
      </c>
      <c r="FH81" s="20">
        <f t="shared" si="76"/>
        <v>565.99474949990611</v>
      </c>
      <c r="FI81" s="57">
        <f t="shared" si="77"/>
        <v>843.87755193596081</v>
      </c>
      <c r="FJ81" s="57">
        <f ca="1">AVERAGE(OFFSET($FI$3,0,0,'Données projet'!$E$16+1,1))-AVERAGE(OFFSET($H$3,0,0,'Données projet'!$E$16+1,1))</f>
        <v>375.34603719604439</v>
      </c>
      <c r="FK81" s="57">
        <f t="shared" si="102"/>
        <v>363.99476973672211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34.161803022662696</v>
      </c>
      <c r="FR81" s="21">
        <f>EXP(-LN(2)/25)*FR80+(1-EXP(-LN(2)/25))/(LN(2)/25)*Calculateur!FM81*Calculateur!FO81*VLOOKUP('Données projet'!$B$16,Paramètres!$A$1:$I$89,3,0)*0.475*44/12</f>
        <v>0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34.161803022662696</v>
      </c>
      <c r="FU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65.786218846196718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-1.1368683772161603E-13</v>
      </c>
      <c r="GA81" s="17">
        <f>FZ81*VLOOKUP('Données projet'!$B$17,Paramètres!$A$1:$I$89,3,0)*VLOOKUP('Données projet'!$B$17,Paramètres!$A$1:$I$89,5,0)</f>
        <v>-6.3550942286383367E-14</v>
      </c>
      <c r="GB81" s="13" t="e">
        <f t="shared" si="103"/>
        <v>#NUM!</v>
      </c>
      <c r="GC81" s="20" t="e">
        <f t="shared" si="79"/>
        <v>#NUM!</v>
      </c>
      <c r="GD81" s="57" t="e">
        <f t="shared" si="80"/>
        <v>#NUM!</v>
      </c>
      <c r="GE81" s="57">
        <f ca="1">AVERAGE(OFFSET($GD$3,0,0,'Données projet'!$E$17+1,1))-AVERAGE(OFFSET($H$3,0,0,'Données projet'!$E$17+1,1))</f>
        <v>414.47327143450701</v>
      </c>
      <c r="GF81" s="57">
        <f t="shared" si="104"/>
        <v>546.83385887302961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187.23068760999371</v>
      </c>
      <c r="GM81" s="21">
        <f>EXP(-LN(2)/25)*GM80+(1-EXP(-LN(2)/25))/(LN(2)/25)*Calculateur!GH81*Calculateur!GJ81*VLOOKUP('Données projet'!$B$17,Paramètres!$A$1:$I$89,3,0)*0.475*44/12</f>
        <v>32.727778859673464</v>
      </c>
      <c r="GN81" s="21">
        <f>EXP(-LN(2)/2)*GN80+(1-EXP(-LN(2)/2))/(LN(2)/2)*GH81*GK81*VLOOKUP('Données projet'!$B$17,Paramètres!$A$1:$I$89,3,0)*0.475*44/12</f>
        <v>1.014330330943017E-2</v>
      </c>
      <c r="GO81" s="21">
        <f t="shared" si="81"/>
        <v>219.96860977297661</v>
      </c>
      <c r="GP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65.786218846196718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5.6</v>
      </c>
      <c r="GU81" s="12">
        <f>IF('Données projet'!$A$270&gt;35,GU80+GT81-HC80,IF(A81&lt;'Données projet'!$A$270,$GR$205^A81,IF(A81='Données projet'!$A$270,'Données projet'!$B$270,GU80+GT81-HC80)))</f>
        <v>411.7999999999999</v>
      </c>
      <c r="GV81" s="17">
        <f>GU81*VLOOKUP('Données projet'!$B$18,Paramètres!$A$1:$I$89,3,0)*VLOOKUP('Données projet'!$B$18,Paramètres!$A$1:$I$89,5,0)</f>
        <v>224.84279999999995</v>
      </c>
      <c r="GW81" s="13">
        <f t="shared" si="105"/>
        <v>55.166106816855368</v>
      </c>
      <c r="GX81" s="20">
        <f t="shared" si="82"/>
        <v>487.68217937268969</v>
      </c>
      <c r="GY81" s="57">
        <f t="shared" si="83"/>
        <v>765.56498180874428</v>
      </c>
      <c r="GZ81" s="57">
        <f ca="1">AVERAGE(OFFSET($GY$3,0,0,'Données projet'!$E$18+1,1))-AVERAGE(OFFSET($H$3,0,0,'Données projet'!$E$18+1,1))</f>
        <v>381.00532469288714</v>
      </c>
      <c r="HA81" s="57">
        <f t="shared" si="106"/>
        <v>314.875259641757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>
        <f>EXP(-LN(2)/35)*HG80+(1-EXP(-LN(2)/35))/(LN(2)/35)*HC81*HD81*VLOOKUP('Données projet'!$B$18,Paramètres!$A$1:$I$89,3,0)*0.475*44/12</f>
        <v>50.650217922707185</v>
      </c>
      <c r="HH81" s="21">
        <f>EXP(-LN(2)/25)*HH80+(1-EXP(-LN(2)/25))/(LN(2)/25)*Calculateur!HC81*Calculateur!HE81*VLOOKUP('Données projet'!$B$18,Paramètres!$A$1:$I$89,3,0)*0.475*44/12</f>
        <v>17.935697263807306</v>
      </c>
      <c r="HI81" s="21">
        <f>EXP(-LN(2)/2)*HI80+(1-EXP(-LN(2)/2))/(LN(2)/2)*HC81*HF81*VLOOKUP('Données projet'!$B$18,Paramètres!$A$1:$I$89,3,0)*0.475*44/12</f>
        <v>0.50601732530305799</v>
      </c>
      <c r="HJ81" s="22">
        <f t="shared" si="84"/>
        <v>69.091932511817546</v>
      </c>
    </row>
    <row r="82" spans="1:218" x14ac:dyDescent="0.2">
      <c r="A82" s="10">
        <f t="shared" si="85"/>
        <v>79</v>
      </c>
      <c r="B82" s="71">
        <f>'Scénario référence'!$B$16*5+'Scénario référence'!$B$17*0+'Scénario référence'!$B$18*5</f>
        <v>3.3000000000000003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12.100000000000001</v>
      </c>
      <c r="H82" s="65">
        <f t="shared" si="56"/>
        <v>208.26666666666665</v>
      </c>
      <c r="I82" s="6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65.859318528611865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4.5999999999999996</v>
      </c>
      <c r="N82" s="13">
        <f>IF('Données projet'!$A$36&gt;35,N81+M82-V81,IF(A82&lt;'Données projet'!$A$36,$K$205^A82,IF(A82='Données projet'!$A$36,'Données projet'!$B$36,N81+M82-V81)))</f>
        <v>187.39999999999998</v>
      </c>
      <c r="O82" s="13">
        <f>N82*VLOOKUP('Données projet'!$B$9,Paramètres!$A$1:$I$89,3,0)*VLOOKUP('Données projet'!$B$9,Paramètres!$A$1:$I$89,5,0)</f>
        <v>190.02359999999999</v>
      </c>
      <c r="P82" s="13">
        <f t="shared" si="87"/>
        <v>47.545170438433438</v>
      </c>
      <c r="Q82" s="20">
        <f t="shared" si="54"/>
        <v>413.76560851360483</v>
      </c>
      <c r="R82" s="57">
        <f t="shared" si="55"/>
        <v>691.91644311851496</v>
      </c>
      <c r="S82" s="57">
        <f ca="1">AVERAGE(OFFSET($R$3,0,0,'Données projet'!$E$9+1,1))-AVERAGE(OFFSET($H$3,0,0,'Données projet'!$E$9+1,1))</f>
        <v>332.70145542047612</v>
      </c>
      <c r="T82" s="57">
        <f t="shared" si="88"/>
        <v>172.22433737900428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12.141144572842252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12.141144572842252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65.859318528611865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7.0711111111111098</v>
      </c>
      <c r="AI82" s="13">
        <f>IF('Données projet'!$A$62&gt;35,AI81+AH82-AQ81,IF(A82&lt;'Données projet'!$A$62,$AF$205^A82,IF(A82='Données projet'!$A$62,'Données projet'!$B$62,AI81+AH82-AQ81)))</f>
        <v>218.3544444444444</v>
      </c>
      <c r="AJ82" s="13">
        <f>AI82*VLOOKUP('Données projet'!$B$10,Paramètres!$A$1:$I$89,3,0)*VLOOKUP('Données projet'!$B$10,Paramètres!$A$1:$I$89,5,0)</f>
        <v>197.56710133333328</v>
      </c>
      <c r="AK82" s="13">
        <f t="shared" si="89"/>
        <v>49.209109972785043</v>
      </c>
      <c r="AL82" s="20">
        <f t="shared" si="58"/>
        <v>429.8019013581561</v>
      </c>
      <c r="AM82" s="57">
        <f t="shared" si="59"/>
        <v>707.95273596306629</v>
      </c>
      <c r="AN82" s="57">
        <f ca="1">AVERAGE(OFFSET($AM$3,0,0,'Données projet'!$E$10+1,1))-AVERAGE(OFFSET($H$3,0,0,'Données projet'!$E$10+1,1))</f>
        <v>469.4210143164521</v>
      </c>
      <c r="AO82" s="57">
        <f t="shared" si="90"/>
        <v>308.4508386530556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17.143227545678698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17.143227545678698</v>
      </c>
      <c r="AY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65.859318528611865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3.6</v>
      </c>
      <c r="BD82" s="12">
        <f>IF('Données projet'!$A$88&gt;35,BD81+BC82-BL81,IF(A82&lt;'Données projet'!$A$88,$BA$205^A82,IF(A82='Données projet'!$A$88,'Données projet'!$B$88,BD81+BC82-BL81)))</f>
        <v>326.39999999999998</v>
      </c>
      <c r="BE82" s="13">
        <f>BD82*VLOOKUP('Données projet'!$B$11,Paramètres!$A$1:$I$89,3,0)*VLOOKUP('Données projet'!$B$11,Paramètres!$A$1:$I$89,5,0)</f>
        <v>239.31647999999998</v>
      </c>
      <c r="BF82" s="13">
        <f t="shared" si="91"/>
        <v>58.292443422481945</v>
      </c>
      <c r="BG82" s="20">
        <f t="shared" si="61"/>
        <v>518.33554162748942</v>
      </c>
      <c r="BH82" s="57">
        <f t="shared" si="62"/>
        <v>796.48637623239961</v>
      </c>
      <c r="BI82" s="57">
        <f ca="1">AVERAGE(OFFSET($BH$3,0,0,'Données projet'!$E$11+1,1))-AVERAGE(OFFSET($H$3,0,0,'Données projet'!$E$11+1,1))</f>
        <v>344.32981377462971</v>
      </c>
      <c r="BJ82" s="57">
        <f t="shared" si="92"/>
        <v>334.42512656625763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24.55992450399275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24.55992450399275</v>
      </c>
      <c r="BT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65.859318528611865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7.6</v>
      </c>
      <c r="BY82" s="12">
        <f>IF('Données projet'!$A$114&gt;35,BY81+BX82-CG81,IF(A82&lt;'Données projet'!$A$114,$BV$205^A82,IF(A82='Données projet'!$A$114,'Données projet'!$B$114,BY81+BX82-CG81)))</f>
        <v>300.40000000000038</v>
      </c>
      <c r="BZ82" s="13">
        <f>BY82*VLOOKUP('Données projet'!$B$12,Paramètres!$A$1:$I$89,3,0)*VLOOKUP('Données projet'!$B$12,Paramètres!$A$1:$I$89,5,0)</f>
        <v>285.86064000000039</v>
      </c>
      <c r="CA82" s="13">
        <f t="shared" si="93"/>
        <v>68.204033472482308</v>
      </c>
      <c r="CB82" s="20">
        <f t="shared" si="64"/>
        <v>616.66263963124072</v>
      </c>
      <c r="CC82" s="57">
        <f t="shared" si="65"/>
        <v>894.81347423615091</v>
      </c>
      <c r="CD82" s="57">
        <f ca="1">AVERAGE(OFFSET($CC$3,0,0,'Données projet'!$E$12+1,1))-AVERAGE(OFFSET($H$3,0,0,'Données projet'!$E$12+1,1))</f>
        <v>498.77732039282807</v>
      </c>
      <c r="CE82" s="57">
        <f t="shared" si="94"/>
        <v>384.57317421826531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34.05810345513629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34.05810345513629</v>
      </c>
      <c r="CO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65.859318528611865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7.0711111111111098</v>
      </c>
      <c r="CT82" s="12">
        <f>IF('Données projet'!$A$140&gt;35,CT81+CS82-DB81,IF(A82&lt;'Données projet'!$A$140,$CQ$205^A82,IF(A82='Données projet'!$A$140,'Données projet'!$B$140,CT81+CS82-DB81)))</f>
        <v>218.3544444444444</v>
      </c>
      <c r="CU82" s="17">
        <f>CT82*VLOOKUP('Données projet'!$B$13,Paramètres!$A$1:$I$89,3,0)*VLOOKUP('Données projet'!$B$13,Paramètres!$A$1:$I$89,5,0)</f>
        <v>146.4721613333333</v>
      </c>
      <c r="CV82" s="13">
        <f t="shared" si="95"/>
        <v>37.775764511618057</v>
      </c>
      <c r="CW82" s="20">
        <f t="shared" si="67"/>
        <v>320.89847084662364</v>
      </c>
      <c r="CX82" s="57">
        <f t="shared" si="68"/>
        <v>599.04930545153388</v>
      </c>
      <c r="CY82" s="57">
        <f ca="1">AVERAGE(OFFSET($CX$3,0,0,'Données projet'!$E$13+1,1))-AVERAGE(OFFSET($H$3,0,0,'Données projet'!$E$13+1,1))</f>
        <v>365.99625753737246</v>
      </c>
      <c r="CZ82" s="57">
        <f t="shared" si="96"/>
        <v>242.84814712692287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15.665363102085717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15.665363102085717</v>
      </c>
      <c r="DJ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65.859318528611865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4.5999999999999996</v>
      </c>
      <c r="DO82" s="12">
        <f>IF('Données projet'!$A$166&gt;35,DO81+DN82-DW81,IF(A82&lt;'Données projet'!$A$166,$DL$205^A82,IF(A82='Données projet'!$A$166,'Données projet'!$B$166,DO81+DN82-DW81)))</f>
        <v>272.4000000000002</v>
      </c>
      <c r="DP82" s="17">
        <f>DO82*VLOOKUP('Données projet'!$B$14,Paramètres!$A$1:$I$89,3,0)*VLOOKUP('Données projet'!$B$14,Paramètres!$A$1:$I$89,5,0)</f>
        <v>178.47648000000015</v>
      </c>
      <c r="DQ82" s="13">
        <f t="shared" si="97"/>
        <v>44.983063536547988</v>
      </c>
      <c r="DR82" s="20">
        <f t="shared" si="70"/>
        <v>389.19203832615466</v>
      </c>
      <c r="DS82" s="57">
        <f t="shared" si="71"/>
        <v>667.3428729310649</v>
      </c>
      <c r="DT82" s="57">
        <f ca="1">AVERAGE(OFFSET($DS$3,0,0,'Données projet'!$E$14+1,1))-AVERAGE(OFFSET($H$3,0,0,'Données projet'!$E$14+1,1))</f>
        <v>313.79279628660527</v>
      </c>
      <c r="DU82" s="57">
        <f t="shared" si="98"/>
        <v>317.45469955216254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19.441961768676457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19.441961768676457</v>
      </c>
      <c r="EE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65.859318528611865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11.222222222222221</v>
      </c>
      <c r="EJ82" s="12">
        <f>IF('Données projet'!$A$192&gt;35,EJ81+EI82-ER81,IF(A82&lt;'Données projet'!$A$192,$EG$205^A82,IF(A82='Données projet'!$A$192,'Données projet'!$B$192,EJ81+EI82-ER81)))</f>
        <v>591.55555555555543</v>
      </c>
      <c r="EK82" s="17">
        <f>EJ82*VLOOKUP('Données projet'!$B$15,Paramètres!$A$1:$I$89,3,0)*VLOOKUP('Données projet'!$B$15,Paramètres!$A$1:$I$89,5,0)</f>
        <v>507.55466666666661</v>
      </c>
      <c r="EL82" s="13">
        <f t="shared" si="99"/>
        <v>113.27046652288132</v>
      </c>
      <c r="EM82" s="20">
        <f t="shared" si="73"/>
        <v>1081.2704403051293</v>
      </c>
      <c r="EN82" s="57">
        <f t="shared" si="74"/>
        <v>1359.4212749100395</v>
      </c>
      <c r="EO82" s="57">
        <f ca="1">AVERAGE(OFFSET($EN$3,0,0,'Données projet'!$E$15+1,1))-AVERAGE(OFFSET($H$3,0,0,'Données projet'!$E$15+1,1))</f>
        <v>643.04899298561475</v>
      </c>
      <c r="EP82" s="57">
        <f t="shared" si="100"/>
        <v>474.94999304483031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73.908629641687924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73.908629641687924</v>
      </c>
      <c r="EZ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65.859318528611865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3.6</v>
      </c>
      <c r="FE82" s="12">
        <f>IF('Données projet'!$A$218&gt;35,FE81+FD82-FM81,IF(A82&lt;'Données projet'!$A$218,$FB$205^A82,IF(A82='Données projet'!$A$218,'Données projet'!$B$218,FE81+FD82-FM81)))</f>
        <v>326.39999999999998</v>
      </c>
      <c r="FF82" s="17">
        <f>FE82*VLOOKUP('Données projet'!$B$16,Paramètres!$A$1:$I$89,3,0)*VLOOKUP('Données projet'!$B$16,Paramètres!$A$1:$I$89,5,0)</f>
        <v>264.77567999999997</v>
      </c>
      <c r="FG82" s="13">
        <f t="shared" si="101"/>
        <v>63.739279068930159</v>
      </c>
      <c r="FH82" s="20">
        <f t="shared" si="76"/>
        <v>572.16355371171983</v>
      </c>
      <c r="FI82" s="57">
        <f t="shared" si="77"/>
        <v>850.31438831663002</v>
      </c>
      <c r="FJ82" s="57">
        <f ca="1">AVERAGE(OFFSET($FI$3,0,0,'Données projet'!$E$16+1,1))-AVERAGE(OFFSET($H$3,0,0,'Données projet'!$E$16+1,1))</f>
        <v>375.34603719604439</v>
      </c>
      <c r="FK82" s="57">
        <f t="shared" si="102"/>
        <v>363.99476973672211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33.491910902030675</v>
      </c>
      <c r="FR82" s="21">
        <f>EXP(-LN(2)/25)*FR81+(1-EXP(-LN(2)/25))/(LN(2)/25)*Calculateur!FM82*Calculateur!FO82*VLOOKUP('Données projet'!$B$16,Paramètres!$A$1:$I$89,3,0)*0.475*44/12</f>
        <v>0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33.491910902030675</v>
      </c>
      <c r="FU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65.859318528611865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-1.1368683772161603E-13</v>
      </c>
      <c r="GA82" s="17">
        <f>FZ82*VLOOKUP('Données projet'!$B$17,Paramètres!$A$1:$I$89,3,0)*VLOOKUP('Données projet'!$B$17,Paramètres!$A$1:$I$89,5,0)</f>
        <v>-6.3550942286383367E-14</v>
      </c>
      <c r="GB82" s="13" t="e">
        <f t="shared" si="103"/>
        <v>#NUM!</v>
      </c>
      <c r="GC82" s="20" t="e">
        <f t="shared" si="79"/>
        <v>#NUM!</v>
      </c>
      <c r="GD82" s="57" t="e">
        <f t="shared" si="80"/>
        <v>#NUM!</v>
      </c>
      <c r="GE82" s="57">
        <f ca="1">AVERAGE(OFFSET($GD$3,0,0,'Données projet'!$E$17+1,1))-AVERAGE(OFFSET($H$3,0,0,'Données projet'!$E$17+1,1))</f>
        <v>414.47327143450701</v>
      </c>
      <c r="GF82" s="57">
        <f t="shared" si="104"/>
        <v>546.83385887302961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183.55920802540493</v>
      </c>
      <c r="GM82" s="21">
        <f>EXP(-LN(2)/25)*GM81+(1-EXP(-LN(2)/25))/(LN(2)/25)*Calculateur!GH82*Calculateur!GJ82*VLOOKUP('Données projet'!$B$17,Paramètres!$A$1:$I$89,3,0)*0.475*44/12</f>
        <v>31.832836025676603</v>
      </c>
      <c r="GN82" s="21">
        <f>EXP(-LN(2)/2)*GN81+(1-EXP(-LN(2)/2))/(LN(2)/2)*GH82*GK82*VLOOKUP('Données projet'!$B$17,Paramètres!$A$1:$I$89,3,0)*0.475*44/12</f>
        <v>7.1723985537300227E-3</v>
      </c>
      <c r="GO82" s="21">
        <f t="shared" si="81"/>
        <v>215.39921644963528</v>
      </c>
      <c r="GP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65.859318528611865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5.6</v>
      </c>
      <c r="GU82" s="12">
        <f>IF('Données projet'!$A$270&gt;35,GU81+GT82-HC81,IF(A82&lt;'Données projet'!$A$270,$GR$205^A82,IF(A82='Données projet'!$A$270,'Données projet'!$B$270,GU81+GT82-HC81)))</f>
        <v>417.39999999999992</v>
      </c>
      <c r="GV82" s="17">
        <f>GU82*VLOOKUP('Données projet'!$B$18,Paramètres!$A$1:$I$89,3,0)*VLOOKUP('Données projet'!$B$18,Paramètres!$A$1:$I$89,5,0)</f>
        <v>227.90039999999996</v>
      </c>
      <c r="GW82" s="13">
        <f t="shared" si="105"/>
        <v>55.828456902678255</v>
      </c>
      <c r="GX82" s="20">
        <f t="shared" si="82"/>
        <v>494.16109243883125</v>
      </c>
      <c r="GY82" s="57">
        <f t="shared" si="83"/>
        <v>772.31192704374143</v>
      </c>
      <c r="GZ82" s="57">
        <f ca="1">AVERAGE(OFFSET($GY$3,0,0,'Données projet'!$E$18+1,1))-AVERAGE(OFFSET($H$3,0,0,'Données projet'!$E$18+1,1))</f>
        <v>381.00532469288714</v>
      </c>
      <c r="HA82" s="57">
        <f t="shared" si="106"/>
        <v>314.875259641757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>
        <f>EXP(-LN(2)/35)*HG81+(1-EXP(-LN(2)/35))/(LN(2)/35)*HC82*HD82*VLOOKUP('Données projet'!$B$18,Paramètres!$A$1:$I$89,3,0)*0.475*44/12</f>
        <v>49.656998042825343</v>
      </c>
      <c r="HH82" s="21">
        <f>EXP(-LN(2)/25)*HH81+(1-EXP(-LN(2)/25))/(LN(2)/25)*Calculateur!HC82*Calculateur!HE82*VLOOKUP('Données projet'!$B$18,Paramètres!$A$1:$I$89,3,0)*0.475*44/12</f>
        <v>17.445244678931168</v>
      </c>
      <c r="HI82" s="21">
        <f>EXP(-LN(2)/2)*HI81+(1-EXP(-LN(2)/2))/(LN(2)/2)*HC82*HF82*VLOOKUP('Données projet'!$B$18,Paramètres!$A$1:$I$89,3,0)*0.475*44/12</f>
        <v>0.35780828211967147</v>
      </c>
      <c r="HJ82" s="22">
        <f t="shared" si="84"/>
        <v>67.460051003876188</v>
      </c>
    </row>
    <row r="83" spans="1:218" x14ac:dyDescent="0.2">
      <c r="A83" s="10">
        <f t="shared" si="85"/>
        <v>80</v>
      </c>
      <c r="B83" s="71">
        <f>'Scénario référence'!$B$16*5+'Scénario référence'!$B$17*0+'Scénario référence'!$B$18*5</f>
        <v>3.3000000000000003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12.100000000000001</v>
      </c>
      <c r="H83" s="65">
        <f t="shared" si="56"/>
        <v>208.26666666666665</v>
      </c>
      <c r="I83" s="6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65.931150094963499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192</v>
      </c>
      <c r="L83" s="12">
        <f>VLOOKUP(A83,'Données projet'!$A$35:$I$55,9,0)</f>
        <v>4.5999999999999996</v>
      </c>
      <c r="M83" s="12">
        <f t="array" ref="M83">INDEX(L:L,MIN(IF(ISNUMBER(L83:L279),ROW(L83:L279),"")))</f>
        <v>4.5999999999999996</v>
      </c>
      <c r="N83" s="13">
        <f>IF('Données projet'!$A$36&gt;35,N82+M83-V82,IF(A83&lt;'Données projet'!$A$36,$K$205^A83,IF(A83='Données projet'!$A$36,'Données projet'!$B$36,N82+M83-V82)))</f>
        <v>191.99999999999997</v>
      </c>
      <c r="O83" s="13">
        <f>N83*VLOOKUP('Données projet'!$B$9,Paramètres!$A$1:$I$89,3,0)*VLOOKUP('Données projet'!$B$9,Paramètres!$A$1:$I$89,5,0)</f>
        <v>194.68799999999999</v>
      </c>
      <c r="P83" s="13">
        <f t="shared" si="87"/>
        <v>48.574928228914978</v>
      </c>
      <c r="Q83" s="20">
        <f t="shared" si="54"/>
        <v>423.68293333202695</v>
      </c>
      <c r="R83" s="57">
        <f t="shared" si="55"/>
        <v>702.09715034689316</v>
      </c>
      <c r="S83" s="57">
        <f ca="1">AVERAGE(OFFSET($R$3,0,0,'Données projet'!$E$9+1,1))-AVERAGE(OFFSET($H$3,0,0,'Données projet'!$E$9+1,1))</f>
        <v>332.70145542047612</v>
      </c>
      <c r="T83" s="57">
        <f t="shared" si="88"/>
        <v>172.22433737900428</v>
      </c>
      <c r="U83" s="15">
        <f>IF(ISNA(VLOOKUP(A83,'Données projet'!$A$35:$I$55,3,0)),0,VLOOKUP(A83,'Données projet'!$A$35:$I$55,3,0))</f>
        <v>12</v>
      </c>
      <c r="V83" s="15">
        <f>IF(ISNA(VLOOKUP(A83,'Données projet'!$A$35:$I$55,4,0)),0,VLOOKUP(A83,'Données projet'!$A$35:$I$55,4,0))</f>
        <v>14</v>
      </c>
      <c r="W83" s="16">
        <f>IF(ISNA(VLOOKUP(A83,'Données projet'!$A$35:$I$55,5,0)),0%,VLOOKUP(A83,'Données projet'!$A$35:$I$55,5,0)*VLOOKUP('Données projet'!$B$9,Paramètres!$A$1:$I$89,7,0))</f>
        <v>0.215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15.277114497323485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15.277114497323485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65.931150094963499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7.0711111111111098</v>
      </c>
      <c r="AI83" s="13">
        <f>IF('Données projet'!$A$62&gt;35,AI82+AH83-AQ82,IF(A83&lt;'Données projet'!$A$62,$AF$205^A83,IF(A83='Données projet'!$A$62,'Données projet'!$B$62,AI82+AH83-AQ82)))</f>
        <v>225.42555555555552</v>
      </c>
      <c r="AJ83" s="13">
        <f>AI83*VLOOKUP('Données projet'!$B$10,Paramètres!$A$1:$I$89,3,0)*VLOOKUP('Données projet'!$B$10,Paramètres!$A$1:$I$89,5,0)</f>
        <v>203.96504266666662</v>
      </c>
      <c r="AK83" s="13">
        <f t="shared" si="89"/>
        <v>50.614565993497123</v>
      </c>
      <c r="AL83" s="20">
        <f t="shared" si="58"/>
        <v>443.3928184164518</v>
      </c>
      <c r="AM83" s="57">
        <f t="shared" si="59"/>
        <v>721.8070354313179</v>
      </c>
      <c r="AN83" s="57">
        <f ca="1">AVERAGE(OFFSET($AM$3,0,0,'Données projet'!$E$10+1,1))-AVERAGE(OFFSET($H$3,0,0,'Données projet'!$E$10+1,1))</f>
        <v>469.4210143164521</v>
      </c>
      <c r="AO83" s="57">
        <f t="shared" si="90"/>
        <v>308.4508386530556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16.807059309844263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16.807059309844263</v>
      </c>
      <c r="AY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65.931150094963499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330</v>
      </c>
      <c r="BB83" s="12">
        <f>VLOOKUP(A83,'Données projet'!$A$87:$I$107,9,0)</f>
        <v>3.6</v>
      </c>
      <c r="BC83" s="12">
        <f t="array" ref="BC83">INDEX(BB:BB,MIN(IF(ISNUMBER(BB83:BB279),ROW(BB83:BB279),"")))</f>
        <v>3.6</v>
      </c>
      <c r="BD83" s="12">
        <f>IF('Données projet'!$A$88&gt;35,BD82+BC83-BL82,IF(A83&lt;'Données projet'!$A$88,$BA$205^A83,IF(A83='Données projet'!$A$88,'Données projet'!$B$88,BD82+BC83-BL82)))</f>
        <v>330</v>
      </c>
      <c r="BE83" s="13">
        <f>BD83*VLOOKUP('Données projet'!$B$11,Paramètres!$A$1:$I$89,3,0)*VLOOKUP('Données projet'!$B$11,Paramètres!$A$1:$I$89,5,0)</f>
        <v>241.95599999999999</v>
      </c>
      <c r="BF83" s="13">
        <f t="shared" si="91"/>
        <v>58.860174395053612</v>
      </c>
      <c r="BG83" s="20">
        <f t="shared" si="61"/>
        <v>523.92150373805168</v>
      </c>
      <c r="BH83" s="57">
        <f t="shared" si="62"/>
        <v>802.33572075291784</v>
      </c>
      <c r="BI83" s="57">
        <f ca="1">AVERAGE(OFFSET($BH$3,0,0,'Données projet'!$E$11+1,1))-AVERAGE(OFFSET($H$3,0,0,'Données projet'!$E$11+1,1))</f>
        <v>344.32981377462971</v>
      </c>
      <c r="BJ83" s="57">
        <f t="shared" si="92"/>
        <v>334.42512656625763</v>
      </c>
      <c r="BK83" s="15">
        <f>IF(ISNA(VLOOKUP(A83,'Données projet'!$A$87:$I$107,3,0)),0,VLOOKUP(A83,'Données projet'!$A$87:$I$107,3,0))</f>
        <v>15</v>
      </c>
      <c r="BL83" s="21">
        <f>IF(ISNA(VLOOKUP(A83,'Données projet'!$A$87:$I$107,4,0)),0,VLOOKUP(A83,'Données projet'!$A$87:$I$107,4,0))</f>
        <v>330</v>
      </c>
      <c r="BM83" s="16">
        <f>IF(ISNA(VLOOKUP(A83,'Données projet'!$A$87:$I$107,5,0)),0%,VLOOKUP(A83,'Données projet'!$A$87:$I$107,5,0)*VLOOKUP('Données projet'!$B$11,Paramètres!$A$1:$I$89,7,0))</f>
        <v>0.34400000000000003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116.08978512023867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116.08978512023867</v>
      </c>
      <c r="BT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65.931150094963499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308</v>
      </c>
      <c r="BW83" s="12">
        <f>VLOOKUP(A83,'Données projet'!$A$113:$I$133,9,0)</f>
        <v>7.6</v>
      </c>
      <c r="BX83" s="12">
        <f t="array" ref="BX83">INDEX(BW:BW,MIN(IF(ISNUMBER(BW83:BW279),ROW(BW83:BW279),"")))</f>
        <v>7.6</v>
      </c>
      <c r="BY83" s="12">
        <f>IF('Données projet'!$A$114&gt;35,BY82+BX83-CG82,IF(A83&lt;'Données projet'!$A$114,$BV$205^A83,IF(A83='Données projet'!$A$114,'Données projet'!$B$114,BY82+BX83-CG82)))</f>
        <v>308.0000000000004</v>
      </c>
      <c r="BZ83" s="13">
        <f>BY83*VLOOKUP('Données projet'!$B$12,Paramètres!$A$1:$I$89,3,0)*VLOOKUP('Données projet'!$B$12,Paramètres!$A$1:$I$89,5,0)</f>
        <v>293.09280000000041</v>
      </c>
      <c r="CA83" s="13">
        <f t="shared" si="93"/>
        <v>69.726491882249434</v>
      </c>
      <c r="CB83" s="20">
        <f t="shared" si="64"/>
        <v>631.91026669491839</v>
      </c>
      <c r="CC83" s="57">
        <f t="shared" si="65"/>
        <v>910.32448370978454</v>
      </c>
      <c r="CD83" s="57">
        <f ca="1">AVERAGE(OFFSET($CC$3,0,0,'Données projet'!$E$12+1,1))-AVERAGE(OFFSET($H$3,0,0,'Données projet'!$E$12+1,1))</f>
        <v>498.77732039282807</v>
      </c>
      <c r="CE83" s="57">
        <f t="shared" si="94"/>
        <v>384.57317421826531</v>
      </c>
      <c r="CF83" s="15">
        <f>IF(ISNA(VLOOKUP(A83,'Données projet'!$A$113:$I$133,3,0)),0,VLOOKUP(A83,'Données projet'!$A$113:$I$133,3,0))</f>
        <v>12</v>
      </c>
      <c r="CG83" s="15">
        <f>IF(ISNA(VLOOKUP(A83,'Données projet'!$A$113:$I$133,4,0)),0,VLOOKUP(A83,'Données projet'!$A$113:$I$133,4,0))</f>
        <v>32</v>
      </c>
      <c r="CH83" s="16">
        <f>IF(ISNA(VLOOKUP(A83,'Données projet'!$A$113:$I$133,5,0)),0%,VLOOKUP(A83,'Données projet'!$A$113:$I$133,5,0)*VLOOKUP('Données projet'!$B$12,Paramètres!$A$1:$I$89,7,0))</f>
        <v>0.30099999999999999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43.52277760576434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43.52277760576434</v>
      </c>
      <c r="CO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65.931150094963499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7.0711111111111098</v>
      </c>
      <c r="CT83" s="12">
        <f>IF('Données projet'!$A$140&gt;35,CT82+CS83-DB82,IF(A83&lt;'Données projet'!$A$140,$CQ$205^A83,IF(A83='Données projet'!$A$140,'Données projet'!$B$140,CT82+CS83-DB82)))</f>
        <v>225.42555555555552</v>
      </c>
      <c r="CU83" s="17">
        <f>CT83*VLOOKUP('Données projet'!$B$13,Paramètres!$A$1:$I$89,3,0)*VLOOKUP('Données projet'!$B$13,Paramètres!$A$1:$I$89,5,0)</f>
        <v>151.21546266666664</v>
      </c>
      <c r="CV83" s="13">
        <f t="shared" si="95"/>
        <v>38.854674000109476</v>
      </c>
      <c r="CW83" s="20">
        <f t="shared" si="67"/>
        <v>331.0388213613017</v>
      </c>
      <c r="CX83" s="57">
        <f t="shared" si="68"/>
        <v>609.4530383761678</v>
      </c>
      <c r="CY83" s="57">
        <f ca="1">AVERAGE(OFFSET($CX$3,0,0,'Données projet'!$E$13+1,1))-AVERAGE(OFFSET($H$3,0,0,'Données projet'!$E$13+1,1))</f>
        <v>365.99625753737246</v>
      </c>
      <c r="CZ83" s="57">
        <f t="shared" si="96"/>
        <v>242.84814712692287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15.358174886581837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15.358174886581837</v>
      </c>
      <c r="DJ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65.931150094963499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277</v>
      </c>
      <c r="DM83" s="12">
        <f>VLOOKUP(A83,'Données projet'!$A$165:$I$185,9,0)</f>
        <v>4.5999999999999996</v>
      </c>
      <c r="DN83" s="12">
        <f t="array" ref="DN83">INDEX(DM:DM,MIN(IF(ISNUMBER(DM83:DM279),ROW(DM83:DM279),"")))</f>
        <v>4.5999999999999996</v>
      </c>
      <c r="DO83" s="12">
        <f>IF('Données projet'!$A$166&gt;35,DO82+DN83-DW82,IF(A83&lt;'Données projet'!$A$166,$DL$205^A83,IF(A83='Données projet'!$A$166,'Données projet'!$B$166,DO82+DN83-DW82)))</f>
        <v>277.00000000000023</v>
      </c>
      <c r="DP83" s="17">
        <f>DO83*VLOOKUP('Données projet'!$B$14,Paramètres!$A$1:$I$89,3,0)*VLOOKUP('Données projet'!$B$14,Paramètres!$A$1:$I$89,5,0)</f>
        <v>181.49040000000014</v>
      </c>
      <c r="DQ83" s="13">
        <f t="shared" si="97"/>
        <v>45.653613407555532</v>
      </c>
      <c r="DR83" s="20">
        <f t="shared" si="70"/>
        <v>395.60915668482608</v>
      </c>
      <c r="DS83" s="57">
        <f t="shared" si="71"/>
        <v>674.02337369969223</v>
      </c>
      <c r="DT83" s="57">
        <f ca="1">AVERAGE(OFFSET($DS$3,0,0,'Données projet'!$E$14+1,1))-AVERAGE(OFFSET($H$3,0,0,'Données projet'!$E$14+1,1))</f>
        <v>313.79279628660527</v>
      </c>
      <c r="DU83" s="57">
        <f t="shared" si="98"/>
        <v>317.45469955216254</v>
      </c>
      <c r="DV83" s="15">
        <f>IF(ISNA(VLOOKUP(A83,'Données projet'!$A$165:$I$185,3,0)),0,VLOOKUP(A83,'Données projet'!$A$165:$I$185,3,0))</f>
        <v>15</v>
      </c>
      <c r="DW83" s="15">
        <f>IF(ISNA(VLOOKUP(A83,'Données projet'!$A$165:$I$185,4,0)),0,VLOOKUP(A83,'Données projet'!$A$165:$I$185,4,0))</f>
        <v>18</v>
      </c>
      <c r="DX83" s="16">
        <f>IF(ISNA(VLOOKUP(A83,'Données projet'!$A$165:$I$185,5,0)),0%,VLOOKUP(A83,'Données projet'!$A$165:$I$185,5,0)*VLOOKUP('Données projet'!$B$14,Paramètres!$A$1:$I$89,7,0))</f>
        <v>0.30099999999999999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22.984996872704468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22.984996872704468</v>
      </c>
      <c r="EE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65.931150094963499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11.222222222222221</v>
      </c>
      <c r="EJ83" s="12">
        <f>IF('Données projet'!$A$192&gt;35,EJ82+EI83-ER82,IF(A83&lt;'Données projet'!$A$192,$EG$205^A83,IF(A83='Données projet'!$A$192,'Données projet'!$B$192,EJ82+EI83-ER82)))</f>
        <v>602.7777777777776</v>
      </c>
      <c r="EK83" s="17">
        <f>EJ83*VLOOKUP('Données projet'!$B$15,Paramètres!$A$1:$I$89,3,0)*VLOOKUP('Données projet'!$B$15,Paramètres!$A$1:$I$89,5,0)</f>
        <v>517.18333333333328</v>
      </c>
      <c r="EL83" s="13">
        <f t="shared" si="99"/>
        <v>115.16708209280864</v>
      </c>
      <c r="EM83" s="20">
        <f t="shared" si="73"/>
        <v>1101.3436402005304</v>
      </c>
      <c r="EN83" s="57">
        <f t="shared" si="74"/>
        <v>1379.7578572153966</v>
      </c>
      <c r="EO83" s="57">
        <f ca="1">AVERAGE(OFFSET($EN$3,0,0,'Données projet'!$E$15+1,1))-AVERAGE(OFFSET($H$3,0,0,'Données projet'!$E$15+1,1))</f>
        <v>643.04899298561475</v>
      </c>
      <c r="EP83" s="57">
        <f t="shared" si="100"/>
        <v>474.94999304483031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72.459326494227241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72.459326494227241</v>
      </c>
      <c r="EZ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65.931150094963499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330</v>
      </c>
      <c r="FC83" s="12">
        <f>VLOOKUP(A83,'Données projet'!$A$217:$I$237,9,0)</f>
        <v>3.6</v>
      </c>
      <c r="FD83" s="12">
        <f t="array" ref="FD83">INDEX(FC:FC,MIN(IF(ISNUMBER(FC83:FC279),ROW(FC83:FC279),"")))</f>
        <v>3.6</v>
      </c>
      <c r="FE83" s="12">
        <f>IF('Données projet'!$A$218&gt;35,FE82+FD83-FM82,IF(A83&lt;'Données projet'!$A$218,$FB$205^A83,IF(A83='Données projet'!$A$218,'Données projet'!$B$218,FE82+FD83-FM82)))</f>
        <v>330</v>
      </c>
      <c r="FF83" s="17">
        <f>FE83*VLOOKUP('Données projet'!$B$16,Paramètres!$A$1:$I$89,3,0)*VLOOKUP('Données projet'!$B$16,Paramètres!$A$1:$I$89,5,0)</f>
        <v>267.69600000000003</v>
      </c>
      <c r="FG83" s="13">
        <f t="shared" si="101"/>
        <v>64.360058723585496</v>
      </c>
      <c r="FH83" s="20">
        <f t="shared" si="76"/>
        <v>578.33096894357811</v>
      </c>
      <c r="FI83" s="57">
        <f t="shared" si="77"/>
        <v>856.74518595844427</v>
      </c>
      <c r="FJ83" s="57">
        <f ca="1">AVERAGE(OFFSET($FI$3,0,0,'Données projet'!$E$16+1,1))-AVERAGE(OFFSET($H$3,0,0,'Données projet'!$E$16+1,1))</f>
        <v>375.34603719604439</v>
      </c>
      <c r="FK83" s="57">
        <f t="shared" si="102"/>
        <v>363.99476973672211</v>
      </c>
      <c r="FL83" s="15">
        <f>IF(ISNA(VLOOKUP(A83,'Données projet'!$A$217:$I$237,3,0)),0,VLOOKUP(A83,'Données projet'!$A$217:$I$237,3,0))</f>
        <v>15</v>
      </c>
      <c r="FM83" s="15">
        <f>IF(ISNA(VLOOKUP(A83,'Données projet'!$A$217:$I$237,4,0)),0,VLOOKUP(A83,'Données projet'!$A$217:$I$237,4,0))</f>
        <v>330</v>
      </c>
      <c r="FN83" s="16">
        <f>IF(ISNA(VLOOKUP(A83,'Données projet'!$A$217:$I$237,5,0)),0%,VLOOKUP(A83,'Données projet'!$A$217:$I$237,5,0)*VLOOKUP('Données projet'!$B$16,Paramètres!$A$1:$I$89,7,0))</f>
        <v>0.42400000000000004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158.30947441433835</v>
      </c>
      <c r="FR83" s="21">
        <f>EXP(-LN(2)/25)*FR82+(1-EXP(-LN(2)/25))/(LN(2)/25)*Calculateur!FM83*Calculateur!FO83*VLOOKUP('Données projet'!$B$16,Paramètres!$A$1:$I$89,3,0)*0.475*44/12</f>
        <v>0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158.30947441433835</v>
      </c>
      <c r="FU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65.931150094963499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-1.1368683772161603E-13</v>
      </c>
      <c r="GA83" s="17">
        <f>FZ83*VLOOKUP('Données projet'!$B$17,Paramètres!$A$1:$I$89,3,0)*VLOOKUP('Données projet'!$B$17,Paramètres!$A$1:$I$89,5,0)</f>
        <v>-6.3550942286383367E-14</v>
      </c>
      <c r="GB83" s="13" t="e">
        <f t="shared" si="103"/>
        <v>#NUM!</v>
      </c>
      <c r="GC83" s="20" t="e">
        <f t="shared" si="79"/>
        <v>#NUM!</v>
      </c>
      <c r="GD83" s="57" t="e">
        <f t="shared" si="80"/>
        <v>#NUM!</v>
      </c>
      <c r="GE83" s="57">
        <f ca="1">AVERAGE(OFFSET($GD$3,0,0,'Données projet'!$E$17+1,1))-AVERAGE(OFFSET($H$3,0,0,'Données projet'!$E$17+1,1))</f>
        <v>414.47327143450701</v>
      </c>
      <c r="GF83" s="57">
        <f t="shared" si="104"/>
        <v>546.83385887302961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179.95972391608851</v>
      </c>
      <c r="GM83" s="21">
        <f>EXP(-LN(2)/25)*GM82+(1-EXP(-LN(2)/25))/(LN(2)/25)*Calculateur!GH83*Calculateur!GJ83*VLOOKUP('Données projet'!$B$17,Paramètres!$A$1:$I$89,3,0)*0.475*44/12</f>
        <v>30.962365450538385</v>
      </c>
      <c r="GN83" s="21">
        <f>EXP(-LN(2)/2)*GN82+(1-EXP(-LN(2)/2))/(LN(2)/2)*GH83*GK83*VLOOKUP('Données projet'!$B$17,Paramètres!$A$1:$I$89,3,0)*0.475*44/12</f>
        <v>5.071651654715085E-3</v>
      </c>
      <c r="GO83" s="21">
        <f t="shared" si="81"/>
        <v>210.92716101828159</v>
      </c>
      <c r="GP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65.931150094963499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>
        <f>VLOOKUP(A83,'Données projet'!$A$269:$I$289,2,0)</f>
        <v>423</v>
      </c>
      <c r="GS83" s="12">
        <f>VLOOKUP(A83,'Données projet'!$A$269:$I$289,9,0)</f>
        <v>5.6</v>
      </c>
      <c r="GT83" s="12">
        <f t="array" ref="GT83">INDEX(GS:GS,MIN(IF(ISNUMBER(GS83:GS279),ROW(GS83:GS279),"")))</f>
        <v>5.6</v>
      </c>
      <c r="GU83" s="12">
        <f>IF('Données projet'!$A$270&gt;35,GU82+GT83-HC82,IF(A83&lt;'Données projet'!$A$270,$GR$205^A83,IF(A83='Données projet'!$A$270,'Données projet'!$B$270,GU82+GT83-HC82)))</f>
        <v>422.99999999999994</v>
      </c>
      <c r="GV83" s="17">
        <f>GU83*VLOOKUP('Données projet'!$B$18,Paramètres!$A$1:$I$89,3,0)*VLOOKUP('Données projet'!$B$18,Paramètres!$A$1:$I$89,5,0)</f>
        <v>230.95799999999997</v>
      </c>
      <c r="GW83" s="13">
        <f t="shared" si="105"/>
        <v>56.489773392384429</v>
      </c>
      <c r="GX83" s="20">
        <f t="shared" si="82"/>
        <v>500.63820532506952</v>
      </c>
      <c r="GY83" s="57">
        <f t="shared" si="83"/>
        <v>779.05242233993567</v>
      </c>
      <c r="GZ83" s="57">
        <f ca="1">AVERAGE(OFFSET($GY$3,0,0,'Données projet'!$E$18+1,1))-AVERAGE(OFFSET($H$3,0,0,'Données projet'!$E$18+1,1))</f>
        <v>381.00532469288714</v>
      </c>
      <c r="HA83" s="57">
        <f t="shared" si="106"/>
        <v>314.875259641757</v>
      </c>
      <c r="HB83" s="15">
        <f>IF(ISNA(VLOOKUP(A83,'Données projet'!$A$269:$I$289,3,0)),0,VLOOKUP(A83,'Données projet'!$A$269:$I$289,3,0))</f>
        <v>15</v>
      </c>
      <c r="HC83" s="15">
        <f>IF(ISNA(VLOOKUP(A83,'Données projet'!$A$269:$I$289,4,0)),0,VLOOKUP(A83,'Données projet'!$A$269:$I$289,4,0))</f>
        <v>17</v>
      </c>
      <c r="HD83" s="16">
        <f>IF(ISNA(VLOOKUP(A83,'Données projet'!$A$269:$I$289,5,0)),0%,VLOOKUP(A83,'Données projet'!$A$269:$I$289,5,0)*VLOOKUP('Données projet'!$B$18,Paramètres!$A$1:$I$89,7,0))</f>
        <v>0.48</v>
      </c>
      <c r="HE83" s="16">
        <f>IF(ISNA(VLOOKUP(A83,'Données projet'!$A$269:$I$289,6,0)),0%,VLOOKUP(A83,'Données projet'!$A$269:$I$289,6,0)*VLOOKUP('Données projet'!$B$18,Paramètres!$A$1:$I$89,7,0))</f>
        <v>6.6000000000000003E-2</v>
      </c>
      <c r="HF83" s="16">
        <f>IF(ISNA(VLOOKUP(A83,'Données projet'!$A$269:$I$289,7,0)),0%,VLOOKUP(A83,'Données projet'!$A$269:$I$289,7,0))</f>
        <v>0.09</v>
      </c>
      <c r="HG83" s="21">
        <f>EXP(-LN(2)/35)*HG82+(1-EXP(-LN(2)/35))/(LN(2)/35)*HC83*HD83*VLOOKUP('Données projet'!$B$18,Paramètres!$A$1:$I$89,3,0)*0.475*44/12</f>
        <v>54.593576811170784</v>
      </c>
      <c r="HH83" s="21">
        <f>EXP(-LN(2)/25)*HH82+(1-EXP(-LN(2)/25))/(LN(2)/25)*Calculateur!HC83*Calculateur!HE83*VLOOKUP('Données projet'!$B$18,Paramètres!$A$1:$I$89,3,0)*0.475*44/12</f>
        <v>17.777673061254156</v>
      </c>
      <c r="HI83" s="21">
        <f>EXP(-LN(2)/2)*HI82+(1-EXP(-LN(2)/2))/(LN(2)/2)*HC83*HF83*VLOOKUP('Données projet'!$B$18,Paramètres!$A$1:$I$89,3,0)*0.475*44/12</f>
        <v>1.1988528793591879</v>
      </c>
      <c r="HJ83" s="22">
        <f t="shared" si="84"/>
        <v>73.570102751784134</v>
      </c>
    </row>
    <row r="84" spans="1:218" x14ac:dyDescent="0.2">
      <c r="A84" s="10">
        <f t="shared" si="85"/>
        <v>81</v>
      </c>
      <c r="B84" s="71">
        <f>'Scénario référence'!$B$16*5+'Scénario référence'!$B$17*0+'Scénario référence'!$B$18*5</f>
        <v>3.3000000000000003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12.100000000000001</v>
      </c>
      <c r="H84" s="65">
        <f t="shared" si="56"/>
        <v>208.26666666666665</v>
      </c>
      <c r="I84" s="6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66.001735544230257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4.4000000000000004</v>
      </c>
      <c r="N84" s="13">
        <f>IF('Données projet'!$A$36&gt;35,N83+M84-V83,IF(A84&lt;'Données projet'!$A$36,$K$205^A84,IF(A84='Données projet'!$A$36,'Données projet'!$B$36,N83+M84-V83)))</f>
        <v>182.39999999999998</v>
      </c>
      <c r="O84" s="13">
        <f>N84*VLOOKUP('Données projet'!$B$9,Paramètres!$A$1:$I$89,3,0)*VLOOKUP('Données projet'!$B$9,Paramètres!$A$1:$I$89,5,0)</f>
        <v>184.95359999999999</v>
      </c>
      <c r="P84" s="13">
        <f t="shared" si="87"/>
        <v>46.42252355095799</v>
      </c>
      <c r="Q84" s="20">
        <f t="shared" si="54"/>
        <v>402.98008185125178</v>
      </c>
      <c r="R84" s="57">
        <f t="shared" si="55"/>
        <v>681.65311218009606</v>
      </c>
      <c r="S84" s="57">
        <f ca="1">AVERAGE(OFFSET($R$3,0,0,'Données projet'!$E$9+1,1))-AVERAGE(OFFSET($H$3,0,0,'Données projet'!$E$9+1,1))</f>
        <v>332.70145542047612</v>
      </c>
      <c r="T84" s="57">
        <f t="shared" si="88"/>
        <v>172.22433737900428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14.977539600150727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14.977539600150727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66.001735544230257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7.0711111111111098</v>
      </c>
      <c r="AI84" s="13">
        <f>IF('Données projet'!$A$62&gt;35,AI83+AH84-AQ83,IF(A84&lt;'Données projet'!$A$62,$AF$205^A84,IF(A84='Données projet'!$A$62,'Données projet'!$B$62,AI83+AH84-AQ83)))</f>
        <v>232.49666666666664</v>
      </c>
      <c r="AJ84" s="13">
        <f>AI84*VLOOKUP('Données projet'!$B$10,Paramètres!$A$1:$I$89,3,0)*VLOOKUP('Données projet'!$B$10,Paramètres!$A$1:$I$89,5,0)</f>
        <v>210.36298399999998</v>
      </c>
      <c r="AK84" s="13">
        <f t="shared" si="89"/>
        <v>52.014898860392101</v>
      </c>
      <c r="AL84" s="20">
        <f t="shared" si="58"/>
        <v>456.97481264851626</v>
      </c>
      <c r="AM84" s="57">
        <f t="shared" si="59"/>
        <v>735.6478429773606</v>
      </c>
      <c r="AN84" s="57">
        <f ca="1">AVERAGE(OFFSET($AM$3,0,0,'Données projet'!$E$10+1,1))-AVERAGE(OFFSET($H$3,0,0,'Données projet'!$E$10+1,1))</f>
        <v>469.4210143164521</v>
      </c>
      <c r="AO84" s="57">
        <f t="shared" si="90"/>
        <v>308.4508386530556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16.477483128072166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16.477483128072166</v>
      </c>
      <c r="AY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66.001735544230257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7" t="e">
        <f t="shared" si="62"/>
        <v>#NUM!</v>
      </c>
      <c r="BI84" s="57">
        <f ca="1">AVERAGE(OFFSET($BH$3,0,0,'Données projet'!$E$11+1,1))-AVERAGE(OFFSET($H$3,0,0,'Données projet'!$E$11+1,1))</f>
        <v>344.32981377462971</v>
      </c>
      <c r="BJ84" s="57">
        <f t="shared" si="92"/>
        <v>334.42512656625763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113.81333524180803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113.81333524180803</v>
      </c>
      <c r="BT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66.001735544230257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7</v>
      </c>
      <c r="BY84" s="12">
        <f>IF('Données projet'!$A$114&gt;35,BY83+BX84-CG83,IF(A84&lt;'Données projet'!$A$114,$BV$205^A84,IF(A84='Données projet'!$A$114,'Données projet'!$B$114,BY83+BX84-CG83)))</f>
        <v>283.0000000000004</v>
      </c>
      <c r="BZ84" s="13">
        <f>BY84*VLOOKUP('Données projet'!$B$12,Paramètres!$A$1:$I$89,3,0)*VLOOKUP('Données projet'!$B$12,Paramètres!$A$1:$I$89,5,0)</f>
        <v>269.30280000000039</v>
      </c>
      <c r="CA84" s="13">
        <f t="shared" si="93"/>
        <v>64.701283593560007</v>
      </c>
      <c r="CB84" s="20">
        <f t="shared" si="64"/>
        <v>581.72377892545092</v>
      </c>
      <c r="CC84" s="57">
        <f t="shared" si="65"/>
        <v>860.39680925429525</v>
      </c>
      <c r="CD84" s="57">
        <f ca="1">AVERAGE(OFFSET($CC$3,0,0,'Données projet'!$E$12+1,1))-AVERAGE(OFFSET($H$3,0,0,'Données projet'!$E$12+1,1))</f>
        <v>498.77732039282807</v>
      </c>
      <c r="CE84" s="57">
        <f t="shared" si="94"/>
        <v>384.57317421826531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42.669322483188417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42.669322483188417</v>
      </c>
      <c r="CO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66.001735544230257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7.0711111111111098</v>
      </c>
      <c r="CT84" s="12">
        <f>IF('Données projet'!$A$140&gt;35,CT83+CS84-DB83,IF(A84&lt;'Données projet'!$A$140,$CQ$205^A84,IF(A84='Données projet'!$A$140,'Données projet'!$B$140,CT83+CS84-DB83)))</f>
        <v>232.49666666666664</v>
      </c>
      <c r="CU84" s="17">
        <f>CT84*VLOOKUP('Données projet'!$B$13,Paramètres!$A$1:$I$89,3,0)*VLOOKUP('Données projet'!$B$13,Paramètres!$A$1:$I$89,5,0)</f>
        <v>155.958764</v>
      </c>
      <c r="CV84" s="13">
        <f t="shared" si="95"/>
        <v>39.92965065884114</v>
      </c>
      <c r="CW84" s="20">
        <f t="shared" si="67"/>
        <v>341.17232219748166</v>
      </c>
      <c r="CX84" s="57">
        <f t="shared" si="68"/>
        <v>619.845352526326</v>
      </c>
      <c r="CY84" s="57">
        <f ca="1">AVERAGE(OFFSET($CX$3,0,0,'Données projet'!$E$13+1,1))-AVERAGE(OFFSET($H$3,0,0,'Données projet'!$E$13+1,1))</f>
        <v>365.99625753737246</v>
      </c>
      <c r="CZ84" s="57">
        <f t="shared" si="96"/>
        <v>242.84814712692287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15.057010444617678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15.057010444617678</v>
      </c>
      <c r="DJ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66.001735544230257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4.2</v>
      </c>
      <c r="DO84" s="12">
        <f>IF('Données projet'!$A$166&gt;35,DO83+DN84-DW83,IF(A84&lt;'Données projet'!$A$166,$DL$205^A84,IF(A84='Données projet'!$A$166,'Données projet'!$B$166,DO83+DN84-DW83)))</f>
        <v>263.20000000000022</v>
      </c>
      <c r="DP84" s="17">
        <f>DO84*VLOOKUP('Données projet'!$B$14,Paramètres!$A$1:$I$89,3,0)*VLOOKUP('Données projet'!$B$14,Paramètres!$A$1:$I$89,5,0)</f>
        <v>172.44864000000013</v>
      </c>
      <c r="DQ84" s="13">
        <f t="shared" si="97"/>
        <v>43.637980200453718</v>
      </c>
      <c r="DR84" s="20">
        <f t="shared" si="70"/>
        <v>376.35086351579042</v>
      </c>
      <c r="DS84" s="57">
        <f t="shared" si="71"/>
        <v>655.0238938446347</v>
      </c>
      <c r="DT84" s="57">
        <f ca="1">AVERAGE(OFFSET($DS$3,0,0,'Données projet'!$E$14+1,1))-AVERAGE(OFFSET($H$3,0,0,'Données projet'!$E$14+1,1))</f>
        <v>313.79279628660527</v>
      </c>
      <c r="DU84" s="57">
        <f t="shared" si="98"/>
        <v>317.45469955216254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22.534275103494519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22.534275103494519</v>
      </c>
      <c r="EE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66.001735544230257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>
        <f>VLOOKUP(A84,'Données projet'!$A$191:$I$211,2,0)</f>
        <v>614</v>
      </c>
      <c r="EH84" s="12">
        <f>VLOOKUP(A84,'Données projet'!$A$191:$I$211,9,0)</f>
        <v>11.222222222222221</v>
      </c>
      <c r="EI84" s="12">
        <f t="array" ref="EI84">INDEX(EH:EH,MIN(IF(ISNUMBER(EH84:EH280),ROW(EH84:EH280),"")))</f>
        <v>11.222222222222221</v>
      </c>
      <c r="EJ84" s="12">
        <f>IF('Données projet'!$A$192&gt;35,EJ83+EI84-ER83,IF(A84&lt;'Données projet'!$A$192,$EG$205^A84,IF(A84='Données projet'!$A$192,'Données projet'!$B$192,EJ83+EI84-ER83)))</f>
        <v>613.99999999999977</v>
      </c>
      <c r="EK84" s="17">
        <f>EJ84*VLOOKUP('Données projet'!$B$15,Paramètres!$A$1:$I$89,3,0)*VLOOKUP('Données projet'!$B$15,Paramètres!$A$1:$I$89,5,0)</f>
        <v>526.81199999999978</v>
      </c>
      <c r="EL84" s="13">
        <f t="shared" si="99"/>
        <v>117.05959174772106</v>
      </c>
      <c r="EM84" s="20">
        <f t="shared" si="73"/>
        <v>1121.4096889606135</v>
      </c>
      <c r="EN84" s="57">
        <f t="shared" si="74"/>
        <v>1400.0827192894578</v>
      </c>
      <c r="EO84" s="57">
        <f ca="1">AVERAGE(OFFSET($EN$3,0,0,'Données projet'!$E$15+1,1))-AVERAGE(OFFSET($H$3,0,0,'Données projet'!$E$15+1,1))</f>
        <v>643.04899298561475</v>
      </c>
      <c r="EP84" s="57">
        <f t="shared" si="100"/>
        <v>474.94999304483031</v>
      </c>
      <c r="EQ84" s="15">
        <f>IF(ISNA(VLOOKUP(A84,'Données projet'!$A$191:$I$211,3,0)),0,VLOOKUP(A84,'Données projet'!$A$191:$I$211,3,0))</f>
        <v>12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0.371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71.038443297500635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71.038443297500635</v>
      </c>
      <c r="EZ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66.001735544230257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>
        <f>FE84*VLOOKUP('Données projet'!$B$16,Paramètres!$A$1:$I$89,3,0)*VLOOKUP('Données projet'!$B$16,Paramètres!$A$1:$I$89,5,0)</f>
        <v>0</v>
      </c>
      <c r="FG84" s="13" t="e">
        <f t="shared" si="101"/>
        <v>#NUM!</v>
      </c>
      <c r="FH84" s="20" t="e">
        <f t="shared" si="76"/>
        <v>#NUM!</v>
      </c>
      <c r="FI84" s="57" t="e">
        <f t="shared" si="77"/>
        <v>#NUM!</v>
      </c>
      <c r="FJ84" s="57">
        <f ca="1">AVERAGE(OFFSET($FI$3,0,0,'Données projet'!$E$16+1,1))-AVERAGE(OFFSET($H$3,0,0,'Données projet'!$E$16+1,1))</f>
        <v>375.34603719604439</v>
      </c>
      <c r="FK84" s="57">
        <f t="shared" si="102"/>
        <v>363.99476973672211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155.20512218031814</v>
      </c>
      <c r="FR84" s="21">
        <f>EXP(-LN(2)/25)*FR83+(1-EXP(-LN(2)/25))/(LN(2)/25)*Calculateur!FM84*Calculateur!FO84*VLOOKUP('Données projet'!$B$16,Paramètres!$A$1:$I$89,3,0)*0.475*44/12</f>
        <v>0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155.20512218031814</v>
      </c>
      <c r="FU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66.001735544230257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-1.1368683772161603E-13</v>
      </c>
      <c r="GA84" s="17">
        <f>FZ84*VLOOKUP('Données projet'!$B$17,Paramètres!$A$1:$I$89,3,0)*VLOOKUP('Données projet'!$B$17,Paramètres!$A$1:$I$89,5,0)</f>
        <v>-6.3550942286383367E-14</v>
      </c>
      <c r="GB84" s="13" t="e">
        <f t="shared" si="103"/>
        <v>#NUM!</v>
      </c>
      <c r="GC84" s="20" t="e">
        <f t="shared" si="79"/>
        <v>#NUM!</v>
      </c>
      <c r="GD84" s="57" t="e">
        <f t="shared" si="80"/>
        <v>#NUM!</v>
      </c>
      <c r="GE84" s="57">
        <f ca="1">AVERAGE(OFFSET($GD$3,0,0,'Données projet'!$E$17+1,1))-AVERAGE(OFFSET($H$3,0,0,'Données projet'!$E$17+1,1))</f>
        <v>414.47327143450701</v>
      </c>
      <c r="GF84" s="57">
        <f t="shared" si="104"/>
        <v>546.83385887302961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176.43082349468725</v>
      </c>
      <c r="GM84" s="21">
        <f>EXP(-LN(2)/25)*GM83+(1-EXP(-LN(2)/25))/(LN(2)/25)*Calculateur!GH84*Calculateur!GJ84*VLOOKUP('Données projet'!$B$17,Paramètres!$A$1:$I$89,3,0)*0.475*44/12</f>
        <v>30.11569793905338</v>
      </c>
      <c r="GN84" s="21">
        <f>EXP(-LN(2)/2)*GN83+(1-EXP(-LN(2)/2))/(LN(2)/2)*GH84*GK84*VLOOKUP('Données projet'!$B$17,Paramètres!$A$1:$I$89,3,0)*0.475*44/12</f>
        <v>3.5861992768650114E-3</v>
      </c>
      <c r="GO84" s="21">
        <f t="shared" si="81"/>
        <v>206.55010763301749</v>
      </c>
      <c r="GP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66.001735544230257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5</v>
      </c>
      <c r="GU84" s="12">
        <f>IF('Données projet'!$A$270&gt;35,GU83+GT84-HC83,IF(A84&lt;'Données projet'!$A$270,$GR$205^A84,IF(A84='Données projet'!$A$270,'Données projet'!$B$270,GU83+GT84-HC83)))</f>
        <v>410.99999999999994</v>
      </c>
      <c r="GV84" s="17">
        <f>GU84*VLOOKUP('Données projet'!$B$18,Paramètres!$A$1:$I$89,3,0)*VLOOKUP('Données projet'!$B$18,Paramètres!$A$1:$I$89,5,0)</f>
        <v>224.40599999999998</v>
      </c>
      <c r="GW84" s="13">
        <f t="shared" si="105"/>
        <v>55.071400090717077</v>
      </c>
      <c r="GX84" s="20">
        <f t="shared" si="82"/>
        <v>486.7564718246656</v>
      </c>
      <c r="GY84" s="57">
        <f t="shared" si="83"/>
        <v>765.42950215350993</v>
      </c>
      <c r="GZ84" s="57">
        <f ca="1">AVERAGE(OFFSET($GY$3,0,0,'Données projet'!$E$18+1,1))-AVERAGE(OFFSET($H$3,0,0,'Données projet'!$E$18+1,1))</f>
        <v>381.00532469288714</v>
      </c>
      <c r="HA84" s="57">
        <f t="shared" si="106"/>
        <v>314.875259641757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>
        <f>EXP(-LN(2)/35)*HG83+(1-EXP(-LN(2)/35))/(LN(2)/35)*HC84*HD84*VLOOKUP('Données projet'!$B$18,Paramètres!$A$1:$I$89,3,0)*0.475*44/12</f>
        <v>53.523030068697601</v>
      </c>
      <c r="HH84" s="21">
        <f>EXP(-LN(2)/25)*HH83+(1-EXP(-LN(2)/25))/(LN(2)/25)*Calculateur!HC84*Calculateur!HE84*VLOOKUP('Données projet'!$B$18,Paramètres!$A$1:$I$89,3,0)*0.475*44/12</f>
        <v>17.291541656506965</v>
      </c>
      <c r="HI84" s="21">
        <f>EXP(-LN(2)/2)*HI83+(1-EXP(-LN(2)/2))/(LN(2)/2)*HC84*HF84*VLOOKUP('Données projet'!$B$18,Paramètres!$A$1:$I$89,3,0)*0.475*44/12</f>
        <v>0.84771700063989985</v>
      </c>
      <c r="HJ84" s="22">
        <f t="shared" si="84"/>
        <v>71.662288725844462</v>
      </c>
    </row>
    <row r="85" spans="1:218" x14ac:dyDescent="0.2">
      <c r="A85" s="10">
        <f t="shared" si="85"/>
        <v>82</v>
      </c>
      <c r="B85" s="71">
        <f>'Scénario référence'!$B$16*5+'Scénario référence'!$B$17*0+'Scénario référence'!$B$18*5</f>
        <v>3.3000000000000003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12.100000000000001</v>
      </c>
      <c r="H85" s="65">
        <f t="shared" si="56"/>
        <v>208.26666666666665</v>
      </c>
      <c r="I85" s="6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66.071096493757665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4.4000000000000004</v>
      </c>
      <c r="N85" s="13">
        <f>IF('Données projet'!$A$36&gt;35,N84+M85-V84,IF(A85&lt;'Données projet'!$A$36,$K$205^A85,IF(A85='Données projet'!$A$36,'Données projet'!$B$36,N84+M85-V84)))</f>
        <v>186.79999999999998</v>
      </c>
      <c r="O85" s="13">
        <f>N85*VLOOKUP('Données projet'!$B$9,Paramètres!$A$1:$I$89,3,0)*VLOOKUP('Données projet'!$B$9,Paramètres!$A$1:$I$89,5,0)</f>
        <v>189.4152</v>
      </c>
      <c r="P85" s="13">
        <f t="shared" si="87"/>
        <v>47.410638687430918</v>
      </c>
      <c r="Q85" s="20">
        <f t="shared" si="54"/>
        <v>412.4716690472755</v>
      </c>
      <c r="R85" s="57">
        <f t="shared" si="55"/>
        <v>691.3990228577203</v>
      </c>
      <c r="S85" s="57">
        <f ca="1">AVERAGE(OFFSET($R$3,0,0,'Données projet'!$E$9+1,1))-AVERAGE(OFFSET($H$3,0,0,'Données projet'!$E$9+1,1))</f>
        <v>332.70145542047612</v>
      </c>
      <c r="T85" s="57">
        <f t="shared" si="88"/>
        <v>172.22433737900428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14.683839183988882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14.683839183988882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66.071096493757665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7.0711111111111098</v>
      </c>
      <c r="AI85" s="13">
        <f>IF('Données projet'!$A$62&gt;35,AI84+AH85-AQ84,IF(A85&lt;'Données projet'!$A$62,$AF$205^A85,IF(A85='Données projet'!$A$62,'Données projet'!$B$62,AI84+AH85-AQ84)))</f>
        <v>239.56777777777776</v>
      </c>
      <c r="AJ85" s="13">
        <f>AI85*VLOOKUP('Données projet'!$B$10,Paramètres!$A$1:$I$89,3,0)*VLOOKUP('Données projet'!$B$10,Paramètres!$A$1:$I$89,5,0)</f>
        <v>216.76092533333329</v>
      </c>
      <c r="AK85" s="13">
        <f t="shared" si="89"/>
        <v>53.410282271728782</v>
      </c>
      <c r="AL85" s="20">
        <f t="shared" si="58"/>
        <v>470.54818657881646</v>
      </c>
      <c r="AM85" s="57">
        <f t="shared" si="59"/>
        <v>749.47554038926125</v>
      </c>
      <c r="AN85" s="57">
        <f ca="1">AVERAGE(OFFSET($AM$3,0,0,'Données projet'!$E$10+1,1))-AVERAGE(OFFSET($H$3,0,0,'Données projet'!$E$10+1,1))</f>
        <v>469.4210143164521</v>
      </c>
      <c r="AO85" s="57">
        <f t="shared" si="90"/>
        <v>308.4508386530556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16.154369734202998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16.154369734202998</v>
      </c>
      <c r="AY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66.071096493757665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7" t="e">
        <f t="shared" si="62"/>
        <v>#NUM!</v>
      </c>
      <c r="BI85" s="57">
        <f ca="1">AVERAGE(OFFSET($BH$3,0,0,'Données projet'!$E$11+1,1))-AVERAGE(OFFSET($H$3,0,0,'Données projet'!$E$11+1,1))</f>
        <v>344.32981377462971</v>
      </c>
      <c r="BJ85" s="57">
        <f t="shared" si="92"/>
        <v>334.42512656625763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111.58152515699609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111.58152515699609</v>
      </c>
      <c r="BT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66.071096493757665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7</v>
      </c>
      <c r="BY85" s="12">
        <f>IF('Données projet'!$A$114&gt;35,BY84+BX85-CG84,IF(A85&lt;'Données projet'!$A$114,$BV$205^A85,IF(A85='Données projet'!$A$114,'Données projet'!$B$114,BY84+BX85-CG84)))</f>
        <v>290.0000000000004</v>
      </c>
      <c r="BZ85" s="13">
        <f>BY85*VLOOKUP('Données projet'!$B$12,Paramètres!$A$1:$I$89,3,0)*VLOOKUP('Données projet'!$B$12,Paramètres!$A$1:$I$89,5,0)</f>
        <v>275.9640000000004</v>
      </c>
      <c r="CA85" s="13">
        <f t="shared" si="93"/>
        <v>66.113366665488982</v>
      </c>
      <c r="CB85" s="20">
        <f t="shared" si="64"/>
        <v>595.78474694239401</v>
      </c>
      <c r="CC85" s="57">
        <f t="shared" si="65"/>
        <v>874.71210075283875</v>
      </c>
      <c r="CD85" s="57">
        <f ca="1">AVERAGE(OFFSET($CC$3,0,0,'Données projet'!$E$12+1,1))-AVERAGE(OFFSET($H$3,0,0,'Données projet'!$E$12+1,1))</f>
        <v>498.77732039282807</v>
      </c>
      <c r="CE85" s="57">
        <f t="shared" si="94"/>
        <v>384.57317421826531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41.832603095009979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41.832603095009979</v>
      </c>
      <c r="CO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66.071096493757665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7.0711111111111098</v>
      </c>
      <c r="CT85" s="12">
        <f>IF('Données projet'!$A$140&gt;35,CT84+CS85-DB84,IF(A85&lt;'Données projet'!$A$140,$CQ$205^A85,IF(A85='Données projet'!$A$140,'Données projet'!$B$140,CT84+CS85-DB84)))</f>
        <v>239.56777777777776</v>
      </c>
      <c r="CU85" s="17">
        <f>CT85*VLOOKUP('Données projet'!$B$13,Paramètres!$A$1:$I$89,3,0)*VLOOKUP('Données projet'!$B$13,Paramètres!$A$1:$I$89,5,0)</f>
        <v>160.70206533333334</v>
      </c>
      <c r="CV85" s="13">
        <f t="shared" si="95"/>
        <v>41.000827828662473</v>
      </c>
      <c r="CW85" s="20">
        <f t="shared" si="67"/>
        <v>351.29920559047599</v>
      </c>
      <c r="CX85" s="57">
        <f t="shared" si="68"/>
        <v>630.22655940092079</v>
      </c>
      <c r="CY85" s="57">
        <f ca="1">AVERAGE(OFFSET($CX$3,0,0,'Données projet'!$E$13+1,1))-AVERAGE(OFFSET($H$3,0,0,'Données projet'!$E$13+1,1))</f>
        <v>365.99625753737246</v>
      </c>
      <c r="CZ85" s="57">
        <f t="shared" si="96"/>
        <v>242.84814712692287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14.761751653668265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14.761751653668265</v>
      </c>
      <c r="DJ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66.071096493757665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4.2</v>
      </c>
      <c r="DO85" s="12">
        <f>IF('Données projet'!$A$166&gt;35,DO84+DN85-DW84,IF(A85&lt;'Données projet'!$A$166,$DL$205^A85,IF(A85='Données projet'!$A$166,'Données projet'!$B$166,DO84+DN85-DW84)))</f>
        <v>267.4000000000002</v>
      </c>
      <c r="DP85" s="17">
        <f>DO85*VLOOKUP('Données projet'!$B$14,Paramètres!$A$1:$I$89,3,0)*VLOOKUP('Données projet'!$B$14,Paramètres!$A$1:$I$89,5,0)</f>
        <v>175.20048000000014</v>
      </c>
      <c r="DQ85" s="13">
        <f t="shared" si="97"/>
        <v>44.252707646937758</v>
      </c>
      <c r="DR85" s="20">
        <f t="shared" si="70"/>
        <v>382.2143018184168</v>
      </c>
      <c r="DS85" s="57">
        <f t="shared" si="71"/>
        <v>661.1416556288616</v>
      </c>
      <c r="DT85" s="57">
        <f ca="1">AVERAGE(OFFSET($DS$3,0,0,'Données projet'!$E$14+1,1))-AVERAGE(OFFSET($H$3,0,0,'Données projet'!$E$14+1,1))</f>
        <v>313.79279628660527</v>
      </c>
      <c r="DU85" s="57">
        <f t="shared" si="98"/>
        <v>317.45469955216254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22.092391713265641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22.092391713265641</v>
      </c>
      <c r="EE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66.071096493757665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10.333333333333334</v>
      </c>
      <c r="EJ85" s="12">
        <f>IF('Données projet'!$A$192&gt;35,EJ84+EI85-ER84,IF(A85&lt;'Données projet'!$A$192,$EG$205^A85,IF(A85='Données projet'!$A$192,'Données projet'!$B$192,EJ84+EI85-ER84)))</f>
        <v>624.33333333333314</v>
      </c>
      <c r="EK85" s="17">
        <f>EJ85*VLOOKUP('Données projet'!$B$15,Paramètres!$A$1:$I$89,3,0)*VLOOKUP('Données projet'!$B$15,Paramètres!$A$1:$I$89,5,0)</f>
        <v>535.67799999999988</v>
      </c>
      <c r="EL85" s="13">
        <f t="shared" si="99"/>
        <v>118.79864080305886</v>
      </c>
      <c r="EM85" s="20">
        <f t="shared" si="73"/>
        <v>1139.8801493986607</v>
      </c>
      <c r="EN85" s="57">
        <f t="shared" si="74"/>
        <v>1418.8075032091056</v>
      </c>
      <c r="EO85" s="57">
        <f ca="1">AVERAGE(OFFSET($EN$3,0,0,'Données projet'!$E$15+1,1))-AVERAGE(OFFSET($H$3,0,0,'Données projet'!$E$15+1,1))</f>
        <v>643.04899298561475</v>
      </c>
      <c r="EP85" s="57">
        <f t="shared" si="100"/>
        <v>474.94999304483031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69.645422753608656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69.645422753608656</v>
      </c>
      <c r="EZ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66.071096493757665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>
        <f>FE85*VLOOKUP('Données projet'!$B$16,Paramètres!$A$1:$I$89,3,0)*VLOOKUP('Données projet'!$B$16,Paramètres!$A$1:$I$89,5,0)</f>
        <v>0</v>
      </c>
      <c r="FG85" s="13" t="e">
        <f t="shared" si="101"/>
        <v>#NUM!</v>
      </c>
      <c r="FH85" s="20" t="e">
        <f t="shared" si="76"/>
        <v>#NUM!</v>
      </c>
      <c r="FI85" s="57" t="e">
        <f t="shared" si="77"/>
        <v>#NUM!</v>
      </c>
      <c r="FJ85" s="57">
        <f ca="1">AVERAGE(OFFSET($FI$3,0,0,'Données projet'!$E$16+1,1))-AVERAGE(OFFSET($H$3,0,0,'Données projet'!$E$16+1,1))</f>
        <v>375.34603719604439</v>
      </c>
      <c r="FK85" s="57">
        <f t="shared" si="102"/>
        <v>363.99476973672211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152.16164440013915</v>
      </c>
      <c r="FR85" s="21">
        <f>EXP(-LN(2)/25)*FR84+(1-EXP(-LN(2)/25))/(LN(2)/25)*Calculateur!FM85*Calculateur!FO85*VLOOKUP('Données projet'!$B$16,Paramètres!$A$1:$I$89,3,0)*0.475*44/12</f>
        <v>0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152.16164440013915</v>
      </c>
      <c r="FU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66.071096493757665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-1.1368683772161603E-13</v>
      </c>
      <c r="GA85" s="17">
        <f>FZ85*VLOOKUP('Données projet'!$B$17,Paramètres!$A$1:$I$89,3,0)*VLOOKUP('Données projet'!$B$17,Paramètres!$A$1:$I$89,5,0)</f>
        <v>-6.3550942286383367E-14</v>
      </c>
      <c r="GB85" s="13" t="e">
        <f t="shared" si="103"/>
        <v>#NUM!</v>
      </c>
      <c r="GC85" s="20" t="e">
        <f t="shared" si="79"/>
        <v>#NUM!</v>
      </c>
      <c r="GD85" s="57" t="e">
        <f t="shared" si="80"/>
        <v>#NUM!</v>
      </c>
      <c r="GE85" s="57">
        <f ca="1">AVERAGE(OFFSET($GD$3,0,0,'Données projet'!$E$17+1,1))-AVERAGE(OFFSET($H$3,0,0,'Données projet'!$E$17+1,1))</f>
        <v>414.47327143450701</v>
      </c>
      <c r="GF85" s="57">
        <f t="shared" si="104"/>
        <v>546.83385887302961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172.97112265813294</v>
      </c>
      <c r="GM85" s="21">
        <f>EXP(-LN(2)/25)*GM84+(1-EXP(-LN(2)/25))/(LN(2)/25)*Calculateur!GH85*Calculateur!GJ85*VLOOKUP('Données projet'!$B$17,Paramètres!$A$1:$I$89,3,0)*0.475*44/12</f>
        <v>29.292182595194241</v>
      </c>
      <c r="GN85" s="21">
        <f>EXP(-LN(2)/2)*GN84+(1-EXP(-LN(2)/2))/(LN(2)/2)*GH85*GK85*VLOOKUP('Données projet'!$B$17,Paramètres!$A$1:$I$89,3,0)*0.475*44/12</f>
        <v>2.5358258273575425E-3</v>
      </c>
      <c r="GO85" s="21">
        <f t="shared" si="81"/>
        <v>202.26584107915454</v>
      </c>
      <c r="GP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66.071096493757665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5</v>
      </c>
      <c r="GU85" s="12">
        <f>IF('Données projet'!$A$270&gt;35,GU84+GT85-HC84,IF(A85&lt;'Données projet'!$A$270,$GR$205^A85,IF(A85='Données projet'!$A$270,'Données projet'!$B$270,GU84+GT85-HC84)))</f>
        <v>415.99999999999994</v>
      </c>
      <c r="GV85" s="17">
        <f>GU85*VLOOKUP('Données projet'!$B$18,Paramètres!$A$1:$I$89,3,0)*VLOOKUP('Données projet'!$B$18,Paramètres!$A$1:$I$89,5,0)</f>
        <v>227.13599999999997</v>
      </c>
      <c r="GW85" s="13">
        <f t="shared" si="105"/>
        <v>55.662966886685133</v>
      </c>
      <c r="GX85" s="20">
        <f t="shared" si="82"/>
        <v>492.54153399430987</v>
      </c>
      <c r="GY85" s="57">
        <f t="shared" si="83"/>
        <v>771.46888780475467</v>
      </c>
      <c r="GZ85" s="57">
        <f ca="1">AVERAGE(OFFSET($GY$3,0,0,'Données projet'!$E$18+1,1))-AVERAGE(OFFSET($H$3,0,0,'Données projet'!$E$18+1,1))</f>
        <v>381.00532469288714</v>
      </c>
      <c r="HA85" s="57">
        <f t="shared" si="106"/>
        <v>314.875259641757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>
        <f>EXP(-LN(2)/35)*HG84+(1-EXP(-LN(2)/35))/(LN(2)/35)*HC85*HD85*VLOOKUP('Données projet'!$B$18,Paramètres!$A$1:$I$89,3,0)*0.475*44/12</f>
        <v>52.473476094875274</v>
      </c>
      <c r="HH85" s="21">
        <f>EXP(-LN(2)/25)*HH84+(1-EXP(-LN(2)/25))/(LN(2)/25)*Calculateur!HC85*Calculateur!HE85*VLOOKUP('Données projet'!$B$18,Paramètres!$A$1:$I$89,3,0)*0.475*44/12</f>
        <v>16.818703540587126</v>
      </c>
      <c r="HI85" s="21">
        <f>EXP(-LN(2)/2)*HI84+(1-EXP(-LN(2)/2))/(LN(2)/2)*HC85*HF85*VLOOKUP('Données projet'!$B$18,Paramètres!$A$1:$I$89,3,0)*0.475*44/12</f>
        <v>0.59942643967959408</v>
      </c>
      <c r="HJ85" s="22">
        <f t="shared" si="84"/>
        <v>69.891606075141993</v>
      </c>
    </row>
    <row r="86" spans="1:218" x14ac:dyDescent="0.2">
      <c r="A86" s="10">
        <f t="shared" si="85"/>
        <v>83</v>
      </c>
      <c r="B86" s="71">
        <f>'Scénario référence'!$B$16*5+'Scénario référence'!$B$17*0+'Scénario référence'!$B$18*5</f>
        <v>3.3000000000000003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12.100000000000001</v>
      </c>
      <c r="H86" s="65">
        <f t="shared" si="56"/>
        <v>208.26666666666665</v>
      </c>
      <c r="I86" s="6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66.139254185878627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4.4000000000000004</v>
      </c>
      <c r="N86" s="13">
        <f>IF('Données projet'!$A$36&gt;35,N85+M86-V85,IF(A86&lt;'Données projet'!$A$36,$K$205^A86,IF(A86='Données projet'!$A$36,'Données projet'!$B$36,N85+M86-V85)))</f>
        <v>191.2</v>
      </c>
      <c r="O86" s="13">
        <f>N86*VLOOKUP('Données projet'!$B$9,Paramètres!$A$1:$I$89,3,0)*VLOOKUP('Données projet'!$B$9,Paramètres!$A$1:$I$89,5,0)</f>
        <v>193.8768</v>
      </c>
      <c r="P86" s="13">
        <f t="shared" si="87"/>
        <v>48.396048099527611</v>
      </c>
      <c r="Q86" s="20">
        <f t="shared" si="54"/>
        <v>421.95854377334393</v>
      </c>
      <c r="R86" s="57">
        <f t="shared" si="55"/>
        <v>701.13580912156556</v>
      </c>
      <c r="S86" s="57">
        <f ca="1">AVERAGE(OFFSET($R$3,0,0,'Données projet'!$E$9+1,1))-AVERAGE(OFFSET($H$3,0,0,'Données projet'!$E$9+1,1))</f>
        <v>332.70145542047612</v>
      </c>
      <c r="T86" s="57">
        <f t="shared" si="88"/>
        <v>172.22433737900428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14.395898053848406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14.395898053848406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66.139254185878627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7.0711111111111098</v>
      </c>
      <c r="AI86" s="13">
        <f>IF('Données projet'!$A$62&gt;35,AI85+AH86-AQ85,IF(A86&lt;'Données projet'!$A$62,$AF$205^A86,IF(A86='Données projet'!$A$62,'Données projet'!$B$62,AI85+AH86-AQ85)))</f>
        <v>246.63888888888889</v>
      </c>
      <c r="AJ86" s="13">
        <f>AI86*VLOOKUP('Données projet'!$B$10,Paramètres!$A$1:$I$89,3,0)*VLOOKUP('Données projet'!$B$10,Paramètres!$A$1:$I$89,5,0)</f>
        <v>223.15886666666665</v>
      </c>
      <c r="AK86" s="13">
        <f t="shared" si="89"/>
        <v>54.800879089050497</v>
      </c>
      <c r="AL86" s="20">
        <f t="shared" si="58"/>
        <v>484.11322385787395</v>
      </c>
      <c r="AM86" s="57">
        <f t="shared" si="59"/>
        <v>763.29048920609557</v>
      </c>
      <c r="AN86" s="57">
        <f ca="1">AVERAGE(OFFSET($AM$3,0,0,'Données projet'!$E$10+1,1))-AVERAGE(OFFSET($H$3,0,0,'Données projet'!$E$10+1,1))</f>
        <v>469.4210143164521</v>
      </c>
      <c r="AO86" s="57">
        <f t="shared" si="90"/>
        <v>308.4508386530556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15.837592396907892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15.837592396907892</v>
      </c>
      <c r="AY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66.139254185878627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7" t="e">
        <f t="shared" si="62"/>
        <v>#NUM!</v>
      </c>
      <c r="BI86" s="57">
        <f ca="1">AVERAGE(OFFSET($BH$3,0,0,'Données projet'!$E$11+1,1))-AVERAGE(OFFSET($H$3,0,0,'Données projet'!$E$11+1,1))</f>
        <v>344.32981377462971</v>
      </c>
      <c r="BJ86" s="57">
        <f t="shared" si="92"/>
        <v>334.42512656625763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109.39347950667758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109.39347950667758</v>
      </c>
      <c r="BT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66.139254185878627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7</v>
      </c>
      <c r="BY86" s="12">
        <f>IF('Données projet'!$A$114&gt;35,BY85+BX86-CG85,IF(A86&lt;'Données projet'!$A$114,$BV$205^A86,IF(A86='Données projet'!$A$114,'Données projet'!$B$114,BY85+BX86-CG85)))</f>
        <v>297.0000000000004</v>
      </c>
      <c r="BZ86" s="13">
        <f>BY86*VLOOKUP('Données projet'!$B$12,Paramètres!$A$1:$I$89,3,0)*VLOOKUP('Données projet'!$B$12,Paramètres!$A$1:$I$89,5,0)</f>
        <v>282.6252000000004</v>
      </c>
      <c r="CA86" s="13">
        <f t="shared" si="93"/>
        <v>67.521487432655988</v>
      </c>
      <c r="CB86" s="20">
        <f t="shared" si="64"/>
        <v>609.83881394520984</v>
      </c>
      <c r="CC86" s="57">
        <f t="shared" si="65"/>
        <v>889.0160792934314</v>
      </c>
      <c r="CD86" s="57">
        <f ca="1">AVERAGE(OFFSET($CC$3,0,0,'Données projet'!$E$12+1,1))-AVERAGE(OFFSET($H$3,0,0,'Données projet'!$E$12+1,1))</f>
        <v>498.77732039282807</v>
      </c>
      <c r="CE86" s="57">
        <f t="shared" si="94"/>
        <v>384.57317421826531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41.012291263685285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41.012291263685285</v>
      </c>
      <c r="CO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66.139254185878627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7.0711111111111098</v>
      </c>
      <c r="CT86" s="12">
        <f>IF('Données projet'!$A$140&gt;35,CT85+CS86-DB85,IF(A86&lt;'Données projet'!$A$140,$CQ$205^A86,IF(A86='Données projet'!$A$140,'Données projet'!$B$140,CT85+CS86-DB85)))</f>
        <v>246.63888888888889</v>
      </c>
      <c r="CU86" s="17">
        <f>CT86*VLOOKUP('Données projet'!$B$13,Paramètres!$A$1:$I$89,3,0)*VLOOKUP('Données projet'!$B$13,Paramètres!$A$1:$I$89,5,0)</f>
        <v>165.44536666666667</v>
      </c>
      <c r="CV86" s="13">
        <f t="shared" si="95"/>
        <v>42.06833053153197</v>
      </c>
      <c r="CW86" s="20">
        <f t="shared" si="67"/>
        <v>361.41968928686265</v>
      </c>
      <c r="CX86" s="57">
        <f t="shared" si="68"/>
        <v>640.59695463508433</v>
      </c>
      <c r="CY86" s="57">
        <f ca="1">AVERAGE(OFFSET($CX$3,0,0,'Données projet'!$E$13+1,1))-AVERAGE(OFFSET($H$3,0,0,'Données projet'!$E$13+1,1))</f>
        <v>365.99625753737246</v>
      </c>
      <c r="CZ86" s="57">
        <f t="shared" si="96"/>
        <v>242.84814712692287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14.472282707519289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14.472282707519289</v>
      </c>
      <c r="DJ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66.139254185878627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4.2</v>
      </c>
      <c r="DO86" s="12">
        <f>IF('Données projet'!$A$166&gt;35,DO85+DN86-DW85,IF(A86&lt;'Données projet'!$A$166,$DL$205^A86,IF(A86='Données projet'!$A$166,'Données projet'!$B$166,DO85+DN86-DW85)))</f>
        <v>271.60000000000019</v>
      </c>
      <c r="DP86" s="17">
        <f>DO86*VLOOKUP('Données projet'!$B$14,Paramètres!$A$1:$I$89,3,0)*VLOOKUP('Données projet'!$B$14,Paramètres!$A$1:$I$89,5,0)</f>
        <v>177.95232000000013</v>
      </c>
      <c r="DQ86" s="13">
        <f t="shared" si="97"/>
        <v>44.866312182234608</v>
      </c>
      <c r="DR86" s="20">
        <f t="shared" si="70"/>
        <v>388.07578438405881</v>
      </c>
      <c r="DS86" s="57">
        <f t="shared" si="71"/>
        <v>667.25304973228049</v>
      </c>
      <c r="DT86" s="57">
        <f ca="1">AVERAGE(OFFSET($DS$3,0,0,'Données projet'!$E$14+1,1))-AVERAGE(OFFSET($H$3,0,0,'Données projet'!$E$14+1,1))</f>
        <v>313.79279628660527</v>
      </c>
      <c r="DU86" s="57">
        <f t="shared" si="98"/>
        <v>317.45469955216254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21.659173386796898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21.659173386796898</v>
      </c>
      <c r="EE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66.139254185878627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10.333333333333334</v>
      </c>
      <c r="EJ86" s="12">
        <f>IF('Données projet'!$A$192&gt;35,EJ85+EI86-ER85,IF(A86&lt;'Données projet'!$A$192,$EG$205^A86,IF(A86='Données projet'!$A$192,'Données projet'!$B$192,EJ85+EI86-ER85)))</f>
        <v>634.66666666666652</v>
      </c>
      <c r="EK86" s="17">
        <f>EJ86*VLOOKUP('Données projet'!$B$15,Paramètres!$A$1:$I$89,3,0)*VLOOKUP('Données projet'!$B$15,Paramètres!$A$1:$I$89,5,0)</f>
        <v>544.54399999999987</v>
      </c>
      <c r="EL86" s="13">
        <f t="shared" si="99"/>
        <v>120.53434258320472</v>
      </c>
      <c r="EM86" s="20">
        <f t="shared" si="73"/>
        <v>1158.3447799990813</v>
      </c>
      <c r="EN86" s="57">
        <f t="shared" si="74"/>
        <v>1437.522045347303</v>
      </c>
      <c r="EO86" s="57">
        <f ca="1">AVERAGE(OFFSET($EN$3,0,0,'Données projet'!$E$15+1,1))-AVERAGE(OFFSET($H$3,0,0,'Données projet'!$E$15+1,1))</f>
        <v>643.04899298561475</v>
      </c>
      <c r="EP86" s="57">
        <f t="shared" si="100"/>
        <v>474.94999304483031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68.279718492923763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68.279718492923763</v>
      </c>
      <c r="EZ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66.139254185878627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>
        <f>FE86*VLOOKUP('Données projet'!$B$16,Paramètres!$A$1:$I$89,3,0)*VLOOKUP('Données projet'!$B$16,Paramètres!$A$1:$I$89,5,0)</f>
        <v>0</v>
      </c>
      <c r="FG86" s="13" t="e">
        <f t="shared" si="101"/>
        <v>#NUM!</v>
      </c>
      <c r="FH86" s="20" t="e">
        <f t="shared" si="76"/>
        <v>#NUM!</v>
      </c>
      <c r="FI86" s="57" t="e">
        <f t="shared" si="77"/>
        <v>#NUM!</v>
      </c>
      <c r="FJ86" s="57">
        <f ca="1">AVERAGE(OFFSET($FI$3,0,0,'Données projet'!$E$16+1,1))-AVERAGE(OFFSET($H$3,0,0,'Données projet'!$E$16+1,1))</f>
        <v>375.34603719604439</v>
      </c>
      <c r="FK86" s="57">
        <f t="shared" si="102"/>
        <v>363.99476973672211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149.17784736289133</v>
      </c>
      <c r="FR86" s="21">
        <f>EXP(-LN(2)/25)*FR85+(1-EXP(-LN(2)/25))/(LN(2)/25)*Calculateur!FM86*Calculateur!FO86*VLOOKUP('Données projet'!$B$16,Paramètres!$A$1:$I$89,3,0)*0.475*44/12</f>
        <v>0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149.17784736289133</v>
      </c>
      <c r="FU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66.139254185878627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-1.1368683772161603E-13</v>
      </c>
      <c r="GA86" s="17">
        <f>FZ86*VLOOKUP('Données projet'!$B$17,Paramètres!$A$1:$I$89,3,0)*VLOOKUP('Données projet'!$B$17,Paramètres!$A$1:$I$89,5,0)</f>
        <v>-6.3550942286383367E-14</v>
      </c>
      <c r="GB86" s="13" t="e">
        <f t="shared" si="103"/>
        <v>#NUM!</v>
      </c>
      <c r="GC86" s="20" t="e">
        <f t="shared" si="79"/>
        <v>#NUM!</v>
      </c>
      <c r="GD86" s="57" t="e">
        <f t="shared" si="80"/>
        <v>#NUM!</v>
      </c>
      <c r="GE86" s="57">
        <f ca="1">AVERAGE(OFFSET($GD$3,0,0,'Données projet'!$E$17+1,1))-AVERAGE(OFFSET($H$3,0,0,'Données projet'!$E$17+1,1))</f>
        <v>414.47327143450701</v>
      </c>
      <c r="GF86" s="57">
        <f t="shared" si="104"/>
        <v>546.83385887302961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169.57926444477431</v>
      </c>
      <c r="GM86" s="21">
        <f>EXP(-LN(2)/25)*GM85+(1-EXP(-LN(2)/25))/(LN(2)/25)*Calculateur!GH86*Calculateur!GJ86*VLOOKUP('Données projet'!$B$17,Paramètres!$A$1:$I$89,3,0)*0.475*44/12</f>
        <v>28.49118632171972</v>
      </c>
      <c r="GN86" s="21">
        <f>EXP(-LN(2)/2)*GN85+(1-EXP(-LN(2)/2))/(LN(2)/2)*GH86*GK86*VLOOKUP('Données projet'!$B$17,Paramètres!$A$1:$I$89,3,0)*0.475*44/12</f>
        <v>1.7930996384325057E-3</v>
      </c>
      <c r="GO86" s="21">
        <f t="shared" si="81"/>
        <v>198.07224386613245</v>
      </c>
      <c r="GP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66.139254185878627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5</v>
      </c>
      <c r="GU86" s="12">
        <f>IF('Données projet'!$A$270&gt;35,GU85+GT86-HC85,IF(A86&lt;'Données projet'!$A$270,$GR$205^A86,IF(A86='Données projet'!$A$270,'Données projet'!$B$270,GU85+GT86-HC85)))</f>
        <v>420.99999999999994</v>
      </c>
      <c r="GV86" s="17">
        <f>GU86*VLOOKUP('Données projet'!$B$18,Paramètres!$A$1:$I$89,3,0)*VLOOKUP('Données projet'!$B$18,Paramètres!$A$1:$I$89,5,0)</f>
        <v>229.86599999999996</v>
      </c>
      <c r="GW86" s="13">
        <f t="shared" si="105"/>
        <v>56.253706615564326</v>
      </c>
      <c r="GX86" s="20">
        <f t="shared" si="82"/>
        <v>498.32515568877437</v>
      </c>
      <c r="GY86" s="57">
        <f t="shared" si="83"/>
        <v>777.502421036996</v>
      </c>
      <c r="GZ86" s="57">
        <f ca="1">AVERAGE(OFFSET($GY$3,0,0,'Données projet'!$E$18+1,1))-AVERAGE(OFFSET($H$3,0,0,'Données projet'!$E$18+1,1))</f>
        <v>381.00532469288714</v>
      </c>
      <c r="HA86" s="57">
        <f t="shared" si="106"/>
        <v>314.875259641757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>
        <f>EXP(-LN(2)/35)*HG85+(1-EXP(-LN(2)/35))/(LN(2)/35)*HC86*HD86*VLOOKUP('Données projet'!$B$18,Paramètres!$A$1:$I$89,3,0)*0.475*44/12</f>
        <v>51.444503234314894</v>
      </c>
      <c r="HH86" s="21">
        <f>EXP(-LN(2)/25)*HH85+(1-EXP(-LN(2)/25))/(LN(2)/25)*Calculateur!HC86*Calculateur!HE86*VLOOKUP('Données projet'!$B$18,Paramètres!$A$1:$I$89,3,0)*0.475*44/12</f>
        <v>16.358795207812591</v>
      </c>
      <c r="HI86" s="21">
        <f>EXP(-LN(2)/2)*HI85+(1-EXP(-LN(2)/2))/(LN(2)/2)*HC86*HF86*VLOOKUP('Données projet'!$B$18,Paramètres!$A$1:$I$89,3,0)*0.475*44/12</f>
        <v>0.42385850031994998</v>
      </c>
      <c r="HJ86" s="22">
        <f t="shared" si="84"/>
        <v>68.227156942447436</v>
      </c>
    </row>
    <row r="87" spans="1:218" x14ac:dyDescent="0.2">
      <c r="A87" s="10">
        <f t="shared" si="85"/>
        <v>84</v>
      </c>
      <c r="B87" s="71">
        <f>'Scénario référence'!$B$16*5+'Scénario référence'!$B$17*0+'Scénario référence'!$B$18*5</f>
        <v>3.3000000000000003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12.100000000000001</v>
      </c>
      <c r="H87" s="65">
        <f t="shared" si="56"/>
        <v>208.26666666666665</v>
      </c>
      <c r="I87" s="6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66.206229494419063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4.4000000000000004</v>
      </c>
      <c r="N87" s="13">
        <f>IF('Données projet'!$A$36&gt;35,N86+M87-V86,IF(A87&lt;'Données projet'!$A$36,$K$205^A87,IF(A87='Données projet'!$A$36,'Données projet'!$B$36,N86+M87-V86)))</f>
        <v>195.6</v>
      </c>
      <c r="O87" s="13">
        <f>N87*VLOOKUP('Données projet'!$B$9,Paramètres!$A$1:$I$89,3,0)*VLOOKUP('Données projet'!$B$9,Paramètres!$A$1:$I$89,5,0)</f>
        <v>198.33840000000001</v>
      </c>
      <c r="P87" s="13">
        <f t="shared" si="87"/>
        <v>49.378821219958084</v>
      </c>
      <c r="Q87" s="20">
        <f t="shared" si="54"/>
        <v>431.44082695809374</v>
      </c>
      <c r="R87" s="57">
        <f t="shared" si="55"/>
        <v>710.86366843763028</v>
      </c>
      <c r="S87" s="57">
        <f ca="1">AVERAGE(OFFSET($R$3,0,0,'Données projet'!$E$9+1,1))-AVERAGE(OFFSET($H$3,0,0,'Données projet'!$E$9+1,1))</f>
        <v>332.70145542047612</v>
      </c>
      <c r="T87" s="57">
        <f t="shared" si="88"/>
        <v>172.22433737900428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14.113603273643236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14.113603273643236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66.206229494419063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253.71</v>
      </c>
      <c r="AG87" s="12">
        <f>VLOOKUP(A87,'Données projet'!$A$61:$I$81,9,0)</f>
        <v>7.0711111111111098</v>
      </c>
      <c r="AH87" s="12">
        <f t="array" ref="AH87">INDEX(AG:AG,MIN(IF(ISNUMBER(AG87:AG283),ROW(AG87:AG283),"")))</f>
        <v>7.0711111111111098</v>
      </c>
      <c r="AI87" s="13">
        <f>IF('Données projet'!$A$62&gt;35,AI86+AH87-AQ86,IF(A87&lt;'Données projet'!$A$62,$AF$205^A87,IF(A87='Données projet'!$A$62,'Données projet'!$B$62,AI86+AH87-AQ86)))</f>
        <v>253.71</v>
      </c>
      <c r="AJ87" s="13">
        <f>AI87*VLOOKUP('Données projet'!$B$10,Paramètres!$A$1:$I$89,3,0)*VLOOKUP('Données projet'!$B$10,Paramètres!$A$1:$I$89,5,0)</f>
        <v>229.55680800000002</v>
      </c>
      <c r="AK87" s="13">
        <f t="shared" si="89"/>
        <v>56.186842304335308</v>
      </c>
      <c r="AL87" s="20">
        <f t="shared" si="58"/>
        <v>497.67019094671736</v>
      </c>
      <c r="AM87" s="57">
        <f t="shared" si="59"/>
        <v>777.0930324262539</v>
      </c>
      <c r="AN87" s="57">
        <f ca="1">AVERAGE(OFFSET($AM$3,0,0,'Données projet'!$E$10+1,1))-AVERAGE(OFFSET($H$3,0,0,'Données projet'!$E$10+1,1))</f>
        <v>469.4210143164521</v>
      </c>
      <c r="AO87" s="57">
        <f t="shared" si="90"/>
        <v>308.4508386530556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44.89</v>
      </c>
      <c r="AR87" s="16">
        <f>IF(ISNA(VLOOKUP(A87,'Données projet'!$A$61:$I$81,5,0)),0%,VLOOKUP(A87,'Données projet'!$A$61:$I$81,5,0)*VLOOKUP('Données projet'!$B$10,Paramètres!$A$1:$I$89,7,0))</f>
        <v>0.17200000000000001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23.249879625328312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23.249879625328312</v>
      </c>
      <c r="AY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66.206229494419063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7" t="e">
        <f t="shared" si="62"/>
        <v>#NUM!</v>
      </c>
      <c r="BI87" s="57">
        <f ca="1">AVERAGE(OFFSET($BH$3,0,0,'Données projet'!$E$11+1,1))-AVERAGE(OFFSET($H$3,0,0,'Données projet'!$E$11+1,1))</f>
        <v>344.32981377462971</v>
      </c>
      <c r="BJ87" s="57">
        <f t="shared" si="92"/>
        <v>334.42512656625763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107.24834009698574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107.24834009698574</v>
      </c>
      <c r="BT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66.206229494419063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7</v>
      </c>
      <c r="BY87" s="12">
        <f>IF('Données projet'!$A$114&gt;35,BY86+BX87-CG86,IF(A87&lt;'Données projet'!$A$114,$BV$205^A87,IF(A87='Données projet'!$A$114,'Données projet'!$B$114,BY86+BX87-CG86)))</f>
        <v>304.0000000000004</v>
      </c>
      <c r="BZ87" s="13">
        <f>BY87*VLOOKUP('Données projet'!$B$12,Paramètres!$A$1:$I$89,3,0)*VLOOKUP('Données projet'!$B$12,Paramètres!$A$1:$I$89,5,0)</f>
        <v>289.28640000000036</v>
      </c>
      <c r="CA87" s="13">
        <f t="shared" si="93"/>
        <v>68.925750029647432</v>
      </c>
      <c r="CB87" s="20">
        <f t="shared" si="64"/>
        <v>623.88616130163655</v>
      </c>
      <c r="CC87" s="57">
        <f t="shared" si="65"/>
        <v>903.30900278117315</v>
      </c>
      <c r="CD87" s="57">
        <f ca="1">AVERAGE(OFFSET($CC$3,0,0,'Données projet'!$E$12+1,1))-AVERAGE(OFFSET($H$3,0,0,'Données projet'!$E$12+1,1))</f>
        <v>498.77732039282807</v>
      </c>
      <c r="CE87" s="57">
        <f t="shared" si="94"/>
        <v>384.57317421826531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40.20806524703206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40.20806524703206</v>
      </c>
      <c r="CO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66.206229494419063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>
        <f>VLOOKUP(A87,'Données projet'!$A$139:$I$159,2,0)</f>
        <v>253.71</v>
      </c>
      <c r="CR87" s="12">
        <f>VLOOKUP(A87,'Données projet'!$A$139:$I$159,9,0)</f>
        <v>7.0711111111111098</v>
      </c>
      <c r="CS87" s="12">
        <f t="array" ref="CS87">INDEX(CR:CR,MIN(IF(ISNUMBER(CR87:CR283),ROW(CR87:CR283),"")))</f>
        <v>7.0711111111111098</v>
      </c>
      <c r="CT87" s="12">
        <f>IF('Données projet'!$A$140&gt;35,CT86+CS87-DB86,IF(A87&lt;'Données projet'!$A$140,$CQ$205^A87,IF(A87='Données projet'!$A$140,'Données projet'!$B$140,CT86+CS87-DB86)))</f>
        <v>253.71</v>
      </c>
      <c r="CU87" s="17">
        <f>CT87*VLOOKUP('Données projet'!$B$13,Paramètres!$A$1:$I$89,3,0)*VLOOKUP('Données projet'!$B$13,Paramètres!$A$1:$I$89,5,0)</f>
        <v>170.18866800000001</v>
      </c>
      <c r="CV87" s="13">
        <f t="shared" si="95"/>
        <v>43.13227621295794</v>
      </c>
      <c r="CW87" s="20">
        <f t="shared" si="67"/>
        <v>371.53397783756844</v>
      </c>
      <c r="CX87" s="57">
        <f t="shared" si="68"/>
        <v>650.95681931710499</v>
      </c>
      <c r="CY87" s="57">
        <f ca="1">AVERAGE(OFFSET($CX$3,0,0,'Données projet'!$E$13+1,1))-AVERAGE(OFFSET($H$3,0,0,'Données projet'!$E$13+1,1))</f>
        <v>365.99625753737246</v>
      </c>
      <c r="CZ87" s="57">
        <f t="shared" si="96"/>
        <v>242.84814712692287</v>
      </c>
      <c r="DA87" s="15">
        <f>IF(ISNA(VLOOKUP(A87,'Données projet'!$A$139:$I$159,3,0)),0,VLOOKUP(A87,'Données projet'!$A$139:$I$159,3,0))</f>
        <v>6</v>
      </c>
      <c r="DB87" s="15">
        <f>IF(ISNA(VLOOKUP(A87,'Données projet'!$A$139:$I$159,4,0)),0,VLOOKUP(A87,'Données projet'!$A$139:$I$159,4,0))</f>
        <v>44.89</v>
      </c>
      <c r="DC87" s="16">
        <f>IF(ISNA(VLOOKUP(A87,'Données projet'!$A$139:$I$159,5,0)),0%,VLOOKUP(A87,'Données projet'!$A$139:$I$159,5,0)*VLOOKUP('Données projet'!$B$13,Paramètres!$A$1:$I$89,7,0))</f>
        <v>0.21200000000000002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21.245579657627605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21.245579657627605</v>
      </c>
      <c r="DJ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66.206229494419063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4.2</v>
      </c>
      <c r="DO87" s="12">
        <f>IF('Données projet'!$A$166&gt;35,DO86+DN87-DW86,IF(A87&lt;'Données projet'!$A$166,$DL$205^A87,IF(A87='Données projet'!$A$166,'Données projet'!$B$166,DO86+DN87-DW86)))</f>
        <v>275.80000000000018</v>
      </c>
      <c r="DP87" s="17">
        <f>DO87*VLOOKUP('Données projet'!$B$14,Paramètres!$A$1:$I$89,3,0)*VLOOKUP('Données projet'!$B$14,Paramètres!$A$1:$I$89,5,0)</f>
        <v>180.70416000000012</v>
      </c>
      <c r="DQ87" s="13">
        <f t="shared" si="97"/>
        <v>45.4788131763084</v>
      </c>
      <c r="DR87" s="20">
        <f t="shared" si="70"/>
        <v>393.93534494873728</v>
      </c>
      <c r="DS87" s="57">
        <f t="shared" si="71"/>
        <v>673.35818642827383</v>
      </c>
      <c r="DT87" s="57">
        <f ca="1">AVERAGE(OFFSET($DS$3,0,0,'Données projet'!$E$14+1,1))-AVERAGE(OFFSET($H$3,0,0,'Données projet'!$E$14+1,1))</f>
        <v>313.79279628660527</v>
      </c>
      <c r="DU87" s="57">
        <f t="shared" si="98"/>
        <v>317.45469955216254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21.23445020747312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21.23445020747312</v>
      </c>
      <c r="EE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66.206229494419063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>
        <f>VLOOKUP(A87,'Données projet'!$A$191:$I$211,2,0)</f>
        <v>645</v>
      </c>
      <c r="EH87" s="12">
        <f>VLOOKUP(A87,'Données projet'!$A$191:$I$211,9,0)</f>
        <v>10.333333333333334</v>
      </c>
      <c r="EI87" s="12">
        <f t="array" ref="EI87">INDEX(EH:EH,MIN(IF(ISNUMBER(EH87:EH283),ROW(EH87:EH283),"")))</f>
        <v>10.333333333333334</v>
      </c>
      <c r="EJ87" s="12">
        <f>IF('Données projet'!$A$192&gt;35,EJ86+EI87-ER86,IF(A87&lt;'Données projet'!$A$192,$EG$205^A87,IF(A87='Données projet'!$A$192,'Données projet'!$B$192,EJ86+EI87-ER86)))</f>
        <v>644.99999999999989</v>
      </c>
      <c r="EK87" s="17">
        <f>EJ87*VLOOKUP('Données projet'!$B$15,Paramètres!$A$1:$I$89,3,0)*VLOOKUP('Données projet'!$B$15,Paramètres!$A$1:$I$89,5,0)</f>
        <v>553.41</v>
      </c>
      <c r="EL87" s="13">
        <f t="shared" si="99"/>
        <v>122.26675787830555</v>
      </c>
      <c r="EM87" s="20">
        <f t="shared" si="73"/>
        <v>1176.8036866380487</v>
      </c>
      <c r="EN87" s="57">
        <f t="shared" si="74"/>
        <v>1456.2265281175853</v>
      </c>
      <c r="EO87" s="57">
        <f ca="1">AVERAGE(OFFSET($EN$3,0,0,'Données projet'!$E$15+1,1))-AVERAGE(OFFSET($H$3,0,0,'Données projet'!$E$15+1,1))</f>
        <v>643.04899298561475</v>
      </c>
      <c r="EP87" s="57">
        <f t="shared" si="100"/>
        <v>474.94999304483031</v>
      </c>
      <c r="EQ87" s="15">
        <f>IF(ISNA(VLOOKUP(A87,'Données projet'!$A$191:$I$211,3,0)),0,VLOOKUP(A87,'Données projet'!$A$191:$I$211,3,0))</f>
        <v>13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0.42400000000000004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66.940794859793556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66.940794859793556</v>
      </c>
      <c r="EZ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66.206229494419063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>
        <f>FE87*VLOOKUP('Données projet'!$B$16,Paramètres!$A$1:$I$89,3,0)*VLOOKUP('Données projet'!$B$16,Paramètres!$A$1:$I$89,5,0)</f>
        <v>0</v>
      </c>
      <c r="FG87" s="13" t="e">
        <f t="shared" si="101"/>
        <v>#NUM!</v>
      </c>
      <c r="FH87" s="20" t="e">
        <f t="shared" si="76"/>
        <v>#NUM!</v>
      </c>
      <c r="FI87" s="57" t="e">
        <f t="shared" si="77"/>
        <v>#NUM!</v>
      </c>
      <c r="FJ87" s="57">
        <f ca="1">AVERAGE(OFFSET($FI$3,0,0,'Données projet'!$E$16+1,1))-AVERAGE(OFFSET($H$3,0,0,'Données projet'!$E$16+1,1))</f>
        <v>375.34603719604439</v>
      </c>
      <c r="FK87" s="57">
        <f t="shared" si="102"/>
        <v>363.99476973672211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146.25256076560746</v>
      </c>
      <c r="FR87" s="21">
        <f>EXP(-LN(2)/25)*FR86+(1-EXP(-LN(2)/25))/(LN(2)/25)*Calculateur!FM87*Calculateur!FO87*VLOOKUP('Données projet'!$B$16,Paramètres!$A$1:$I$89,3,0)*0.475*44/12</f>
        <v>0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146.25256076560746</v>
      </c>
      <c r="FU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66.206229494419063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-1.1368683772161603E-13</v>
      </c>
      <c r="GA87" s="17">
        <f>FZ87*VLOOKUP('Données projet'!$B$17,Paramètres!$A$1:$I$89,3,0)*VLOOKUP('Données projet'!$B$17,Paramètres!$A$1:$I$89,5,0)</f>
        <v>-6.3550942286383367E-14</v>
      </c>
      <c r="GB87" s="13" t="e">
        <f t="shared" si="103"/>
        <v>#NUM!</v>
      </c>
      <c r="GC87" s="20" t="e">
        <f t="shared" si="79"/>
        <v>#NUM!</v>
      </c>
      <c r="GD87" s="57" t="e">
        <f t="shared" si="80"/>
        <v>#NUM!</v>
      </c>
      <c r="GE87" s="57">
        <f ca="1">AVERAGE(OFFSET($GD$3,0,0,'Données projet'!$E$17+1,1))-AVERAGE(OFFSET($H$3,0,0,'Données projet'!$E$17+1,1))</f>
        <v>414.47327143450701</v>
      </c>
      <c r="GF87" s="57">
        <f t="shared" si="104"/>
        <v>546.83385887302961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166.25391850215041</v>
      </c>
      <c r="GM87" s="21">
        <f>EXP(-LN(2)/25)*GM86+(1-EXP(-LN(2)/25))/(LN(2)/25)*Calculateur!GH87*Calculateur!GJ87*VLOOKUP('Données projet'!$B$17,Paramètres!$A$1:$I$89,3,0)*0.475*44/12</f>
        <v>27.712093333465923</v>
      </c>
      <c r="GN87" s="21">
        <f>EXP(-LN(2)/2)*GN86+(1-EXP(-LN(2)/2))/(LN(2)/2)*GH87*GK87*VLOOKUP('Données projet'!$B$17,Paramètres!$A$1:$I$89,3,0)*0.475*44/12</f>
        <v>1.2679129136787713E-3</v>
      </c>
      <c r="GO87" s="21">
        <f t="shared" si="81"/>
        <v>193.96727974853002</v>
      </c>
      <c r="GP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66.206229494419063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5</v>
      </c>
      <c r="GU87" s="12">
        <f>IF('Données projet'!$A$270&gt;35,GU86+GT87-HC86,IF(A87&lt;'Données projet'!$A$270,$GR$205^A87,IF(A87='Données projet'!$A$270,'Données projet'!$B$270,GU86+GT87-HC86)))</f>
        <v>425.99999999999994</v>
      </c>
      <c r="GV87" s="17">
        <f>GU87*VLOOKUP('Données projet'!$B$18,Paramètres!$A$1:$I$89,3,0)*VLOOKUP('Données projet'!$B$18,Paramètres!$A$1:$I$89,5,0)</f>
        <v>232.59599999999995</v>
      </c>
      <c r="GW87" s="13">
        <f t="shared" si="105"/>
        <v>56.843630236302218</v>
      </c>
      <c r="GX87" s="20">
        <f t="shared" si="82"/>
        <v>504.10735599489294</v>
      </c>
      <c r="GY87" s="57">
        <f t="shared" si="83"/>
        <v>783.53019747442954</v>
      </c>
      <c r="GZ87" s="57">
        <f ca="1">AVERAGE(OFFSET($GY$3,0,0,'Données projet'!$E$18+1,1))-AVERAGE(OFFSET($H$3,0,0,'Données projet'!$E$18+1,1))</f>
        <v>381.00532469288714</v>
      </c>
      <c r="HA87" s="57">
        <f t="shared" si="106"/>
        <v>314.875259641757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>
        <f>EXP(-LN(2)/35)*HG86+(1-EXP(-LN(2)/35))/(LN(2)/35)*HC87*HD87*VLOOKUP('Données projet'!$B$18,Paramètres!$A$1:$I$89,3,0)*0.475*44/12</f>
        <v>50.435707903938628</v>
      </c>
      <c r="HH87" s="21">
        <f>EXP(-LN(2)/25)*HH86+(1-EXP(-LN(2)/25))/(LN(2)/25)*Calculateur!HC87*Calculateur!HE87*VLOOKUP('Données projet'!$B$18,Paramètres!$A$1:$I$89,3,0)*0.475*44/12</f>
        <v>15.911463092583304</v>
      </c>
      <c r="HI87" s="21">
        <f>EXP(-LN(2)/2)*HI86+(1-EXP(-LN(2)/2))/(LN(2)/2)*HC87*HF87*VLOOKUP('Données projet'!$B$18,Paramètres!$A$1:$I$89,3,0)*0.475*44/12</f>
        <v>0.2997132198397971</v>
      </c>
      <c r="HJ87" s="22">
        <f t="shared" si="84"/>
        <v>66.646884216361727</v>
      </c>
    </row>
    <row r="88" spans="1:218" x14ac:dyDescent="0.2">
      <c r="A88" s="10">
        <f t="shared" si="85"/>
        <v>85</v>
      </c>
      <c r="B88" s="71">
        <f>'Scénario référence'!$B$16*5+'Scénario référence'!$B$17*0+'Scénario référence'!$B$18*5</f>
        <v>3.3000000000000003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12.100000000000001</v>
      </c>
      <c r="H88" s="65">
        <f t="shared" si="56"/>
        <v>208.26666666666665</v>
      </c>
      <c r="I88" s="6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66.272042931090681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200</v>
      </c>
      <c r="L88" s="12">
        <f>VLOOKUP(A88,'Données projet'!$A$35:$I$55,9,0)</f>
        <v>4.4000000000000004</v>
      </c>
      <c r="M88" s="12">
        <f t="array" ref="M88">INDEX(L:L,MIN(IF(ISNUMBER(L88:L284),ROW(L88:L284),"")))</f>
        <v>4.4000000000000004</v>
      </c>
      <c r="N88" s="13">
        <f>IF('Données projet'!$A$36&gt;35,N87+M88-V87,IF(A88&lt;'Données projet'!$A$36,$K$205^A88,IF(A88='Données projet'!$A$36,'Données projet'!$B$36,N87+M88-V87)))</f>
        <v>200</v>
      </c>
      <c r="O88" s="13">
        <f>N88*VLOOKUP('Données projet'!$B$9,Paramètres!$A$1:$I$89,3,0)*VLOOKUP('Données projet'!$B$9,Paramètres!$A$1:$I$89,5,0)</f>
        <v>202.8</v>
      </c>
      <c r="P88" s="13">
        <f t="shared" si="87"/>
        <v>50.359024179354016</v>
      </c>
      <c r="Q88" s="20">
        <f t="shared" si="54"/>
        <v>440.91863377904156</v>
      </c>
      <c r="R88" s="57">
        <f t="shared" si="55"/>
        <v>720.58279119304075</v>
      </c>
      <c r="S88" s="57">
        <f ca="1">AVERAGE(OFFSET($R$3,0,0,'Données projet'!$E$9+1,1))-AVERAGE(OFFSET($H$3,0,0,'Données projet'!$E$9+1,1))</f>
        <v>332.70145542047612</v>
      </c>
      <c r="T88" s="57">
        <f t="shared" si="88"/>
        <v>172.22433737900428</v>
      </c>
      <c r="U88" s="15">
        <f>IF(ISNA(VLOOKUP(A88,'Données projet'!$A$35:$I$55,3,0)),0,VLOOKUP(A88,'Données projet'!$A$35:$I$55,3,0))</f>
        <v>13</v>
      </c>
      <c r="V88" s="15">
        <f>IF(ISNA(VLOOKUP(A88,'Données projet'!$A$35:$I$55,4,0)),0,VLOOKUP(A88,'Données projet'!$A$35:$I$55,4,0))</f>
        <v>14</v>
      </c>
      <c r="W88" s="16">
        <f>IF(ISNA(VLOOKUP(A88,'Données projet'!$A$35:$I$55,5,0)),0%,VLOOKUP(A88,'Données projet'!$A$35:$I$55,5,0)*VLOOKUP('Données projet'!$B$9,Paramètres!$A$1:$I$89,7,0))</f>
        <v>0.25800000000000001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17.885704558920313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17.885704558920313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66.272042931090681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6.4899999999999993</v>
      </c>
      <c r="AI88" s="13">
        <f>IF('Données projet'!$A$62&gt;35,AI87+AH88-AQ87,IF(A88&lt;'Données projet'!$A$62,$AF$205^A88,IF(A88='Données projet'!$A$62,'Données projet'!$B$62,AI87+AH88-AQ87)))</f>
        <v>215.31</v>
      </c>
      <c r="AJ88" s="13">
        <f>AI88*VLOOKUP('Données projet'!$B$10,Paramètres!$A$1:$I$89,3,0)*VLOOKUP('Données projet'!$B$10,Paramètres!$A$1:$I$89,5,0)</f>
        <v>194.812488</v>
      </c>
      <c r="AK88" s="13">
        <f t="shared" si="89"/>
        <v>48.602371762034053</v>
      </c>
      <c r="AL88" s="20">
        <f t="shared" si="58"/>
        <v>423.9475474188759</v>
      </c>
      <c r="AM88" s="57">
        <f t="shared" si="59"/>
        <v>703.61170483287503</v>
      </c>
      <c r="AN88" s="57">
        <f ca="1">AVERAGE(OFFSET($AM$3,0,0,'Données projet'!$E$10+1,1))-AVERAGE(OFFSET($H$3,0,0,'Données projet'!$E$10+1,1))</f>
        <v>469.4210143164521</v>
      </c>
      <c r="AO88" s="57">
        <f t="shared" si="90"/>
        <v>308.4508386530556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22.793963666901934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22.793963666901934</v>
      </c>
      <c r="AY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66.272042931090681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7" t="e">
        <f t="shared" si="62"/>
        <v>#NUM!</v>
      </c>
      <c r="BI88" s="57">
        <f ca="1">AVERAGE(OFFSET($BH$3,0,0,'Données projet'!$E$11+1,1))-AVERAGE(OFFSET($H$3,0,0,'Données projet'!$E$11+1,1))</f>
        <v>344.32981377462971</v>
      </c>
      <c r="BJ88" s="57">
        <f t="shared" si="92"/>
        <v>334.42512656625763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105.14526556271211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105.14526556271211</v>
      </c>
      <c r="BT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66.272042931090681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311</v>
      </c>
      <c r="BW88" s="12">
        <f>VLOOKUP(A88,'Données projet'!$A$113:$I$133,9,0)</f>
        <v>7</v>
      </c>
      <c r="BX88" s="12">
        <f t="array" ref="BX88">INDEX(BW:BW,MIN(IF(ISNUMBER(BW88:BW284),ROW(BW88:BW284),"")))</f>
        <v>7</v>
      </c>
      <c r="BY88" s="12">
        <f>IF('Données projet'!$A$114&gt;35,BY87+BX88-CG87,IF(A88&lt;'Données projet'!$A$114,$BV$205^A88,IF(A88='Données projet'!$A$114,'Données projet'!$B$114,BY87+BX88-CG87)))</f>
        <v>311.0000000000004</v>
      </c>
      <c r="BZ88" s="13">
        <f>BY88*VLOOKUP('Données projet'!$B$12,Paramètres!$A$1:$I$89,3,0)*VLOOKUP('Données projet'!$B$12,Paramètres!$A$1:$I$89,5,0)</f>
        <v>295.94760000000036</v>
      </c>
      <c r="CA88" s="13">
        <f t="shared" si="93"/>
        <v>70.326253521716879</v>
      </c>
      <c r="CB88" s="20">
        <f t="shared" si="64"/>
        <v>637.92696155032422</v>
      </c>
      <c r="CC88" s="57">
        <f t="shared" si="65"/>
        <v>917.59111896432341</v>
      </c>
      <c r="CD88" s="57">
        <f ca="1">AVERAGE(OFFSET($CC$3,0,0,'Données projet'!$E$12+1,1))-AVERAGE(OFFSET($H$3,0,0,'Données projet'!$E$12+1,1))</f>
        <v>498.77732039282807</v>
      </c>
      <c r="CE88" s="57">
        <f t="shared" si="94"/>
        <v>384.57317421826531</v>
      </c>
      <c r="CF88" s="15">
        <f>IF(ISNA(VLOOKUP(A88,'Données projet'!$A$113:$I$133,3,0)),0,VLOOKUP(A88,'Données projet'!$A$113:$I$133,3,0))</f>
        <v>13</v>
      </c>
      <c r="CG88" s="15">
        <f>IF(ISNA(VLOOKUP(A88,'Données projet'!$A$113:$I$133,4,0)),0,VLOOKUP(A88,'Données projet'!$A$113:$I$133,4,0))</f>
        <v>32</v>
      </c>
      <c r="CH88" s="16">
        <f>IF(ISNA(VLOOKUP(A88,'Données projet'!$A$113:$I$133,5,0)),0%,VLOOKUP(A88,'Données projet'!$A$113:$I$133,5,0)*VLOOKUP('Données projet'!$B$12,Paramètres!$A$1:$I$89,7,0))</f>
        <v>0.30099999999999999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49.552142398027335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49.552142398027335</v>
      </c>
      <c r="CO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66.272042931090681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6.4899999999999993</v>
      </c>
      <c r="CT88" s="12">
        <f>IF('Données projet'!$A$140&gt;35,CT87+CS88-DB87,IF(A88&lt;'Données projet'!$A$140,$CQ$205^A88,IF(A88='Données projet'!$A$140,'Données projet'!$B$140,CT87+CS88-DB87)))</f>
        <v>215.31</v>
      </c>
      <c r="CU88" s="17">
        <f>CT88*VLOOKUP('Données projet'!$B$13,Paramètres!$A$1:$I$89,3,0)*VLOOKUP('Données projet'!$B$13,Paramètres!$A$1:$I$89,5,0)</f>
        <v>144.429948</v>
      </c>
      <c r="CV88" s="13">
        <f t="shared" si="95"/>
        <v>37.309997100213828</v>
      </c>
      <c r="CW88" s="20">
        <f t="shared" si="67"/>
        <v>316.5304043828724</v>
      </c>
      <c r="CX88" s="57">
        <f t="shared" si="68"/>
        <v>596.19456179687154</v>
      </c>
      <c r="CY88" s="57">
        <f ca="1">AVERAGE(OFFSET($CX$3,0,0,'Données projet'!$E$13+1,1))-AVERAGE(OFFSET($H$3,0,0,'Données projet'!$E$13+1,1))</f>
        <v>365.99625753737246</v>
      </c>
      <c r="CZ88" s="57">
        <f t="shared" si="96"/>
        <v>242.84814712692287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20.828966799065572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20.828966799065572</v>
      </c>
      <c r="DJ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66.272042931090681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>
        <f>VLOOKUP(A88,'Données projet'!$A$165:$I$185,2,0)</f>
        <v>280</v>
      </c>
      <c r="DM88" s="12">
        <f>VLOOKUP(A88,'Données projet'!$A$165:$I$185,9,0)</f>
        <v>4.2</v>
      </c>
      <c r="DN88" s="12">
        <f t="array" ref="DN88">INDEX(DM:DM,MIN(IF(ISNUMBER(DM88:DM284),ROW(DM88:DM284),"")))</f>
        <v>4.2</v>
      </c>
      <c r="DO88" s="12">
        <f>IF('Données projet'!$A$166&gt;35,DO87+DN88-DW87,IF(A88&lt;'Données projet'!$A$166,$DL$205^A88,IF(A88='Données projet'!$A$166,'Données projet'!$B$166,DO87+DN88-DW87)))</f>
        <v>280.00000000000017</v>
      </c>
      <c r="DP88" s="17">
        <f>DO88*VLOOKUP('Données projet'!$B$14,Paramètres!$A$1:$I$89,3,0)*VLOOKUP('Données projet'!$B$14,Paramètres!$A$1:$I$89,5,0)</f>
        <v>183.4560000000001</v>
      </c>
      <c r="DQ88" s="13">
        <f t="shared" si="97"/>
        <v>46.090229375321144</v>
      </c>
      <c r="DR88" s="20">
        <f t="shared" si="70"/>
        <v>399.79301616201786</v>
      </c>
      <c r="DS88" s="57">
        <f t="shared" si="71"/>
        <v>679.457173576017</v>
      </c>
      <c r="DT88" s="57">
        <f ca="1">AVERAGE(OFFSET($DS$3,0,0,'Données projet'!$E$14+1,1))-AVERAGE(OFFSET($H$3,0,0,'Données projet'!$E$14+1,1))</f>
        <v>313.79279628660527</v>
      </c>
      <c r="DU88" s="57">
        <f t="shared" si="98"/>
        <v>317.45469955216254</v>
      </c>
      <c r="DV88" s="15">
        <f>IF(ISNA(VLOOKUP(A88,'Données projet'!$A$165:$I$185,3,0)),0,VLOOKUP(A88,'Données projet'!$A$165:$I$185,3,0))</f>
        <v>16</v>
      </c>
      <c r="DW88" s="15">
        <f>IF(ISNA(VLOOKUP(A88,'Données projet'!$A$165:$I$185,4,0)),0,VLOOKUP(A88,'Données projet'!$A$165:$I$185,4,0))</f>
        <v>16</v>
      </c>
      <c r="DX88" s="16">
        <f>IF(ISNA(VLOOKUP(A88,'Données projet'!$A$165:$I$185,5,0)),0%,VLOOKUP(A88,'Données projet'!$A$165:$I$185,5,0)*VLOOKUP('Données projet'!$B$14,Paramètres!$A$1:$I$89,7,0))</f>
        <v>0.30099999999999999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24.306304582538985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24.306304582538985</v>
      </c>
      <c r="EE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66.272042931090681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10</v>
      </c>
      <c r="EJ88" s="12">
        <f>IF('Données projet'!$A$192&gt;35,EJ87+EI88-ER87,IF(A88&lt;'Données projet'!$A$192,$EG$205^A88,IF(A88='Données projet'!$A$192,'Données projet'!$B$192,EJ87+EI88-ER87)))</f>
        <v>654.99999999999989</v>
      </c>
      <c r="EK88" s="17">
        <f>EJ88*VLOOKUP('Données projet'!$B$15,Paramètres!$A$1:$I$89,3,0)*VLOOKUP('Données projet'!$B$15,Paramètres!$A$1:$I$89,5,0)</f>
        <v>561.9899999999999</v>
      </c>
      <c r="EL88" s="13">
        <f t="shared" si="99"/>
        <v>123.94021497068263</v>
      </c>
      <c r="EM88" s="20">
        <f t="shared" si="73"/>
        <v>1194.6617910739387</v>
      </c>
      <c r="EN88" s="57">
        <f t="shared" si="74"/>
        <v>1474.3259484879379</v>
      </c>
      <c r="EO88" s="57">
        <f ca="1">AVERAGE(OFFSET($EN$3,0,0,'Données projet'!$E$15+1,1))-AVERAGE(OFFSET($H$3,0,0,'Données projet'!$E$15+1,1))</f>
        <v>643.04899298561475</v>
      </c>
      <c r="EP88" s="57">
        <f t="shared" si="100"/>
        <v>474.94999304483031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65.628126702446252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65.628126702446252</v>
      </c>
      <c r="EZ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66.272042931090681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>
        <f>FE88*VLOOKUP('Données projet'!$B$16,Paramètres!$A$1:$I$89,3,0)*VLOOKUP('Données projet'!$B$16,Paramètres!$A$1:$I$89,5,0)</f>
        <v>0</v>
      </c>
      <c r="FG88" s="13" t="e">
        <f t="shared" si="101"/>
        <v>#NUM!</v>
      </c>
      <c r="FH88" s="20" t="e">
        <f t="shared" si="76"/>
        <v>#NUM!</v>
      </c>
      <c r="FI88" s="57" t="e">
        <f t="shared" si="77"/>
        <v>#NUM!</v>
      </c>
      <c r="FJ88" s="57">
        <f ca="1">AVERAGE(OFFSET($FI$3,0,0,'Données projet'!$E$16+1,1))-AVERAGE(OFFSET($H$3,0,0,'Données projet'!$E$16+1,1))</f>
        <v>375.34603719604439</v>
      </c>
      <c r="FK88" s="57">
        <f t="shared" si="102"/>
        <v>363.99476973672211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143.38463725424768</v>
      </c>
      <c r="FR88" s="21">
        <f>EXP(-LN(2)/25)*FR87+(1-EXP(-LN(2)/25))/(LN(2)/25)*Calculateur!FM88*Calculateur!FO88*VLOOKUP('Données projet'!$B$16,Paramètres!$A$1:$I$89,3,0)*0.475*44/12</f>
        <v>0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143.38463725424768</v>
      </c>
      <c r="FU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66.272042931090681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-1.1368683772161603E-13</v>
      </c>
      <c r="GA88" s="17">
        <f>FZ88*VLOOKUP('Données projet'!$B$17,Paramètres!$A$1:$I$89,3,0)*VLOOKUP('Données projet'!$B$17,Paramètres!$A$1:$I$89,5,0)</f>
        <v>-6.3550942286383367E-14</v>
      </c>
      <c r="GB88" s="13" t="e">
        <f t="shared" si="103"/>
        <v>#NUM!</v>
      </c>
      <c r="GC88" s="20" t="e">
        <f t="shared" si="79"/>
        <v>#NUM!</v>
      </c>
      <c r="GD88" s="57" t="e">
        <f t="shared" si="80"/>
        <v>#NUM!</v>
      </c>
      <c r="GE88" s="57">
        <f ca="1">AVERAGE(OFFSET($GD$3,0,0,'Données projet'!$E$17+1,1))-AVERAGE(OFFSET($H$3,0,0,'Données projet'!$E$17+1,1))</f>
        <v>414.47327143450701</v>
      </c>
      <c r="GF88" s="57">
        <f t="shared" si="104"/>
        <v>546.83385887302961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162.99378056520064</v>
      </c>
      <c r="GM88" s="21">
        <f>EXP(-LN(2)/25)*GM87+(1-EXP(-LN(2)/25))/(LN(2)/25)*Calculateur!GH88*Calculateur!GJ88*VLOOKUP('Données projet'!$B$17,Paramètres!$A$1:$I$89,3,0)*0.475*44/12</f>
        <v>26.954304683946646</v>
      </c>
      <c r="GN88" s="21">
        <f>EXP(-LN(2)/2)*GN87+(1-EXP(-LN(2)/2))/(LN(2)/2)*GH88*GK88*VLOOKUP('Données projet'!$B$17,Paramètres!$A$1:$I$89,3,0)*0.475*44/12</f>
        <v>8.9654981921625284E-4</v>
      </c>
      <c r="GO88" s="21">
        <f t="shared" si="81"/>
        <v>189.94898179896649</v>
      </c>
      <c r="GP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66.272042931090681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>
        <f>VLOOKUP(A88,'Données projet'!$A$269:$I$289,2,0)</f>
        <v>431</v>
      </c>
      <c r="GS88" s="12">
        <f>VLOOKUP(A88,'Données projet'!$A$269:$I$289,9,0)</f>
        <v>5</v>
      </c>
      <c r="GT88" s="12">
        <f t="array" ref="GT88">INDEX(GS:GS,MIN(IF(ISNUMBER(GS88:GS284),ROW(GS88:GS284),"")))</f>
        <v>5</v>
      </c>
      <c r="GU88" s="12">
        <f>IF('Données projet'!$A$270&gt;35,GU87+GT88-HC87,IF(A88&lt;'Données projet'!$A$270,$GR$205^A88,IF(A88='Données projet'!$A$270,'Données projet'!$B$270,GU87+GT88-HC87)))</f>
        <v>430.99999999999994</v>
      </c>
      <c r="GV88" s="17">
        <f>GU88*VLOOKUP('Données projet'!$B$18,Paramètres!$A$1:$I$89,3,0)*VLOOKUP('Données projet'!$B$18,Paramètres!$A$1:$I$89,5,0)</f>
        <v>235.32599999999999</v>
      </c>
      <c r="GW88" s="13">
        <f t="shared" si="105"/>
        <v>57.432748435789392</v>
      </c>
      <c r="GX88" s="20">
        <f t="shared" si="82"/>
        <v>509.88815352566644</v>
      </c>
      <c r="GY88" s="57">
        <f t="shared" si="83"/>
        <v>789.55231093966563</v>
      </c>
      <c r="GZ88" s="57">
        <f ca="1">AVERAGE(OFFSET($GY$3,0,0,'Données projet'!$E$18+1,1))-AVERAGE(OFFSET($H$3,0,0,'Données projet'!$E$18+1,1))</f>
        <v>381.00532469288714</v>
      </c>
      <c r="HA88" s="57">
        <f t="shared" si="106"/>
        <v>314.875259641757</v>
      </c>
      <c r="HB88" s="15">
        <f>IF(ISNA(VLOOKUP(A88,'Données projet'!$A$269:$I$289,3,0)),0,VLOOKUP(A88,'Données projet'!$A$269:$I$289,3,0))</f>
        <v>16</v>
      </c>
      <c r="HC88" s="15">
        <f>IF(ISNA(VLOOKUP(A88,'Données projet'!$A$269:$I$289,4,0)),0,VLOOKUP(A88,'Données projet'!$A$269:$I$289,4,0))</f>
        <v>16</v>
      </c>
      <c r="HD88" s="16">
        <f>IF(ISNA(VLOOKUP(A88,'Données projet'!$A$269:$I$289,5,0)),0%,VLOOKUP(A88,'Données projet'!$A$269:$I$289,5,0)*VLOOKUP('Données projet'!$B$18,Paramètres!$A$1:$I$89,7,0))</f>
        <v>0.48</v>
      </c>
      <c r="HE88" s="16">
        <f>IF(ISNA(VLOOKUP(A88,'Données projet'!$A$269:$I$289,6,0)),0%,VLOOKUP(A88,'Données projet'!$A$269:$I$289,6,0)*VLOOKUP('Données projet'!$B$18,Paramètres!$A$1:$I$89,7,0))</f>
        <v>6.6000000000000003E-2</v>
      </c>
      <c r="HF88" s="16">
        <f>IF(ISNA(VLOOKUP(A88,'Données projet'!$A$269:$I$289,7,0)),0%,VLOOKUP(A88,'Données projet'!$A$269:$I$289,7,0))</f>
        <v>0.09</v>
      </c>
      <c r="HG88" s="21">
        <f>EXP(-LN(2)/35)*HG87+(1-EXP(-LN(2)/35))/(LN(2)/35)*HC88*HD88*VLOOKUP('Données projet'!$B$18,Paramètres!$A$1:$I$89,3,0)*0.475*44/12</f>
        <v>55.009350634392156</v>
      </c>
      <c r="HH88" s="21">
        <f>EXP(-LN(2)/25)*HH87+(1-EXP(-LN(2)/25))/(LN(2)/25)*Calculateur!HC88*Calculateur!HE88*VLOOKUP('Données projet'!$B$18,Paramètres!$A$1:$I$89,3,0)*0.475*44/12</f>
        <v>16.238216959191636</v>
      </c>
      <c r="HI88" s="21">
        <f>EXP(-LN(2)/2)*HI87+(1-EXP(-LN(2)/2))/(LN(2)/2)*HC88*HF88*VLOOKUP('Données projet'!$B$18,Paramètres!$A$1:$I$89,3,0)*0.475*44/12</f>
        <v>1.1021355717671837</v>
      </c>
      <c r="HJ88" s="22">
        <f t="shared" si="84"/>
        <v>72.349703165350974</v>
      </c>
    </row>
    <row r="89" spans="1:218" x14ac:dyDescent="0.2">
      <c r="A89" s="10">
        <f t="shared" si="85"/>
        <v>86</v>
      </c>
      <c r="B89" s="71">
        <f>'Scénario référence'!$B$16*5+'Scénario référence'!$B$17*0+'Scénario référence'!$B$18*5</f>
        <v>3.3000000000000003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12.100000000000001</v>
      </c>
      <c r="H89" s="65">
        <f t="shared" si="56"/>
        <v>208.26666666666665</v>
      </c>
      <c r="I89" s="6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66.336714651772837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4.2</v>
      </c>
      <c r="N89" s="13">
        <f>IF('Données projet'!$A$36&gt;35,N88+M89-V88,IF(A89&lt;'Données projet'!$A$36,$K$205^A89,IF(A89='Données projet'!$A$36,'Données projet'!$B$36,N88+M89-V88)))</f>
        <v>190.2</v>
      </c>
      <c r="O89" s="13">
        <f>N89*VLOOKUP('Données projet'!$B$9,Paramètres!$A$1:$I$89,3,0)*VLOOKUP('Données projet'!$B$9,Paramètres!$A$1:$I$89,5,0)</f>
        <v>192.86279999999999</v>
      </c>
      <c r="P89" s="13">
        <f t="shared" si="87"/>
        <v>48.172325347436733</v>
      </c>
      <c r="Q89" s="20">
        <f t="shared" si="54"/>
        <v>419.80284331345229</v>
      </c>
      <c r="R89" s="57">
        <f t="shared" si="55"/>
        <v>699.70413036995274</v>
      </c>
      <c r="S89" s="57">
        <f ca="1">AVERAGE(OFFSET($R$3,0,0,'Données projet'!$E$9+1,1))-AVERAGE(OFFSET($H$3,0,0,'Données projet'!$E$9+1,1))</f>
        <v>332.70145542047612</v>
      </c>
      <c r="T89" s="57">
        <f t="shared" si="88"/>
        <v>172.22433737900428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17.534976801722472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17.534976801722472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66.336714651772837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6.4899999999999993</v>
      </c>
      <c r="AI89" s="13">
        <f>IF('Données projet'!$A$62&gt;35,AI88+AH89-AQ88,IF(A89&lt;'Données projet'!$A$62,$AF$205^A89,IF(A89='Données projet'!$A$62,'Données projet'!$B$62,AI88+AH89-AQ88)))</f>
        <v>221.8</v>
      </c>
      <c r="AJ89" s="13">
        <f>AI89*VLOOKUP('Données projet'!$B$10,Paramètres!$A$1:$I$89,3,0)*VLOOKUP('Données projet'!$B$10,Paramètres!$A$1:$I$89,5,0)</f>
        <v>200.68464</v>
      </c>
      <c r="AK89" s="13">
        <f t="shared" si="89"/>
        <v>49.894600936700193</v>
      </c>
      <c r="AL89" s="20">
        <f t="shared" si="58"/>
        <v>436.42551129808612</v>
      </c>
      <c r="AM89" s="57">
        <f t="shared" si="59"/>
        <v>716.32679835458657</v>
      </c>
      <c r="AN89" s="57">
        <f ca="1">AVERAGE(OFFSET($AM$3,0,0,'Données projet'!$E$10+1,1))-AVERAGE(OFFSET($H$3,0,0,'Données projet'!$E$10+1,1))</f>
        <v>469.4210143164521</v>
      </c>
      <c r="AO89" s="57">
        <f t="shared" si="90"/>
        <v>308.4508386530556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22.346987942339023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22.346987942339023</v>
      </c>
      <c r="AY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66.336714651772837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7" t="e">
        <f t="shared" si="62"/>
        <v>#NUM!</v>
      </c>
      <c r="BI89" s="57">
        <f ca="1">AVERAGE(OFFSET($BH$3,0,0,'Données projet'!$E$11+1,1))-AVERAGE(OFFSET($H$3,0,0,'Données projet'!$E$11+1,1))</f>
        <v>344.32981377462971</v>
      </c>
      <c r="BJ89" s="57">
        <f t="shared" si="92"/>
        <v>334.42512656625763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103.08343103730678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103.08343103730678</v>
      </c>
      <c r="BT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66.336714651772837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7</v>
      </c>
      <c r="BY89" s="12">
        <f>IF('Données projet'!$A$114&gt;35,BY88+BX89-CG88,IF(A89&lt;'Données projet'!$A$114,$BV$205^A89,IF(A89='Données projet'!$A$114,'Données projet'!$B$114,BY88+BX89-CG88)))</f>
        <v>286.0000000000004</v>
      </c>
      <c r="BZ89" s="13">
        <f>BY89*VLOOKUP('Données projet'!$B$12,Paramètres!$A$1:$I$89,3,0)*VLOOKUP('Données projet'!$B$12,Paramètres!$A$1:$I$89,5,0)</f>
        <v>272.1576000000004</v>
      </c>
      <c r="CA89" s="13">
        <f t="shared" si="93"/>
        <v>65.306954132597369</v>
      </c>
      <c r="CB89" s="20">
        <f t="shared" si="64"/>
        <v>587.75076511427437</v>
      </c>
      <c r="CC89" s="57">
        <f t="shared" si="65"/>
        <v>867.65205217077482</v>
      </c>
      <c r="CD89" s="57">
        <f ca="1">AVERAGE(OFFSET($CC$3,0,0,'Données projet'!$E$12+1,1))-AVERAGE(OFFSET($H$3,0,0,'Données projet'!$E$12+1,1))</f>
        <v>498.77732039282807</v>
      </c>
      <c r="CE89" s="57">
        <f t="shared" si="94"/>
        <v>384.57317421826531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48.580455109424527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48.580455109424527</v>
      </c>
      <c r="CO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66.336714651772837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6.4899999999999993</v>
      </c>
      <c r="CT89" s="12">
        <f>IF('Données projet'!$A$140&gt;35,CT88+CS89-DB88,IF(A89&lt;'Données projet'!$A$140,$CQ$205^A89,IF(A89='Données projet'!$A$140,'Données projet'!$B$140,CT88+CS89-DB88)))</f>
        <v>221.8</v>
      </c>
      <c r="CU89" s="17">
        <f>CT89*VLOOKUP('Données projet'!$B$13,Paramètres!$A$1:$I$89,3,0)*VLOOKUP('Données projet'!$B$13,Paramètres!$A$1:$I$89,5,0)</f>
        <v>148.78344000000001</v>
      </c>
      <c r="CV89" s="13">
        <f t="shared" si="95"/>
        <v>38.301987100118879</v>
      </c>
      <c r="CW89" s="20">
        <f t="shared" si="67"/>
        <v>325.84045219937371</v>
      </c>
      <c r="CX89" s="57">
        <f t="shared" si="68"/>
        <v>605.74173925587411</v>
      </c>
      <c r="CY89" s="57">
        <f ca="1">AVERAGE(OFFSET($CX$3,0,0,'Données projet'!$E$13+1,1))-AVERAGE(OFFSET($H$3,0,0,'Données projet'!$E$13+1,1))</f>
        <v>365.99625753737246</v>
      </c>
      <c r="CZ89" s="57">
        <f t="shared" si="96"/>
        <v>242.84814712692287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20.420523464551188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20.420523464551188</v>
      </c>
      <c r="DJ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66.336714651772837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3.8</v>
      </c>
      <c r="DO89" s="12">
        <f>IF('Données projet'!$A$166&gt;35,DO88+DN89-DW88,IF(A89&lt;'Données projet'!$A$166,$DL$205^A89,IF(A89='Données projet'!$A$166,'Données projet'!$B$166,DO88+DN89-DW88)))</f>
        <v>267.80000000000018</v>
      </c>
      <c r="DP89" s="17">
        <f>DO89*VLOOKUP('Données projet'!$B$14,Paramètres!$A$1:$I$89,3,0)*VLOOKUP('Données projet'!$B$14,Paramètres!$A$1:$I$89,5,0)</f>
        <v>175.46256000000011</v>
      </c>
      <c r="DQ89" s="13">
        <f t="shared" si="97"/>
        <v>44.311194244027092</v>
      </c>
      <c r="DR89" s="20">
        <f t="shared" si="70"/>
        <v>382.77262197501403</v>
      </c>
      <c r="DS89" s="57">
        <f t="shared" si="71"/>
        <v>662.67390903151443</v>
      </c>
      <c r="DT89" s="57">
        <f ca="1">AVERAGE(OFFSET($DS$3,0,0,'Données projet'!$E$14+1,1))-AVERAGE(OFFSET($H$3,0,0,'Données projet'!$E$14+1,1))</f>
        <v>313.79279628660527</v>
      </c>
      <c r="DU89" s="57">
        <f t="shared" si="98"/>
        <v>317.45469955216254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23.829672775057308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23.829672775057308</v>
      </c>
      <c r="EE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66.336714651772837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10</v>
      </c>
      <c r="EJ89" s="12">
        <f>IF('Données projet'!$A$192&gt;35,EJ88+EI89-ER88,IF(A89&lt;'Données projet'!$A$192,$EG$205^A89,IF(A89='Données projet'!$A$192,'Données projet'!$B$192,EJ88+EI89-ER88)))</f>
        <v>664.99999999999989</v>
      </c>
      <c r="EK89" s="17">
        <f>EJ89*VLOOKUP('Données projet'!$B$15,Paramètres!$A$1:$I$89,3,0)*VLOOKUP('Données projet'!$B$15,Paramètres!$A$1:$I$89,5,0)</f>
        <v>570.56999999999994</v>
      </c>
      <c r="EL89" s="13">
        <f t="shared" si="99"/>
        <v>125.61070068258273</v>
      </c>
      <c r="EM89" s="20">
        <f t="shared" si="73"/>
        <v>1212.5147203554982</v>
      </c>
      <c r="EN89" s="57">
        <f t="shared" si="74"/>
        <v>1492.4160074119986</v>
      </c>
      <c r="EO89" s="57">
        <f ca="1">AVERAGE(OFFSET($EN$3,0,0,'Données projet'!$E$15+1,1))-AVERAGE(OFFSET($H$3,0,0,'Données projet'!$E$15+1,1))</f>
        <v>643.04899298561475</v>
      </c>
      <c r="EP89" s="57">
        <f t="shared" si="100"/>
        <v>474.94999304483031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64.341199167016015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64.341199167016015</v>
      </c>
      <c r="EZ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66.336714651772837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>
        <f>FE89*VLOOKUP('Données projet'!$B$16,Paramètres!$A$1:$I$89,3,0)*VLOOKUP('Données projet'!$B$16,Paramètres!$A$1:$I$89,5,0)</f>
        <v>0</v>
      </c>
      <c r="FG89" s="13" t="e">
        <f t="shared" si="101"/>
        <v>#NUM!</v>
      </c>
      <c r="FH89" s="20" t="e">
        <f t="shared" si="76"/>
        <v>#NUM!</v>
      </c>
      <c r="FI89" s="57" t="e">
        <f t="shared" si="77"/>
        <v>#NUM!</v>
      </c>
      <c r="FJ89" s="57">
        <f ca="1">AVERAGE(OFFSET($FI$3,0,0,'Données projet'!$E$16+1,1))-AVERAGE(OFFSET($H$3,0,0,'Données projet'!$E$16+1,1))</f>
        <v>375.34603719604439</v>
      </c>
      <c r="FK89" s="57">
        <f t="shared" si="102"/>
        <v>363.99476973672211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140.57295197368504</v>
      </c>
      <c r="FR89" s="21">
        <f>EXP(-LN(2)/25)*FR88+(1-EXP(-LN(2)/25))/(LN(2)/25)*Calculateur!FM89*Calculateur!FO89*VLOOKUP('Données projet'!$B$16,Paramètres!$A$1:$I$89,3,0)*0.475*44/12</f>
        <v>0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140.57295197368504</v>
      </c>
      <c r="FU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66.336714651772837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-1.1368683772161603E-13</v>
      </c>
      <c r="GA89" s="17">
        <f>FZ89*VLOOKUP('Données projet'!$B$17,Paramètres!$A$1:$I$89,3,0)*VLOOKUP('Données projet'!$B$17,Paramètres!$A$1:$I$89,5,0)</f>
        <v>-6.3550942286383367E-14</v>
      </c>
      <c r="GB89" s="13" t="e">
        <f t="shared" si="103"/>
        <v>#NUM!</v>
      </c>
      <c r="GC89" s="20" t="e">
        <f t="shared" si="79"/>
        <v>#NUM!</v>
      </c>
      <c r="GD89" s="57" t="e">
        <f t="shared" si="80"/>
        <v>#NUM!</v>
      </c>
      <c r="GE89" s="57">
        <f ca="1">AVERAGE(OFFSET($GD$3,0,0,'Données projet'!$E$17+1,1))-AVERAGE(OFFSET($H$3,0,0,'Données projet'!$E$17+1,1))</f>
        <v>414.47327143450701</v>
      </c>
      <c r="GF89" s="57">
        <f t="shared" si="104"/>
        <v>546.83385887302961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159.79757194470665</v>
      </c>
      <c r="GM89" s="21">
        <f>EXP(-LN(2)/25)*GM88+(1-EXP(-LN(2)/25))/(LN(2)/25)*Calculateur!GH89*Calculateur!GJ89*VLOOKUP('Données projet'!$B$17,Paramètres!$A$1:$I$89,3,0)*0.475*44/12</f>
        <v>26.217237804898847</v>
      </c>
      <c r="GN89" s="21">
        <f>EXP(-LN(2)/2)*GN88+(1-EXP(-LN(2)/2))/(LN(2)/2)*GH89*GK89*VLOOKUP('Données projet'!$B$17,Paramètres!$A$1:$I$89,3,0)*0.475*44/12</f>
        <v>6.3395645683938563E-4</v>
      </c>
      <c r="GO89" s="21">
        <f t="shared" si="81"/>
        <v>186.01544370606234</v>
      </c>
      <c r="GP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66.336714651772837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4.4000000000000004</v>
      </c>
      <c r="GU89" s="12">
        <f>IF('Données projet'!$A$270&gt;35,GU88+GT89-HC88,IF(A89&lt;'Données projet'!$A$270,$GR$205^A89,IF(A89='Données projet'!$A$270,'Données projet'!$B$270,GU88+GT89-HC88)))</f>
        <v>419.39999999999992</v>
      </c>
      <c r="GV89" s="17">
        <f>GU89*VLOOKUP('Données projet'!$B$18,Paramètres!$A$1:$I$89,3,0)*VLOOKUP('Données projet'!$B$18,Paramètres!$A$1:$I$89,5,0)</f>
        <v>228.99239999999998</v>
      </c>
      <c r="GW89" s="13">
        <f t="shared" si="105"/>
        <v>56.064759213951241</v>
      </c>
      <c r="GX89" s="20">
        <f t="shared" si="82"/>
        <v>496.47455229763165</v>
      </c>
      <c r="GY89" s="57">
        <f t="shared" si="83"/>
        <v>776.37583935413204</v>
      </c>
      <c r="GZ89" s="57">
        <f ca="1">AVERAGE(OFFSET($GY$3,0,0,'Données projet'!$E$18+1,1))-AVERAGE(OFFSET($H$3,0,0,'Données projet'!$E$18+1,1))</f>
        <v>381.00532469288714</v>
      </c>
      <c r="HA89" s="57">
        <f t="shared" si="106"/>
        <v>314.875259641757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>
        <f>EXP(-LN(2)/35)*HG88+(1-EXP(-LN(2)/35))/(LN(2)/35)*HC89*HD89*VLOOKUP('Données projet'!$B$18,Paramètres!$A$1:$I$89,3,0)*0.475*44/12</f>
        <v>53.930650820842587</v>
      </c>
      <c r="HH89" s="21">
        <f>EXP(-LN(2)/25)*HH88+(1-EXP(-LN(2)/25))/(LN(2)/25)*Calculateur!HC89*Calculateur!HE89*VLOOKUP('Données projet'!$B$18,Paramètres!$A$1:$I$89,3,0)*0.475*44/12</f>
        <v>15.794182062511824</v>
      </c>
      <c r="HI89" s="21">
        <f>EXP(-LN(2)/2)*HI88+(1-EXP(-LN(2)/2))/(LN(2)/2)*HC89*HF89*VLOOKUP('Données projet'!$B$18,Paramètres!$A$1:$I$89,3,0)*0.475*44/12</f>
        <v>0.77932753658348841</v>
      </c>
      <c r="HJ89" s="22">
        <f t="shared" si="84"/>
        <v>70.504160419937904</v>
      </c>
    </row>
    <row r="90" spans="1:218" x14ac:dyDescent="0.2">
      <c r="A90" s="10">
        <f t="shared" si="85"/>
        <v>87</v>
      </c>
      <c r="B90" s="71">
        <f>'Scénario référence'!$B$16*5+'Scénario référence'!$B$17*0+'Scénario référence'!$B$18*5</f>
        <v>3.3000000000000003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12.100000000000001</v>
      </c>
      <c r="H90" s="65">
        <f t="shared" si="56"/>
        <v>208.26666666666665</v>
      </c>
      <c r="I90" s="6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66.40026446268547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4.2</v>
      </c>
      <c r="N90" s="13">
        <f>IF('Données projet'!$A$36&gt;35,N89+M90-V89,IF(A90&lt;'Données projet'!$A$36,$K$205^A90,IF(A90='Données projet'!$A$36,'Données projet'!$B$36,N89+M90-V89)))</f>
        <v>194.39999999999998</v>
      </c>
      <c r="O90" s="13">
        <f>N90*VLOOKUP('Données projet'!$B$9,Paramètres!$A$1:$I$89,3,0)*VLOOKUP('Données projet'!$B$9,Paramètres!$A$1:$I$89,5,0)</f>
        <v>197.12159999999997</v>
      </c>
      <c r="P90" s="13">
        <f t="shared" si="87"/>
        <v>49.111049803800405</v>
      </c>
      <c r="Q90" s="20">
        <f t="shared" si="54"/>
        <v>428.85519840828562</v>
      </c>
      <c r="R90" s="57">
        <f t="shared" si="55"/>
        <v>708.98950143813227</v>
      </c>
      <c r="S90" s="57">
        <f ca="1">AVERAGE(OFFSET($R$3,0,0,'Données projet'!$E$9+1,1))-AVERAGE(OFFSET($H$3,0,0,'Données projet'!$E$9+1,1))</f>
        <v>332.70145542047612</v>
      </c>
      <c r="T90" s="57">
        <f t="shared" si="88"/>
        <v>172.22433737900428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17.191126601920473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17.191126601920473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66.40026446268547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6.4899999999999993</v>
      </c>
      <c r="AI90" s="13">
        <f>IF('Données projet'!$A$62&gt;35,AI89+AH90-AQ89,IF(A90&lt;'Données projet'!$A$62,$AF$205^A90,IF(A90='Données projet'!$A$62,'Données projet'!$B$62,AI89+AH90-AQ89)))</f>
        <v>228.29000000000002</v>
      </c>
      <c r="AJ90" s="13">
        <f>AI90*VLOOKUP('Données projet'!$B$10,Paramètres!$A$1:$I$89,3,0)*VLOOKUP('Données projet'!$B$10,Paramètres!$A$1:$I$89,5,0)</f>
        <v>206.556792</v>
      </c>
      <c r="AK90" s="13">
        <f t="shared" si="89"/>
        <v>51.182435689122443</v>
      </c>
      <c r="AL90" s="20">
        <f t="shared" si="58"/>
        <v>448.89582155855493</v>
      </c>
      <c r="AM90" s="57">
        <f t="shared" si="59"/>
        <v>729.03012458840158</v>
      </c>
      <c r="AN90" s="57">
        <f ca="1">AVERAGE(OFFSET($AM$3,0,0,'Données projet'!$E$10+1,1))-AVERAGE(OFFSET($H$3,0,0,'Données projet'!$E$10+1,1))</f>
        <v>469.4210143164521</v>
      </c>
      <c r="AO90" s="57">
        <f t="shared" si="90"/>
        <v>308.4508386530556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21.908777139106519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21.908777139106519</v>
      </c>
      <c r="AY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66.40026446268547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7" t="e">
        <f t="shared" si="62"/>
        <v>#NUM!</v>
      </c>
      <c r="BI90" s="57">
        <f ca="1">AVERAGE(OFFSET($BH$3,0,0,'Données projet'!$E$11+1,1))-AVERAGE(OFFSET($H$3,0,0,'Données projet'!$E$11+1,1))</f>
        <v>344.32981377462971</v>
      </c>
      <c r="BJ90" s="57">
        <f t="shared" si="92"/>
        <v>334.42512656625763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101.06202782934977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101.06202782934977</v>
      </c>
      <c r="BT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66.40026446268547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7</v>
      </c>
      <c r="BY90" s="12">
        <f>IF('Données projet'!$A$114&gt;35,BY89+BX90-CG89,IF(A90&lt;'Données projet'!$A$114,$BV$205^A90,IF(A90='Données projet'!$A$114,'Données projet'!$B$114,BY89+BX90-CG89)))</f>
        <v>293.0000000000004</v>
      </c>
      <c r="BZ90" s="13">
        <f>BY90*VLOOKUP('Données projet'!$B$12,Paramètres!$A$1:$I$89,3,0)*VLOOKUP('Données projet'!$B$12,Paramètres!$A$1:$I$89,5,0)</f>
        <v>278.81880000000041</v>
      </c>
      <c r="CA90" s="13">
        <f t="shared" si="93"/>
        <v>66.717325981909994</v>
      </c>
      <c r="CB90" s="20">
        <f t="shared" si="64"/>
        <v>601.80875275182723</v>
      </c>
      <c r="CC90" s="57">
        <f t="shared" si="65"/>
        <v>881.94305578167393</v>
      </c>
      <c r="CD90" s="57">
        <f ca="1">AVERAGE(OFFSET($CC$3,0,0,'Données projet'!$E$12+1,1))-AVERAGE(OFFSET($H$3,0,0,'Données projet'!$E$12+1,1))</f>
        <v>498.77732039282807</v>
      </c>
      <c r="CE90" s="57">
        <f t="shared" si="94"/>
        <v>384.57317421826531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47.627822015880497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47.627822015880497</v>
      </c>
      <c r="CO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66.40026446268547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6.4899999999999993</v>
      </c>
      <c r="CT90" s="12">
        <f>IF('Données projet'!$A$140&gt;35,CT89+CS90-DB89,IF(A90&lt;'Données projet'!$A$140,$CQ$205^A90,IF(A90='Données projet'!$A$140,'Données projet'!$B$140,CT89+CS90-DB89)))</f>
        <v>228.29000000000002</v>
      </c>
      <c r="CU90" s="17">
        <f>CT90*VLOOKUP('Données projet'!$B$13,Paramètres!$A$1:$I$89,3,0)*VLOOKUP('Données projet'!$B$13,Paramètres!$A$1:$I$89,5,0)</f>
        <v>153.13693200000003</v>
      </c>
      <c r="CV90" s="13">
        <f t="shared" si="95"/>
        <v>39.29060368685024</v>
      </c>
      <c r="CW90" s="20">
        <f t="shared" si="67"/>
        <v>335.14462465459752</v>
      </c>
      <c r="CX90" s="57">
        <f t="shared" si="68"/>
        <v>615.27892768444417</v>
      </c>
      <c r="CY90" s="57">
        <f ca="1">AVERAGE(OFFSET($CX$3,0,0,'Données projet'!$E$13+1,1))-AVERAGE(OFFSET($H$3,0,0,'Données projet'!$E$13+1,1))</f>
        <v>365.99625753737246</v>
      </c>
      <c r="CZ90" s="57">
        <f t="shared" si="96"/>
        <v>242.84814712692287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20.020089454700795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20.020089454700795</v>
      </c>
      <c r="DJ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66.40026446268547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3.8</v>
      </c>
      <c r="DO90" s="12">
        <f>IF('Données projet'!$A$166&gt;35,DO89+DN90-DW89,IF(A90&lt;'Données projet'!$A$166,$DL$205^A90,IF(A90='Données projet'!$A$166,'Données projet'!$B$166,DO89+DN90-DW89)))</f>
        <v>271.60000000000019</v>
      </c>
      <c r="DP90" s="17">
        <f>DO90*VLOOKUP('Données projet'!$B$14,Paramètres!$A$1:$I$89,3,0)*VLOOKUP('Données projet'!$B$14,Paramètres!$A$1:$I$89,5,0)</f>
        <v>177.95232000000013</v>
      </c>
      <c r="DQ90" s="13">
        <f t="shared" si="97"/>
        <v>44.866312182234608</v>
      </c>
      <c r="DR90" s="20">
        <f t="shared" si="70"/>
        <v>388.07578438405881</v>
      </c>
      <c r="DS90" s="57">
        <f t="shared" si="71"/>
        <v>668.21008741390551</v>
      </c>
      <c r="DT90" s="57">
        <f ca="1">AVERAGE(OFFSET($DS$3,0,0,'Données projet'!$E$14+1,1))-AVERAGE(OFFSET($H$3,0,0,'Données projet'!$E$14+1,1))</f>
        <v>313.79279628660527</v>
      </c>
      <c r="DU90" s="57">
        <f t="shared" si="98"/>
        <v>317.45469955216254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23.362387426603647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23.362387426603647</v>
      </c>
      <c r="EE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66.40026446268547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10</v>
      </c>
      <c r="EJ90" s="12">
        <f>IF('Données projet'!$A$192&gt;35,EJ89+EI90-ER89,IF(A90&lt;'Données projet'!$A$192,$EG$205^A90,IF(A90='Données projet'!$A$192,'Données projet'!$B$192,EJ89+EI90-ER89)))</f>
        <v>674.99999999999989</v>
      </c>
      <c r="EK90" s="17">
        <f>EJ90*VLOOKUP('Données projet'!$B$15,Paramètres!$A$1:$I$89,3,0)*VLOOKUP('Données projet'!$B$15,Paramètres!$A$1:$I$89,5,0)</f>
        <v>579.15</v>
      </c>
      <c r="EL90" s="13">
        <f t="shared" si="99"/>
        <v>127.27826485760271</v>
      </c>
      <c r="EM90" s="20">
        <f t="shared" si="73"/>
        <v>1230.362561293658</v>
      </c>
      <c r="EN90" s="57">
        <f t="shared" si="74"/>
        <v>1510.4968643235047</v>
      </c>
      <c r="EO90" s="57">
        <f ca="1">AVERAGE(OFFSET($EN$3,0,0,'Données projet'!$E$15+1,1))-AVERAGE(OFFSET($H$3,0,0,'Données projet'!$E$15+1,1))</f>
        <v>643.04899298561475</v>
      </c>
      <c r="EP90" s="57">
        <f t="shared" si="100"/>
        <v>474.94999304483031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63.079507495607274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63.079507495607274</v>
      </c>
      <c r="EZ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66.40026446268547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>
        <f>FE90*VLOOKUP('Données projet'!$B$16,Paramètres!$A$1:$I$89,3,0)*VLOOKUP('Données projet'!$B$16,Paramètres!$A$1:$I$89,5,0)</f>
        <v>0</v>
      </c>
      <c r="FG90" s="13" t="e">
        <f t="shared" si="101"/>
        <v>#NUM!</v>
      </c>
      <c r="FH90" s="20" t="e">
        <f t="shared" si="76"/>
        <v>#NUM!</v>
      </c>
      <c r="FI90" s="57" t="e">
        <f t="shared" si="77"/>
        <v>#NUM!</v>
      </c>
      <c r="FJ90" s="57">
        <f ca="1">AVERAGE(OFFSET($FI$3,0,0,'Données projet'!$E$16+1,1))-AVERAGE(OFFSET($H$3,0,0,'Données projet'!$E$16+1,1))</f>
        <v>375.34603719604439</v>
      </c>
      <c r="FK90" s="57">
        <f t="shared" si="102"/>
        <v>363.99476973672211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137.81640212651556</v>
      </c>
      <c r="FR90" s="21">
        <f>EXP(-LN(2)/25)*FR89+(1-EXP(-LN(2)/25))/(LN(2)/25)*Calculateur!FM90*Calculateur!FO90*VLOOKUP('Données projet'!$B$16,Paramètres!$A$1:$I$89,3,0)*0.475*44/12</f>
        <v>0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137.81640212651556</v>
      </c>
      <c r="FU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66.40026446268547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-1.1368683772161603E-13</v>
      </c>
      <c r="GA90" s="17">
        <f>FZ90*VLOOKUP('Données projet'!$B$17,Paramètres!$A$1:$I$89,3,0)*VLOOKUP('Données projet'!$B$17,Paramètres!$A$1:$I$89,5,0)</f>
        <v>-6.3550942286383367E-14</v>
      </c>
      <c r="GB90" s="13" t="e">
        <f t="shared" si="103"/>
        <v>#NUM!</v>
      </c>
      <c r="GC90" s="20" t="e">
        <f t="shared" si="79"/>
        <v>#NUM!</v>
      </c>
      <c r="GD90" s="57" t="e">
        <f t="shared" si="80"/>
        <v>#NUM!</v>
      </c>
      <c r="GE90" s="57">
        <f ca="1">AVERAGE(OFFSET($GD$3,0,0,'Données projet'!$E$17+1,1))-AVERAGE(OFFSET($H$3,0,0,'Données projet'!$E$17+1,1))</f>
        <v>414.47327143450701</v>
      </c>
      <c r="GF90" s="57">
        <f t="shared" si="104"/>
        <v>546.83385887302961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156.66403902576579</v>
      </c>
      <c r="GM90" s="21">
        <f>EXP(-LN(2)/25)*GM89+(1-EXP(-LN(2)/25))/(LN(2)/25)*Calculateur!GH90*Calculateur!GJ90*VLOOKUP('Données projet'!$B$17,Paramètres!$A$1:$I$89,3,0)*0.475*44/12</f>
        <v>25.500326058419272</v>
      </c>
      <c r="GN90" s="21">
        <f>EXP(-LN(2)/2)*GN89+(1-EXP(-LN(2)/2))/(LN(2)/2)*GH90*GK90*VLOOKUP('Données projet'!$B$17,Paramètres!$A$1:$I$89,3,0)*0.475*44/12</f>
        <v>4.4827490960812642E-4</v>
      </c>
      <c r="GO90" s="21">
        <f t="shared" si="81"/>
        <v>182.16481335909467</v>
      </c>
      <c r="GP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66.40026446268547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4.4000000000000004</v>
      </c>
      <c r="GU90" s="12">
        <f>IF('Données projet'!$A$270&gt;35,GU89+GT90-HC89,IF(A90&lt;'Données projet'!$A$270,$GR$205^A90,IF(A90='Données projet'!$A$270,'Données projet'!$B$270,GU89+GT90-HC89)))</f>
        <v>423.7999999999999</v>
      </c>
      <c r="GV90" s="17">
        <f>GU90*VLOOKUP('Données projet'!$B$18,Paramètres!$A$1:$I$89,3,0)*VLOOKUP('Données projet'!$B$18,Paramètres!$A$1:$I$89,5,0)</f>
        <v>231.39479999999995</v>
      </c>
      <c r="GW90" s="13">
        <f t="shared" si="105"/>
        <v>56.584163696899495</v>
      </c>
      <c r="GX90" s="20">
        <f t="shared" si="82"/>
        <v>501.56336177209982</v>
      </c>
      <c r="GY90" s="57">
        <f t="shared" si="83"/>
        <v>781.69766480194653</v>
      </c>
      <c r="GZ90" s="57">
        <f ca="1">AVERAGE(OFFSET($GY$3,0,0,'Données projet'!$E$18+1,1))-AVERAGE(OFFSET($H$3,0,0,'Données projet'!$E$18+1,1))</f>
        <v>381.00532469288714</v>
      </c>
      <c r="HA90" s="57">
        <f t="shared" si="106"/>
        <v>314.875259641757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>
        <f>EXP(-LN(2)/35)*HG89+(1-EXP(-LN(2)/35))/(LN(2)/35)*HC90*HD90*VLOOKUP('Données projet'!$B$18,Paramètres!$A$1:$I$89,3,0)*0.475*44/12</f>
        <v>52.873103652694809</v>
      </c>
      <c r="HH90" s="21">
        <f>EXP(-LN(2)/25)*HH89+(1-EXP(-LN(2)/25))/(LN(2)/25)*Calculateur!HC90*Calculateur!HE90*VLOOKUP('Données projet'!$B$18,Paramètres!$A$1:$I$89,3,0)*0.475*44/12</f>
        <v>15.362289323432503</v>
      </c>
      <c r="HI90" s="21">
        <f>EXP(-LN(2)/2)*HI89+(1-EXP(-LN(2)/2))/(LN(2)/2)*HC90*HF90*VLOOKUP('Données projet'!$B$18,Paramètres!$A$1:$I$89,3,0)*0.475*44/12</f>
        <v>0.55106778588359184</v>
      </c>
      <c r="HJ90" s="22">
        <f t="shared" si="84"/>
        <v>68.786460762010904</v>
      </c>
    </row>
    <row r="91" spans="1:218" x14ac:dyDescent="0.2">
      <c r="A91" s="10">
        <f t="shared" si="85"/>
        <v>88</v>
      </c>
      <c r="B91" s="71">
        <f>'Scénario référence'!$B$16*5+'Scénario référence'!$B$17*0+'Scénario référence'!$B$18*5</f>
        <v>3.3000000000000003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12.100000000000001</v>
      </c>
      <c r="H91" s="65">
        <f t="shared" si="56"/>
        <v>208.26666666666665</v>
      </c>
      <c r="I91" s="6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66.462711826454864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4.2</v>
      </c>
      <c r="N91" s="13">
        <f>IF('Données projet'!$A$36&gt;35,N90+M91-V90,IF(A91&lt;'Données projet'!$A$36,$K$205^A91,IF(A91='Données projet'!$A$36,'Données projet'!$B$36,N90+M91-V90)))</f>
        <v>198.59999999999997</v>
      </c>
      <c r="O91" s="13">
        <f>N91*VLOOKUP('Données projet'!$B$9,Paramètres!$A$1:$I$89,3,0)*VLOOKUP('Données projet'!$B$9,Paramètres!$A$1:$I$89,5,0)</f>
        <v>201.38039999999998</v>
      </c>
      <c r="P91" s="13">
        <f t="shared" si="87"/>
        <v>50.047416314000145</v>
      </c>
      <c r="Q91" s="20">
        <f t="shared" si="54"/>
        <v>437.9034467468835</v>
      </c>
      <c r="R91" s="57">
        <f t="shared" si="55"/>
        <v>718.26672344388464</v>
      </c>
      <c r="S91" s="57">
        <f ca="1">AVERAGE(OFFSET($R$3,0,0,'Données projet'!$E$9+1,1))-AVERAGE(OFFSET($H$3,0,0,'Données projet'!$E$9+1,1))</f>
        <v>332.70145542047612</v>
      </c>
      <c r="T91" s="57">
        <f t="shared" si="88"/>
        <v>172.22433737900428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16.854019094808677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16.854019094808677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66.462711826454864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6.4899999999999993</v>
      </c>
      <c r="AI91" s="13">
        <f>IF('Données projet'!$A$62&gt;35,AI90+AH91-AQ90,IF(A91&lt;'Données projet'!$A$62,$AF$205^A91,IF(A91='Données projet'!$A$62,'Données projet'!$B$62,AI90+AH91-AQ90)))</f>
        <v>234.78000000000003</v>
      </c>
      <c r="AJ91" s="13">
        <f>AI91*VLOOKUP('Données projet'!$B$10,Paramètres!$A$1:$I$89,3,0)*VLOOKUP('Données projet'!$B$10,Paramètres!$A$1:$I$89,5,0)</f>
        <v>212.42894400000003</v>
      </c>
      <c r="AK91" s="13">
        <f t="shared" si="89"/>
        <v>52.466015296367175</v>
      </c>
      <c r="AL91" s="20">
        <f t="shared" si="58"/>
        <v>461.35872077450625</v>
      </c>
      <c r="AM91" s="57">
        <f t="shared" si="59"/>
        <v>741.72199747150739</v>
      </c>
      <c r="AN91" s="57">
        <f ca="1">AVERAGE(OFFSET($AM$3,0,0,'Données projet'!$E$10+1,1))-AVERAGE(OFFSET($H$3,0,0,'Données projet'!$E$10+1,1))</f>
        <v>469.4210143164521</v>
      </c>
      <c r="AO91" s="57">
        <f t="shared" si="90"/>
        <v>308.4508386530556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21.479159382443203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21.479159382443203</v>
      </c>
      <c r="AY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66.462711826454864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7" t="e">
        <f t="shared" si="62"/>
        <v>#NUM!</v>
      </c>
      <c r="BI91" s="57">
        <f ca="1">AVERAGE(OFFSET($BH$3,0,0,'Données projet'!$E$11+1,1))-AVERAGE(OFFSET($H$3,0,0,'Données projet'!$E$11+1,1))</f>
        <v>344.32981377462971</v>
      </c>
      <c r="BJ91" s="57">
        <f t="shared" si="92"/>
        <v>334.42512656625763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99.080263105366583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99.080263105366583</v>
      </c>
      <c r="BT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66.462711826454864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7</v>
      </c>
      <c r="BY91" s="12">
        <f>IF('Données projet'!$A$114&gt;35,BY90+BX91-CG90,IF(A91&lt;'Données projet'!$A$114,$BV$205^A91,IF(A91='Données projet'!$A$114,'Données projet'!$B$114,BY90+BX91-CG90)))</f>
        <v>300.0000000000004</v>
      </c>
      <c r="BZ91" s="13">
        <f>BY91*VLOOKUP('Données projet'!$B$12,Paramètres!$A$1:$I$89,3,0)*VLOOKUP('Données projet'!$B$12,Paramètres!$A$1:$I$89,5,0)</f>
        <v>285.48000000000036</v>
      </c>
      <c r="CA91" s="13">
        <f t="shared" si="93"/>
        <v>68.123780800530824</v>
      </c>
      <c r="CB91" s="20">
        <f t="shared" si="64"/>
        <v>615.85991822759183</v>
      </c>
      <c r="CC91" s="57">
        <f t="shared" si="65"/>
        <v>896.22319492459292</v>
      </c>
      <c r="CD91" s="57">
        <f ca="1">AVERAGE(OFFSET($CC$3,0,0,'Données projet'!$E$12+1,1))-AVERAGE(OFFSET($H$3,0,0,'Données projet'!$E$12+1,1))</f>
        <v>498.77732039282807</v>
      </c>
      <c r="CE91" s="57">
        <f t="shared" si="94"/>
        <v>384.57317421826531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46.693869476252054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46.693869476252054</v>
      </c>
      <c r="CO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66.462711826454864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6.4899999999999993</v>
      </c>
      <c r="CT91" s="12">
        <f>IF('Données projet'!$A$140&gt;35,CT90+CS91-DB90,IF(A91&lt;'Données projet'!$A$140,$CQ$205^A91,IF(A91='Données projet'!$A$140,'Données projet'!$B$140,CT90+CS91-DB90)))</f>
        <v>234.78000000000003</v>
      </c>
      <c r="CU91" s="17">
        <f>CT91*VLOOKUP('Données projet'!$B$13,Paramètres!$A$1:$I$89,3,0)*VLOOKUP('Données projet'!$B$13,Paramètres!$A$1:$I$89,5,0)</f>
        <v>157.49042400000002</v>
      </c>
      <c r="CV91" s="13">
        <f t="shared" si="95"/>
        <v>40.275953777555124</v>
      </c>
      <c r="CW91" s="20">
        <f t="shared" si="67"/>
        <v>344.4431079625752</v>
      </c>
      <c r="CX91" s="57">
        <f t="shared" si="68"/>
        <v>624.80638465957634</v>
      </c>
      <c r="CY91" s="57">
        <f ca="1">AVERAGE(OFFSET($CX$3,0,0,'Données projet'!$E$13+1,1))-AVERAGE(OFFSET($H$3,0,0,'Données projet'!$E$13+1,1))</f>
        <v>365.99625753737246</v>
      </c>
      <c r="CZ91" s="57">
        <f t="shared" si="96"/>
        <v>242.84814712692287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19.62750771154294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19.62750771154294</v>
      </c>
      <c r="DJ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66.462711826454864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3.8</v>
      </c>
      <c r="DO91" s="12">
        <f>IF('Données projet'!$A$166&gt;35,DO90+DN91-DW90,IF(A91&lt;'Données projet'!$A$166,$DL$205^A91,IF(A91='Données projet'!$A$166,'Données projet'!$B$166,DO90+DN91-DW90)))</f>
        <v>275.4000000000002</v>
      </c>
      <c r="DP91" s="17">
        <f>DO91*VLOOKUP('Données projet'!$B$14,Paramètres!$A$1:$I$89,3,0)*VLOOKUP('Données projet'!$B$14,Paramètres!$A$1:$I$89,5,0)</f>
        <v>180.44208000000012</v>
      </c>
      <c r="DQ91" s="13">
        <f t="shared" si="97"/>
        <v>45.420526775820072</v>
      </c>
      <c r="DR91" s="20">
        <f t="shared" si="70"/>
        <v>393.3773734678868</v>
      </c>
      <c r="DS91" s="57">
        <f t="shared" si="71"/>
        <v>673.74065016488794</v>
      </c>
      <c r="DT91" s="57">
        <f ca="1">AVERAGE(OFFSET($DS$3,0,0,'Données projet'!$E$14+1,1))-AVERAGE(OFFSET($H$3,0,0,'Données projet'!$E$14+1,1))</f>
        <v>313.79279628660527</v>
      </c>
      <c r="DU91" s="57">
        <f t="shared" si="98"/>
        <v>317.45469955216254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22.904265258817244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22.904265258817244</v>
      </c>
      <c r="EE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66.462711826454864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10</v>
      </c>
      <c r="EJ91" s="12">
        <f>IF('Données projet'!$A$192&gt;35,EJ90+EI91-ER90,IF(A91&lt;'Données projet'!$A$192,$EG$205^A91,IF(A91='Données projet'!$A$192,'Données projet'!$B$192,EJ90+EI91-ER90)))</f>
        <v>684.99999999999989</v>
      </c>
      <c r="EK91" s="17">
        <f>EJ91*VLOOKUP('Données projet'!$B$15,Paramètres!$A$1:$I$89,3,0)*VLOOKUP('Données projet'!$B$15,Paramètres!$A$1:$I$89,5,0)</f>
        <v>587.7299999999999</v>
      </c>
      <c r="EL91" s="13">
        <f t="shared" si="99"/>
        <v>128.94295577771558</v>
      </c>
      <c r="EM91" s="20">
        <f t="shared" si="73"/>
        <v>1248.205397979521</v>
      </c>
      <c r="EN91" s="57">
        <f t="shared" si="74"/>
        <v>1528.5686746765221</v>
      </c>
      <c r="EO91" s="57">
        <f ca="1">AVERAGE(OFFSET($EN$3,0,0,'Données projet'!$E$15+1,1))-AVERAGE(OFFSET($H$3,0,0,'Données projet'!$E$15+1,1))</f>
        <v>643.04899298561475</v>
      </c>
      <c r="EP91" s="57">
        <f t="shared" si="100"/>
        <v>474.94999304483031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61.842556828318926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61.842556828318926</v>
      </c>
      <c r="EZ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66.462711826454864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>
        <f>FE91*VLOOKUP('Données projet'!$B$16,Paramètres!$A$1:$I$89,3,0)*VLOOKUP('Données projet'!$B$16,Paramètres!$A$1:$I$89,5,0)</f>
        <v>0</v>
      </c>
      <c r="FG91" s="13" t="e">
        <f t="shared" si="101"/>
        <v>#NUM!</v>
      </c>
      <c r="FH91" s="20" t="e">
        <f t="shared" si="76"/>
        <v>#NUM!</v>
      </c>
      <c r="FI91" s="57" t="e">
        <f t="shared" si="77"/>
        <v>#NUM!</v>
      </c>
      <c r="FJ91" s="57">
        <f ca="1">AVERAGE(OFFSET($FI$3,0,0,'Données projet'!$E$16+1,1))-AVERAGE(OFFSET($H$3,0,0,'Données projet'!$E$16+1,1))</f>
        <v>375.34603719604439</v>
      </c>
      <c r="FK91" s="57">
        <f t="shared" si="102"/>
        <v>363.99476973672211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135.11390654051968</v>
      </c>
      <c r="FR91" s="21">
        <f>EXP(-LN(2)/25)*FR90+(1-EXP(-LN(2)/25))/(LN(2)/25)*Calculateur!FM91*Calculateur!FO91*VLOOKUP('Données projet'!$B$16,Paramètres!$A$1:$I$89,3,0)*0.475*44/12</f>
        <v>0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135.11390654051968</v>
      </c>
      <c r="FU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66.462711826454864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-1.1368683772161603E-13</v>
      </c>
      <c r="GA91" s="17">
        <f>FZ91*VLOOKUP('Données projet'!$B$17,Paramètres!$A$1:$I$89,3,0)*VLOOKUP('Données projet'!$B$17,Paramètres!$A$1:$I$89,5,0)</f>
        <v>-6.3550942286383367E-14</v>
      </c>
      <c r="GB91" s="13" t="e">
        <f t="shared" si="103"/>
        <v>#NUM!</v>
      </c>
      <c r="GC91" s="20" t="e">
        <f t="shared" si="79"/>
        <v>#NUM!</v>
      </c>
      <c r="GD91" s="57" t="e">
        <f t="shared" si="80"/>
        <v>#NUM!</v>
      </c>
      <c r="GE91" s="57">
        <f ca="1">AVERAGE(OFFSET($GD$3,0,0,'Données projet'!$E$17+1,1))-AVERAGE(OFFSET($H$3,0,0,'Données projet'!$E$17+1,1))</f>
        <v>414.47327143450701</v>
      </c>
      <c r="GF91" s="57">
        <f t="shared" si="104"/>
        <v>546.83385887302961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153.59195277609899</v>
      </c>
      <c r="GM91" s="21">
        <f>EXP(-LN(2)/25)*GM90+(1-EXP(-LN(2)/25))/(LN(2)/25)*Calculateur!GH91*Calculateur!GJ91*VLOOKUP('Données projet'!$B$17,Paramètres!$A$1:$I$89,3,0)*0.475*44/12</f>
        <v>24.803018301347933</v>
      </c>
      <c r="GN91" s="21">
        <f>EXP(-LN(2)/2)*GN90+(1-EXP(-LN(2)/2))/(LN(2)/2)*GH91*GK91*VLOOKUP('Données projet'!$B$17,Paramètres!$A$1:$I$89,3,0)*0.475*44/12</f>
        <v>3.1697822841969281E-4</v>
      </c>
      <c r="GO91" s="21">
        <f t="shared" si="81"/>
        <v>178.39528805567537</v>
      </c>
      <c r="GP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66.462711826454864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4.4000000000000004</v>
      </c>
      <c r="GU91" s="12">
        <f>IF('Données projet'!$A$270&gt;35,GU90+GT91-HC90,IF(A91&lt;'Données projet'!$A$270,$GR$205^A91,IF(A91='Données projet'!$A$270,'Données projet'!$B$270,GU90+GT91-HC90)))</f>
        <v>428.19999999999987</v>
      </c>
      <c r="GV91" s="17">
        <f>GU91*VLOOKUP('Données projet'!$B$18,Paramètres!$A$1:$I$89,3,0)*VLOOKUP('Données projet'!$B$18,Paramètres!$A$1:$I$89,5,0)</f>
        <v>233.79719999999992</v>
      </c>
      <c r="GW91" s="13">
        <f t="shared" si="105"/>
        <v>57.102940849561605</v>
      </c>
      <c r="GX91" s="20">
        <f t="shared" si="82"/>
        <v>506.65107864631972</v>
      </c>
      <c r="GY91" s="57">
        <f t="shared" si="83"/>
        <v>787.01435534332086</v>
      </c>
      <c r="GZ91" s="57">
        <f ca="1">AVERAGE(OFFSET($GY$3,0,0,'Données projet'!$E$18+1,1))-AVERAGE(OFFSET($H$3,0,0,'Données projet'!$E$18+1,1))</f>
        <v>381.00532469288714</v>
      </c>
      <c r="HA91" s="57">
        <f t="shared" si="106"/>
        <v>314.875259641757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>
        <f>EXP(-LN(2)/35)*HG90+(1-EXP(-LN(2)/35))/(LN(2)/35)*HC91*HD91*VLOOKUP('Données projet'!$B$18,Paramètres!$A$1:$I$89,3,0)*0.475*44/12</f>
        <v>51.836294339474328</v>
      </c>
      <c r="HH91" s="21">
        <f>EXP(-LN(2)/25)*HH90+(1-EXP(-LN(2)/25))/(LN(2)/25)*Calculateur!HC91*Calculateur!HE91*VLOOKUP('Données projet'!$B$18,Paramètres!$A$1:$I$89,3,0)*0.475*44/12</f>
        <v>14.942206714015557</v>
      </c>
      <c r="HI91" s="21">
        <f>EXP(-LN(2)/2)*HI90+(1-EXP(-LN(2)/2))/(LN(2)/2)*HC91*HF91*VLOOKUP('Données projet'!$B$18,Paramètres!$A$1:$I$89,3,0)*0.475*44/12</f>
        <v>0.38966376829174421</v>
      </c>
      <c r="HJ91" s="22">
        <f t="shared" si="84"/>
        <v>67.16816482178163</v>
      </c>
    </row>
    <row r="92" spans="1:218" x14ac:dyDescent="0.2">
      <c r="A92" s="10">
        <f t="shared" si="85"/>
        <v>89</v>
      </c>
      <c r="B92" s="71">
        <f>'Scénario référence'!$B$16*5+'Scénario référence'!$B$17*0+'Scénario référence'!$B$18*5</f>
        <v>3.3000000000000003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12.100000000000001</v>
      </c>
      <c r="H92" s="65">
        <f t="shared" si="56"/>
        <v>208.26666666666665</v>
      </c>
      <c r="I92" s="6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66.524075868074249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4.2</v>
      </c>
      <c r="N92" s="13">
        <f>IF('Données projet'!$A$36&gt;35,N91+M92-V91,IF(A92&lt;'Données projet'!$A$36,$K$205^A92,IF(A92='Données projet'!$A$36,'Données projet'!$B$36,N91+M92-V91)))</f>
        <v>202.79999999999995</v>
      </c>
      <c r="O92" s="13">
        <f>N92*VLOOKUP('Données projet'!$B$9,Paramètres!$A$1:$I$89,3,0)*VLOOKUP('Données projet'!$B$9,Paramètres!$A$1:$I$89,5,0)</f>
        <v>205.63919999999996</v>
      </c>
      <c r="P92" s="13">
        <f t="shared" si="87"/>
        <v>50.981480488268119</v>
      </c>
      <c r="Q92" s="20">
        <f t="shared" si="54"/>
        <v>446.94768518373354</v>
      </c>
      <c r="R92" s="57">
        <f t="shared" si="55"/>
        <v>727.53596336667238</v>
      </c>
      <c r="S92" s="57">
        <f ca="1">AVERAGE(OFFSET($R$3,0,0,'Données projet'!$E$9+1,1))-AVERAGE(OFFSET($H$3,0,0,'Données projet'!$E$9+1,1))</f>
        <v>332.70145542047612</v>
      </c>
      <c r="T92" s="57">
        <f t="shared" si="88"/>
        <v>172.22433737900428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16.523522060296067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16.523522060296067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66.524075868074249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6.4899999999999993</v>
      </c>
      <c r="AI92" s="13">
        <f>IF('Données projet'!$A$62&gt;35,AI91+AH92-AQ91,IF(A92&lt;'Données projet'!$A$62,$AF$205^A92,IF(A92='Données projet'!$A$62,'Données projet'!$B$62,AI91+AH92-AQ91)))</f>
        <v>241.27000000000004</v>
      </c>
      <c r="AJ92" s="13">
        <f>AI92*VLOOKUP('Données projet'!$B$10,Paramètres!$A$1:$I$89,3,0)*VLOOKUP('Données projet'!$B$10,Paramètres!$A$1:$I$89,5,0)</f>
        <v>218.30109600000006</v>
      </c>
      <c r="AK92" s="13">
        <f t="shared" si="89"/>
        <v>53.745470897276093</v>
      </c>
      <c r="AL92" s="20">
        <f t="shared" si="58"/>
        <v>473.81443734608928</v>
      </c>
      <c r="AM92" s="57">
        <f t="shared" si="59"/>
        <v>754.40271552902823</v>
      </c>
      <c r="AN92" s="57">
        <f ca="1">AVERAGE(OFFSET($AM$3,0,0,'Données projet'!$E$10+1,1))-AVERAGE(OFFSET($H$3,0,0,'Données projet'!$E$10+1,1))</f>
        <v>469.4210143164521</v>
      </c>
      <c r="AO92" s="57">
        <f t="shared" si="90"/>
        <v>308.4508386530556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21.0579661679471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21.0579661679471</v>
      </c>
      <c r="AY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66.524075868074249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7" t="e">
        <f t="shared" si="62"/>
        <v>#NUM!</v>
      </c>
      <c r="BI92" s="57">
        <f ca="1">AVERAGE(OFFSET($BH$3,0,0,'Données projet'!$E$11+1,1))-AVERAGE(OFFSET($H$3,0,0,'Données projet'!$E$11+1,1))</f>
        <v>344.32981377462971</v>
      </c>
      <c r="BJ92" s="57">
        <f t="shared" si="92"/>
        <v>334.42512656625763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97.137359578863581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97.137359578863581</v>
      </c>
      <c r="BT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66.524075868074249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7</v>
      </c>
      <c r="BY92" s="12">
        <f>IF('Données projet'!$A$114&gt;35,BY91+BX92-CG91,IF(A92&lt;'Données projet'!$A$114,$BV$205^A92,IF(A92='Données projet'!$A$114,'Données projet'!$B$114,BY91+BX92-CG91)))</f>
        <v>307.0000000000004</v>
      </c>
      <c r="BZ92" s="13">
        <f>BY92*VLOOKUP('Données projet'!$B$12,Paramètres!$A$1:$I$89,3,0)*VLOOKUP('Données projet'!$B$12,Paramètres!$A$1:$I$89,5,0)</f>
        <v>292.14120000000037</v>
      </c>
      <c r="CA92" s="13">
        <f t="shared" si="93"/>
        <v>69.526420504752394</v>
      </c>
      <c r="CB92" s="20">
        <f t="shared" si="64"/>
        <v>629.90443904577774</v>
      </c>
      <c r="CC92" s="57">
        <f t="shared" si="65"/>
        <v>910.49271722871663</v>
      </c>
      <c r="CD92" s="57">
        <f ca="1">AVERAGE(OFFSET($CC$3,0,0,'Données projet'!$E$12+1,1))-AVERAGE(OFFSET($H$3,0,0,'Données projet'!$E$12+1,1))</f>
        <v>498.77732039282807</v>
      </c>
      <c r="CE92" s="57">
        <f t="shared" si="94"/>
        <v>384.57317421826531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45.778231176270921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45.778231176270921</v>
      </c>
      <c r="CO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66.524075868074249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6.4899999999999993</v>
      </c>
      <c r="CT92" s="12">
        <f>IF('Données projet'!$A$140&gt;35,CT91+CS92-DB91,IF(A92&lt;'Données projet'!$A$140,$CQ$205^A92,IF(A92='Données projet'!$A$140,'Données projet'!$B$140,CT91+CS92-DB91)))</f>
        <v>241.27000000000004</v>
      </c>
      <c r="CU92" s="17">
        <f>CT92*VLOOKUP('Données projet'!$B$13,Paramètres!$A$1:$I$89,3,0)*VLOOKUP('Données projet'!$B$13,Paramètres!$A$1:$I$89,5,0)</f>
        <v>161.84391600000004</v>
      </c>
      <c r="CV92" s="13">
        <f t="shared" si="95"/>
        <v>41.258138042008071</v>
      </c>
      <c r="CW92" s="20">
        <f t="shared" si="67"/>
        <v>353.73607745649741</v>
      </c>
      <c r="CX92" s="57">
        <f t="shared" si="68"/>
        <v>634.32435563943636</v>
      </c>
      <c r="CY92" s="57">
        <f ca="1">AVERAGE(OFFSET($CX$3,0,0,'Données projet'!$E$13+1,1))-AVERAGE(OFFSET($H$3,0,0,'Données projet'!$E$13+1,1))</f>
        <v>365.99625753737246</v>
      </c>
      <c r="CZ92" s="57">
        <f t="shared" si="96"/>
        <v>242.84814712692287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19.242624256917189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19.242624256917189</v>
      </c>
      <c r="DJ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66.524075868074249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3.8</v>
      </c>
      <c r="DO92" s="12">
        <f>IF('Données projet'!$A$166&gt;35,DO91+DN92-DW91,IF(A92&lt;'Données projet'!$A$166,$DL$205^A92,IF(A92='Données projet'!$A$166,'Données projet'!$B$166,DO91+DN92-DW91)))</f>
        <v>279.20000000000022</v>
      </c>
      <c r="DP92" s="17">
        <f>DO92*VLOOKUP('Données projet'!$B$14,Paramètres!$A$1:$I$89,3,0)*VLOOKUP('Données projet'!$B$14,Paramètres!$A$1:$I$89,5,0)</f>
        <v>182.93184000000014</v>
      </c>
      <c r="DQ92" s="13">
        <f t="shared" si="97"/>
        <v>45.973851929814685</v>
      </c>
      <c r="DR92" s="20">
        <f t="shared" si="70"/>
        <v>398.67741344442743</v>
      </c>
      <c r="DS92" s="57">
        <f t="shared" si="71"/>
        <v>679.26569162736632</v>
      </c>
      <c r="DT92" s="57">
        <f ca="1">AVERAGE(OFFSET($DS$3,0,0,'Données projet'!$E$14+1,1))-AVERAGE(OFFSET($H$3,0,0,'Données projet'!$E$14+1,1))</f>
        <v>313.79279628660527</v>
      </c>
      <c r="DU92" s="57">
        <f t="shared" si="98"/>
        <v>317.45469955216254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22.455126587314201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22.455126587314201</v>
      </c>
      <c r="EE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66.524075868074249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10</v>
      </c>
      <c r="EJ92" s="12">
        <f>IF('Données projet'!$A$192&gt;35,EJ91+EI92-ER91,IF(A92&lt;'Données projet'!$A$192,$EG$205^A92,IF(A92='Données projet'!$A$192,'Données projet'!$B$192,EJ91+EI92-ER91)))</f>
        <v>694.99999999999989</v>
      </c>
      <c r="EK92" s="17">
        <f>EJ92*VLOOKUP('Données projet'!$B$15,Paramètres!$A$1:$I$89,3,0)*VLOOKUP('Données projet'!$B$15,Paramètres!$A$1:$I$89,5,0)</f>
        <v>596.30999999999995</v>
      </c>
      <c r="EL92" s="13">
        <f t="shared" si="99"/>
        <v>130.60482023426661</v>
      </c>
      <c r="EM92" s="20">
        <f t="shared" si="73"/>
        <v>1266.0433119080142</v>
      </c>
      <c r="EN92" s="57">
        <f t="shared" si="74"/>
        <v>1546.6315900909531</v>
      </c>
      <c r="EO92" s="57">
        <f ca="1">AVERAGE(OFFSET($EN$3,0,0,'Données projet'!$E$15+1,1))-AVERAGE(OFFSET($H$3,0,0,'Données projet'!$E$15+1,1))</f>
        <v>643.04899298561475</v>
      </c>
      <c r="EP92" s="57">
        <f t="shared" si="100"/>
        <v>474.94999304483031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60.629862009150692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60.629862009150692</v>
      </c>
      <c r="EZ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66.524075868074249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>
        <f>FE92*VLOOKUP('Données projet'!$B$16,Paramètres!$A$1:$I$89,3,0)*VLOOKUP('Données projet'!$B$16,Paramètres!$A$1:$I$89,5,0)</f>
        <v>0</v>
      </c>
      <c r="FG92" s="13" t="e">
        <f t="shared" si="101"/>
        <v>#NUM!</v>
      </c>
      <c r="FH92" s="20" t="e">
        <f t="shared" si="76"/>
        <v>#NUM!</v>
      </c>
      <c r="FI92" s="57" t="e">
        <f t="shared" si="77"/>
        <v>#NUM!</v>
      </c>
      <c r="FJ92" s="57">
        <f ca="1">AVERAGE(OFFSET($FI$3,0,0,'Données projet'!$E$16+1,1))-AVERAGE(OFFSET($H$3,0,0,'Données projet'!$E$16+1,1))</f>
        <v>375.34603719604439</v>
      </c>
      <c r="FK92" s="57">
        <f t="shared" si="102"/>
        <v>363.99476973672211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132.46440524460564</v>
      </c>
      <c r="FR92" s="21">
        <f>EXP(-LN(2)/25)*FR91+(1-EXP(-LN(2)/25))/(LN(2)/25)*Calculateur!FM92*Calculateur!FO92*VLOOKUP('Données projet'!$B$16,Paramètres!$A$1:$I$89,3,0)*0.475*44/12</f>
        <v>0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132.46440524460564</v>
      </c>
      <c r="FU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66.524075868074249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-1.1368683772161603E-13</v>
      </c>
      <c r="GA92" s="17">
        <f>FZ92*VLOOKUP('Données projet'!$B$17,Paramètres!$A$1:$I$89,3,0)*VLOOKUP('Données projet'!$B$17,Paramètres!$A$1:$I$89,5,0)</f>
        <v>-6.3550942286383367E-14</v>
      </c>
      <c r="GB92" s="13" t="e">
        <f t="shared" si="103"/>
        <v>#NUM!</v>
      </c>
      <c r="GC92" s="20" t="e">
        <f t="shared" si="79"/>
        <v>#NUM!</v>
      </c>
      <c r="GD92" s="57" t="e">
        <f t="shared" si="80"/>
        <v>#NUM!</v>
      </c>
      <c r="GE92" s="57">
        <f ca="1">AVERAGE(OFFSET($GD$3,0,0,'Données projet'!$E$17+1,1))-AVERAGE(OFFSET($H$3,0,0,'Données projet'!$E$17+1,1))</f>
        <v>414.47327143450701</v>
      </c>
      <c r="GF92" s="57">
        <f t="shared" si="104"/>
        <v>546.83385887302961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150.58010826400056</v>
      </c>
      <c r="GM92" s="21">
        <f>EXP(-LN(2)/25)*GM91+(1-EXP(-LN(2)/25))/(LN(2)/25)*Calculateur!GH92*Calculateur!GJ92*VLOOKUP('Données projet'!$B$17,Paramètres!$A$1:$I$89,3,0)*0.475*44/12</f>
        <v>24.12477846156353</v>
      </c>
      <c r="GN92" s="21">
        <f>EXP(-LN(2)/2)*GN91+(1-EXP(-LN(2)/2))/(LN(2)/2)*GH92*GK92*VLOOKUP('Données projet'!$B$17,Paramètres!$A$1:$I$89,3,0)*0.475*44/12</f>
        <v>2.2413745480406321E-4</v>
      </c>
      <c r="GO92" s="21">
        <f t="shared" si="81"/>
        <v>174.70511086301889</v>
      </c>
      <c r="GP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66.524075868074249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4.4000000000000004</v>
      </c>
      <c r="GU92" s="12">
        <f>IF('Données projet'!$A$270&gt;35,GU91+GT92-HC91,IF(A92&lt;'Données projet'!$A$270,$GR$205^A92,IF(A92='Données projet'!$A$270,'Données projet'!$B$270,GU91+GT92-HC91)))</f>
        <v>432.59999999999985</v>
      </c>
      <c r="GV92" s="17">
        <f>GU92*VLOOKUP('Données projet'!$B$18,Paramètres!$A$1:$I$89,3,0)*VLOOKUP('Données projet'!$B$18,Paramètres!$A$1:$I$89,5,0)</f>
        <v>236.19959999999992</v>
      </c>
      <c r="GW92" s="13">
        <f t="shared" si="105"/>
        <v>57.621097864402479</v>
      </c>
      <c r="GX92" s="20">
        <f t="shared" si="82"/>
        <v>511.73771544716743</v>
      </c>
      <c r="GY92" s="57">
        <f t="shared" si="83"/>
        <v>792.32599363010627</v>
      </c>
      <c r="GZ92" s="57">
        <f ca="1">AVERAGE(OFFSET($GY$3,0,0,'Données projet'!$E$18+1,1))-AVERAGE(OFFSET($H$3,0,0,'Données projet'!$E$18+1,1))</f>
        <v>381.00532469288714</v>
      </c>
      <c r="HA92" s="57">
        <f t="shared" si="106"/>
        <v>314.875259641757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>
        <f>EXP(-LN(2)/35)*HG91+(1-EXP(-LN(2)/35))/(LN(2)/35)*HC92*HD92*VLOOKUP('Données projet'!$B$18,Paramètres!$A$1:$I$89,3,0)*0.475*44/12</f>
        <v>50.819816224494865</v>
      </c>
      <c r="HH92" s="21">
        <f>EXP(-LN(2)/25)*HH91+(1-EXP(-LN(2)/25))/(LN(2)/25)*Calculateur!HC92*Calculateur!HE92*VLOOKUP('Données projet'!$B$18,Paramètres!$A$1:$I$89,3,0)*0.475*44/12</f>
        <v>14.533611285644302</v>
      </c>
      <c r="HI92" s="21">
        <f>EXP(-LN(2)/2)*HI91+(1-EXP(-LN(2)/2))/(LN(2)/2)*HC92*HF92*VLOOKUP('Données projet'!$B$18,Paramètres!$A$1:$I$89,3,0)*0.475*44/12</f>
        <v>0.27553389294179592</v>
      </c>
      <c r="HJ92" s="22">
        <f t="shared" si="84"/>
        <v>65.628961403080964</v>
      </c>
    </row>
    <row r="93" spans="1:218" x14ac:dyDescent="0.2">
      <c r="A93" s="10">
        <f t="shared" si="85"/>
        <v>90</v>
      </c>
      <c r="B93" s="71">
        <f>'Scénario référence'!$B$16*5+'Scénario référence'!$B$17*0+'Scénario référence'!$B$18*5</f>
        <v>3.3000000000000003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12.100000000000001</v>
      </c>
      <c r="H93" s="65">
        <f t="shared" si="56"/>
        <v>208.26666666666665</v>
      </c>
      <c r="I93" s="6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66.584375380760989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207</v>
      </c>
      <c r="L93" s="12">
        <f>VLOOKUP(A93,'Données projet'!$A$35:$I$55,9,0)</f>
        <v>4.2</v>
      </c>
      <c r="M93" s="12">
        <f t="array" ref="M93">INDEX(L:L,MIN(IF(ISNUMBER(L93:L289),ROW(L93:L289),"")))</f>
        <v>4.2</v>
      </c>
      <c r="N93" s="13">
        <f>IF('Données projet'!$A$36&gt;35,N92+M93-V92,IF(A93&lt;'Données projet'!$A$36,$K$205^A93,IF(A93='Données projet'!$A$36,'Données projet'!$B$36,N92+M93-V92)))</f>
        <v>206.99999999999994</v>
      </c>
      <c r="O93" s="13">
        <f>N93*VLOOKUP('Données projet'!$B$9,Paramètres!$A$1:$I$89,3,0)*VLOOKUP('Données projet'!$B$9,Paramètres!$A$1:$I$89,5,0)</f>
        <v>209.89799999999994</v>
      </c>
      <c r="P93" s="13">
        <f t="shared" si="87"/>
        <v>51.913295501810218</v>
      </c>
      <c r="Q93" s="20">
        <f t="shared" si="54"/>
        <v>455.98800633231934</v>
      </c>
      <c r="R93" s="57">
        <f t="shared" si="55"/>
        <v>736.79738272844293</v>
      </c>
      <c r="S93" s="57">
        <f ca="1">AVERAGE(OFFSET($R$3,0,0,'Données projet'!$E$9+1,1))-AVERAGE(OFFSET($H$3,0,0,'Données projet'!$E$9+1,1))</f>
        <v>332.70145542047612</v>
      </c>
      <c r="T93" s="57">
        <f t="shared" si="88"/>
        <v>172.22433737900428</v>
      </c>
      <c r="U93" s="15">
        <f>IF(ISNA(VLOOKUP(A93,'Données projet'!$A$35:$I$55,3,0)),0,VLOOKUP(A93,'Données projet'!$A$35:$I$55,3,0))</f>
        <v>14</v>
      </c>
      <c r="V93" s="15">
        <f>IF(ISNA(VLOOKUP(A93,'Données projet'!$A$35:$I$55,4,0)),0,VLOOKUP(A93,'Données projet'!$A$35:$I$55,4,0))</f>
        <v>14</v>
      </c>
      <c r="W93" s="16">
        <f>IF(ISNA(VLOOKUP(A93,'Données projet'!$A$35:$I$55,5,0)),0%,VLOOKUP(A93,'Données projet'!$A$35:$I$55,5,0)*VLOOKUP('Données projet'!$B$9,Paramètres!$A$1:$I$89,7,0))</f>
        <v>0.25800000000000001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20.2483663080722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20.2483663080722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66.584375380760989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247.76</v>
      </c>
      <c r="AG93" s="12">
        <f>VLOOKUP(A93,'Données projet'!$A$61:$I$81,9,0)</f>
        <v>6.4899999999999993</v>
      </c>
      <c r="AH93" s="12">
        <f t="array" ref="AH93">INDEX(AG:AG,MIN(IF(ISNUMBER(AG93:AG289),ROW(AG93:AG289),"")))</f>
        <v>6.4899999999999993</v>
      </c>
      <c r="AI93" s="13">
        <f>IF('Données projet'!$A$62&gt;35,AI92+AH93-AQ92,IF(A93&lt;'Données projet'!$A$62,$AF$205^A93,IF(A93='Données projet'!$A$62,'Données projet'!$B$62,AI92+AH93-AQ92)))</f>
        <v>247.76000000000005</v>
      </c>
      <c r="AJ93" s="13">
        <f>AI93*VLOOKUP('Données projet'!$B$10,Paramètres!$A$1:$I$89,3,0)*VLOOKUP('Données projet'!$B$10,Paramètres!$A$1:$I$89,5,0)</f>
        <v>224.17324800000003</v>
      </c>
      <c r="AK93" s="13">
        <f t="shared" si="89"/>
        <v>55.020926173951459</v>
      </c>
      <c r="AL93" s="20">
        <f t="shared" si="58"/>
        <v>486.26318668629875</v>
      </c>
      <c r="AM93" s="57">
        <f t="shared" si="59"/>
        <v>767.07256308242245</v>
      </c>
      <c r="AN93" s="57">
        <f ca="1">AVERAGE(OFFSET($AM$3,0,0,'Données projet'!$E$10+1,1))-AVERAGE(OFFSET($H$3,0,0,'Données projet'!$E$10+1,1))</f>
        <v>469.4210143164521</v>
      </c>
      <c r="AO93" s="57">
        <f t="shared" si="90"/>
        <v>308.4508386530556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20.645032295484771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20.645032295484771</v>
      </c>
      <c r="AY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66.584375380760989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7" t="e">
        <f t="shared" si="62"/>
        <v>#NUM!</v>
      </c>
      <c r="BI93" s="57">
        <f ca="1">AVERAGE(OFFSET($BH$3,0,0,'Données projet'!$E$11+1,1))-AVERAGE(OFFSET($H$3,0,0,'Données projet'!$E$11+1,1))</f>
        <v>344.32981377462971</v>
      </c>
      <c r="BJ93" s="57">
        <f t="shared" si="92"/>
        <v>334.42512656625763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95.232555205461168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95.232555205461168</v>
      </c>
      <c r="BT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66.584375380760989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314</v>
      </c>
      <c r="BW93" s="12">
        <f>VLOOKUP(A93,'Données projet'!$A$113:$I$133,9,0)</f>
        <v>7</v>
      </c>
      <c r="BX93" s="12">
        <f t="array" ref="BX93">INDEX(BW:BW,MIN(IF(ISNUMBER(BW93:BW289),ROW(BW93:BW289),"")))</f>
        <v>7</v>
      </c>
      <c r="BY93" s="12">
        <f>IF('Données projet'!$A$114&gt;35,BY92+BX93-CG92,IF(A93&lt;'Données projet'!$A$114,$BV$205^A93,IF(A93='Données projet'!$A$114,'Données projet'!$B$114,BY92+BX93-CG92)))</f>
        <v>314.0000000000004</v>
      </c>
      <c r="BZ93" s="13">
        <f>BY93*VLOOKUP('Données projet'!$B$12,Paramètres!$A$1:$I$89,3,0)*VLOOKUP('Données projet'!$B$12,Paramètres!$A$1:$I$89,5,0)</f>
        <v>298.80240000000038</v>
      </c>
      <c r="CA93" s="13">
        <f t="shared" si="93"/>
        <v>70.925342097965881</v>
      </c>
      <c r="CB93" s="20">
        <f t="shared" si="64"/>
        <v>643.94248415395793</v>
      </c>
      <c r="CC93" s="57">
        <f t="shared" si="65"/>
        <v>924.75186055008157</v>
      </c>
      <c r="CD93" s="57">
        <f ca="1">AVERAGE(OFFSET($CC$3,0,0,'Données projet'!$E$12+1,1))-AVERAGE(OFFSET($H$3,0,0,'Données projet'!$E$12+1,1))</f>
        <v>498.77732039282807</v>
      </c>
      <c r="CE93" s="57">
        <f t="shared" si="94"/>
        <v>384.57317421826531</v>
      </c>
      <c r="CF93" s="15">
        <f>IF(ISNA(VLOOKUP(A93,'Données projet'!$A$113:$I$133,3,0)),0,VLOOKUP(A93,'Données projet'!$A$113:$I$133,3,0))</f>
        <v>14</v>
      </c>
      <c r="CG93" s="15">
        <f>IF(ISNA(VLOOKUP(A93,'Données projet'!$A$113:$I$133,4,0)),0,VLOOKUP(A93,'Données projet'!$A$113:$I$133,4,0))</f>
        <v>31</v>
      </c>
      <c r="CH93" s="16">
        <f>IF(ISNA(VLOOKUP(A93,'Données projet'!$A$113:$I$133,5,0)),0%,VLOOKUP(A93,'Données projet'!$A$113:$I$133,5,0)*VLOOKUP('Données projet'!$B$12,Paramètres!$A$1:$I$89,7,0))</f>
        <v>0.30099999999999999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54.696439121297338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54.696439121297338</v>
      </c>
      <c r="CO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66.584375380760989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247.76</v>
      </c>
      <c r="CR93" s="12">
        <f>VLOOKUP(A93,'Données projet'!$A$139:$I$159,9,0)</f>
        <v>6.4899999999999993</v>
      </c>
      <c r="CS93" s="12">
        <f t="array" ref="CS93">INDEX(CR:CR,MIN(IF(ISNUMBER(CR93:CR289),ROW(CR93:CR289),"")))</f>
        <v>6.4899999999999993</v>
      </c>
      <c r="CT93" s="12">
        <f>IF('Données projet'!$A$140&gt;35,CT92+CS93-DB92,IF(A93&lt;'Données projet'!$A$140,$CQ$205^A93,IF(A93='Données projet'!$A$140,'Données projet'!$B$140,CT92+CS93-DB92)))</f>
        <v>247.76000000000005</v>
      </c>
      <c r="CU93" s="17">
        <f>CT93*VLOOKUP('Données projet'!$B$13,Paramètres!$A$1:$I$89,3,0)*VLOOKUP('Données projet'!$B$13,Paramètres!$A$1:$I$89,5,0)</f>
        <v>166.19740800000002</v>
      </c>
      <c r="CV93" s="13">
        <f t="shared" si="95"/>
        <v>42.237251425758274</v>
      </c>
      <c r="CW93" s="20">
        <f t="shared" si="67"/>
        <v>363.02369849986235</v>
      </c>
      <c r="CX93" s="57">
        <f t="shared" si="68"/>
        <v>643.83307489598599</v>
      </c>
      <c r="CY93" s="57">
        <f ca="1">AVERAGE(OFFSET($CX$3,0,0,'Données projet'!$E$13+1,1))-AVERAGE(OFFSET($H$3,0,0,'Données projet'!$E$13+1,1))</f>
        <v>365.99625753737246</v>
      </c>
      <c r="CZ93" s="57">
        <f t="shared" si="96"/>
        <v>242.84814712692287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18.865288132080924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18.865288132080924</v>
      </c>
      <c r="DJ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66.584375380760989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>
        <f>VLOOKUP(A93,'Données projet'!$A$165:$I$185,2,0)</f>
        <v>283</v>
      </c>
      <c r="DM93" s="12">
        <f>VLOOKUP(A93,'Données projet'!$A$165:$I$185,9,0)</f>
        <v>3.8</v>
      </c>
      <c r="DN93" s="12">
        <f t="array" ref="DN93">INDEX(DM:DM,MIN(IF(ISNUMBER(DM93:DM289),ROW(DM93:DM289),"")))</f>
        <v>3.8</v>
      </c>
      <c r="DO93" s="12">
        <f>IF('Données projet'!$A$166&gt;35,DO92+DN93-DW92,IF(A93&lt;'Données projet'!$A$166,$DL$205^A93,IF(A93='Données projet'!$A$166,'Données projet'!$B$166,DO92+DN93-DW92)))</f>
        <v>283.00000000000023</v>
      </c>
      <c r="DP93" s="17">
        <f>DO93*VLOOKUP('Données projet'!$B$14,Paramètres!$A$1:$I$89,3,0)*VLOOKUP('Données projet'!$B$14,Paramètres!$A$1:$I$89,5,0)</f>
        <v>185.42160000000013</v>
      </c>
      <c r="DQ93" s="13">
        <f t="shared" si="97"/>
        <v>46.526301148997497</v>
      </c>
      <c r="DR93" s="20">
        <f t="shared" si="70"/>
        <v>403.97592783450415</v>
      </c>
      <c r="DS93" s="57">
        <f t="shared" si="71"/>
        <v>684.78530423062784</v>
      </c>
      <c r="DT93" s="57">
        <f ca="1">AVERAGE(OFFSET($DS$3,0,0,'Données projet'!$E$14+1,1))-AVERAGE(OFFSET($H$3,0,0,'Données projet'!$E$14+1,1))</f>
        <v>313.79279628660527</v>
      </c>
      <c r="DU93" s="57">
        <f t="shared" si="98"/>
        <v>317.45469955216254</v>
      </c>
      <c r="DV93" s="15">
        <f>IF(ISNA(VLOOKUP(A93,'Données projet'!$A$165:$I$185,3,0)),0,VLOOKUP(A93,'Données projet'!$A$165:$I$185,3,0))</f>
        <v>17</v>
      </c>
      <c r="DW93" s="15">
        <f>IF(ISNA(VLOOKUP(A93,'Données projet'!$A$165:$I$185,4,0)),0,VLOOKUP(A93,'Données projet'!$A$165:$I$185,4,0))</f>
        <v>283</v>
      </c>
      <c r="DX93" s="16">
        <f>IF(ISNA(VLOOKUP(A93,'Données projet'!$A$165:$I$185,5,0)),0%,VLOOKUP(A93,'Données projet'!$A$165:$I$185,5,0)*VLOOKUP('Données projet'!$B$14,Paramètres!$A$1:$I$89,7,0))</f>
        <v>0.34400000000000003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92.52725701602057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92.52725701602057</v>
      </c>
      <c r="EE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66.584375380760989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>
        <f>VLOOKUP(A93,'Données projet'!$A$191:$I$211,2,0)</f>
        <v>705</v>
      </c>
      <c r="EH93" s="12">
        <f>VLOOKUP(A93,'Données projet'!$A$191:$I$211,9,0)</f>
        <v>10</v>
      </c>
      <c r="EI93" s="12">
        <f t="array" ref="EI93">INDEX(EH:EH,MIN(IF(ISNUMBER(EH93:EH289),ROW(EH93:EH289),"")))</f>
        <v>10</v>
      </c>
      <c r="EJ93" s="12">
        <f>IF('Données projet'!$A$192&gt;35,EJ92+EI93-ER92,IF(A93&lt;'Données projet'!$A$192,$EG$205^A93,IF(A93='Données projet'!$A$192,'Données projet'!$B$192,EJ92+EI93-ER92)))</f>
        <v>704.99999999999989</v>
      </c>
      <c r="EK93" s="17">
        <f>EJ93*VLOOKUP('Données projet'!$B$15,Paramètres!$A$1:$I$89,3,0)*VLOOKUP('Données projet'!$B$15,Paramètres!$A$1:$I$89,5,0)</f>
        <v>604.89</v>
      </c>
      <c r="EL93" s="13">
        <f t="shared" si="99"/>
        <v>132.26390359476616</v>
      </c>
      <c r="EM93" s="20">
        <f t="shared" si="73"/>
        <v>1283.8763820942174</v>
      </c>
      <c r="EN93" s="57">
        <f t="shared" si="74"/>
        <v>1564.685758490341</v>
      </c>
      <c r="EO93" s="57">
        <f ca="1">AVERAGE(OFFSET($EN$3,0,0,'Données projet'!$E$15+1,1))-AVERAGE(OFFSET($H$3,0,0,'Données projet'!$E$15+1,1))</f>
        <v>643.04899298561475</v>
      </c>
      <c r="EP93" s="57">
        <f t="shared" si="100"/>
        <v>474.94999304483031</v>
      </c>
      <c r="EQ93" s="15">
        <f>IF(ISNA(VLOOKUP(A93,'Données projet'!$A$191:$I$211,3,0)),0,VLOOKUP(A93,'Données projet'!$A$191:$I$211,3,0))</f>
        <v>14</v>
      </c>
      <c r="ER93" s="15">
        <f>IF(ISNA(VLOOKUP(A93,'Données projet'!$A$191:$I$211,4,0)),0,VLOOKUP(A93,'Données projet'!$A$191:$I$211,4,0))</f>
        <v>705</v>
      </c>
      <c r="ES93" s="16">
        <f>IF(ISNA(VLOOKUP(A93,'Données projet'!$A$191:$I$211,5,0)),0%,VLOOKUP(A93,'Données projet'!$A$191:$I$211,5,0)*VLOOKUP('Données projet'!$B$15,Paramètres!$A$1:$I$89,7,0))</f>
        <v>0.42400000000000004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342.96465001500661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342.96465001500661</v>
      </c>
      <c r="EZ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66.584375380760989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>
        <f>FE93*VLOOKUP('Données projet'!$B$16,Paramètres!$A$1:$I$89,3,0)*VLOOKUP('Données projet'!$B$16,Paramètres!$A$1:$I$89,5,0)</f>
        <v>0</v>
      </c>
      <c r="FG93" s="13" t="e">
        <f t="shared" si="101"/>
        <v>#NUM!</v>
      </c>
      <c r="FH93" s="20" t="e">
        <f t="shared" si="76"/>
        <v>#NUM!</v>
      </c>
      <c r="FI93" s="57" t="e">
        <f t="shared" si="77"/>
        <v>#NUM!</v>
      </c>
      <c r="FJ93" s="57">
        <f ca="1">AVERAGE(OFFSET($FI$3,0,0,'Données projet'!$E$16+1,1))-AVERAGE(OFFSET($H$3,0,0,'Données projet'!$E$16+1,1))</f>
        <v>375.34603719604439</v>
      </c>
      <c r="FK93" s="57">
        <f t="shared" si="102"/>
        <v>363.99476973672211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129.86685905306825</v>
      </c>
      <c r="FR93" s="21">
        <f>EXP(-LN(2)/25)*FR92+(1-EXP(-LN(2)/25))/(LN(2)/25)*Calculateur!FM93*Calculateur!FO93*VLOOKUP('Données projet'!$B$16,Paramètres!$A$1:$I$89,3,0)*0.475*44/12</f>
        <v>0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129.86685905306825</v>
      </c>
      <c r="FU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66.584375380760989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-1.1368683772161603E-13</v>
      </c>
      <c r="GA93" s="17">
        <f>FZ93*VLOOKUP('Données projet'!$B$17,Paramètres!$A$1:$I$89,3,0)*VLOOKUP('Données projet'!$B$17,Paramètres!$A$1:$I$89,5,0)</f>
        <v>-6.3550942286383367E-14</v>
      </c>
      <c r="GB93" s="13" t="e">
        <f t="shared" si="103"/>
        <v>#NUM!</v>
      </c>
      <c r="GC93" s="20" t="e">
        <f t="shared" si="79"/>
        <v>#NUM!</v>
      </c>
      <c r="GD93" s="57" t="e">
        <f t="shared" si="80"/>
        <v>#NUM!</v>
      </c>
      <c r="GE93" s="57">
        <f ca="1">AVERAGE(OFFSET($GD$3,0,0,'Données projet'!$E$17+1,1))-AVERAGE(OFFSET($H$3,0,0,'Données projet'!$E$17+1,1))</f>
        <v>414.47327143450701</v>
      </c>
      <c r="GF93" s="57">
        <f t="shared" si="104"/>
        <v>546.83385887302961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147.62732418574063</v>
      </c>
      <c r="GM93" s="21">
        <f>EXP(-LN(2)/25)*GM92+(1-EXP(-LN(2)/25))/(LN(2)/25)*Calculateur!GH93*Calculateur!GJ93*VLOOKUP('Données projet'!$B$17,Paramètres!$A$1:$I$89,3,0)*0.475*44/12</f>
        <v>23.465085125865112</v>
      </c>
      <c r="GN93" s="21">
        <f>EXP(-LN(2)/2)*GN92+(1-EXP(-LN(2)/2))/(LN(2)/2)*GH93*GK93*VLOOKUP('Données projet'!$B$17,Paramètres!$A$1:$I$89,3,0)*0.475*44/12</f>
        <v>1.5848911420984641E-4</v>
      </c>
      <c r="GO93" s="21">
        <f t="shared" si="81"/>
        <v>171.09256780071993</v>
      </c>
      <c r="GP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66.584375380760989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>
        <f>VLOOKUP(A93,'Données projet'!$A$269:$I$289,2,0)</f>
        <v>437</v>
      </c>
      <c r="GS93" s="12">
        <f>VLOOKUP(A93,'Données projet'!$A$269:$I$289,9,0)</f>
        <v>4.4000000000000004</v>
      </c>
      <c r="GT93" s="12">
        <f t="array" ref="GT93">INDEX(GS:GS,MIN(IF(ISNUMBER(GS93:GS289),ROW(GS93:GS289),"")))</f>
        <v>4.4000000000000004</v>
      </c>
      <c r="GU93" s="12">
        <f>IF('Données projet'!$A$270&gt;35,GU92+GT93-HC92,IF(A93&lt;'Données projet'!$A$270,$GR$205^A93,IF(A93='Données projet'!$A$270,'Données projet'!$B$270,GU92+GT93-HC92)))</f>
        <v>436.99999999999983</v>
      </c>
      <c r="GV93" s="17">
        <f>GU93*VLOOKUP('Données projet'!$B$18,Paramètres!$A$1:$I$89,3,0)*VLOOKUP('Données projet'!$B$18,Paramètres!$A$1:$I$89,5,0)</f>
        <v>238.60199999999992</v>
      </c>
      <c r="GW93" s="13">
        <f t="shared" si="105"/>
        <v>58.138641779145487</v>
      </c>
      <c r="GX93" s="20">
        <f t="shared" si="82"/>
        <v>516.82328443201152</v>
      </c>
      <c r="GY93" s="57">
        <f t="shared" si="83"/>
        <v>797.63266082813516</v>
      </c>
      <c r="GZ93" s="57">
        <f ca="1">AVERAGE(OFFSET($GY$3,0,0,'Données projet'!$E$18+1,1))-AVERAGE(OFFSET($H$3,0,0,'Données projet'!$E$18+1,1))</f>
        <v>381.00532469288714</v>
      </c>
      <c r="HA93" s="57">
        <f t="shared" si="106"/>
        <v>314.875259641757</v>
      </c>
      <c r="HB93" s="15">
        <f>IF(ISNA(VLOOKUP(A93,'Données projet'!$A$269:$I$289,3,0)),0,VLOOKUP(A93,'Données projet'!$A$269:$I$289,3,0))</f>
        <v>17</v>
      </c>
      <c r="HC93" s="15">
        <f>IF(ISNA(VLOOKUP(A93,'Données projet'!$A$269:$I$289,4,0)),0,VLOOKUP(A93,'Données projet'!$A$269:$I$289,4,0))</f>
        <v>14</v>
      </c>
      <c r="HD93" s="16">
        <f>IF(ISNA(VLOOKUP(A93,'Données projet'!$A$269:$I$289,5,0)),0%,VLOOKUP(A93,'Données projet'!$A$269:$I$289,5,0)*VLOOKUP('Données projet'!$B$18,Paramètres!$A$1:$I$89,7,0))</f>
        <v>0.48</v>
      </c>
      <c r="HE93" s="16">
        <f>IF(ISNA(VLOOKUP(A93,'Données projet'!$A$269:$I$289,6,0)),0%,VLOOKUP(A93,'Données projet'!$A$269:$I$289,6,0)*VLOOKUP('Données projet'!$B$18,Paramètres!$A$1:$I$89,7,0))</f>
        <v>6.6000000000000003E-2</v>
      </c>
      <c r="HF93" s="16">
        <f>IF(ISNA(VLOOKUP(A93,'Données projet'!$A$269:$I$289,7,0)),0%,VLOOKUP(A93,'Données projet'!$A$269:$I$289,7,0))</f>
        <v>0.09</v>
      </c>
      <c r="HG93" s="21">
        <f>EXP(-LN(2)/35)*HG92+(1-EXP(-LN(2)/35))/(LN(2)/35)*HC93*HD93*VLOOKUP('Données projet'!$B$18,Paramètres!$A$1:$I$89,3,0)*0.475*44/12</f>
        <v>54.690594800102041</v>
      </c>
      <c r="HH93" s="21">
        <f>EXP(-LN(2)/25)*HH92+(1-EXP(-LN(2)/25))/(LN(2)/25)*Calculateur!HC93*Calculateur!HE93*VLOOKUP('Données projet'!$B$18,Paramètres!$A$1:$I$89,3,0)*0.475*44/12</f>
        <v>14.802810874668644</v>
      </c>
      <c r="HI93" s="21">
        <f>EXP(-LN(2)/2)*HI92+(1-EXP(-LN(2)/2))/(LN(2)/2)*HC93*HF93*VLOOKUP('Données projet'!$B$18,Paramètres!$A$1:$I$89,3,0)*0.475*44/12</f>
        <v>0.97376241555217957</v>
      </c>
      <c r="HJ93" s="22">
        <f t="shared" si="84"/>
        <v>70.467168090322858</v>
      </c>
    </row>
    <row r="94" spans="1:218" x14ac:dyDescent="0.2">
      <c r="A94" s="10">
        <f t="shared" si="85"/>
        <v>91</v>
      </c>
      <c r="B94" s="71">
        <f>'Scénario référence'!$B$16*5+'Scénario référence'!$B$17*0+'Scénario référence'!$B$18*5</f>
        <v>3.3000000000000003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12.100000000000001</v>
      </c>
      <c r="H94" s="65">
        <f t="shared" si="56"/>
        <v>208.26666666666665</v>
      </c>
      <c r="I94" s="6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66.643628831712121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3.8</v>
      </c>
      <c r="N94" s="13">
        <f>IF('Données projet'!$A$36&gt;35,N93+M94-V93,IF(A94&lt;'Données projet'!$A$36,$K$205^A94,IF(A94='Données projet'!$A$36,'Données projet'!$B$36,N93+M94-V93)))</f>
        <v>196.79999999999995</v>
      </c>
      <c r="O94" s="13">
        <f>N94*VLOOKUP('Données projet'!$B$9,Paramètres!$A$1:$I$89,3,0)*VLOOKUP('Données projet'!$B$9,Paramètres!$A$1:$I$89,5,0)</f>
        <v>199.55519999999996</v>
      </c>
      <c r="P94" s="13">
        <f t="shared" si="87"/>
        <v>49.646401484745567</v>
      </c>
      <c r="Q94" s="20">
        <f t="shared" si="54"/>
        <v>434.02612258593177</v>
      </c>
      <c r="R94" s="57">
        <f t="shared" si="55"/>
        <v>715.05276163554288</v>
      </c>
      <c r="S94" s="57">
        <f ca="1">AVERAGE(OFFSET($R$3,0,0,'Données projet'!$E$9+1,1))-AVERAGE(OFFSET($H$3,0,0,'Données projet'!$E$9+1,1))</f>
        <v>332.70145542047612</v>
      </c>
      <c r="T94" s="57">
        <f t="shared" si="88"/>
        <v>172.22433737900428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19.851308195054862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19.851308195054862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66.643628831712121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7.2533333333333303</v>
      </c>
      <c r="AI94" s="13">
        <f>IF('Données projet'!$A$62&gt;35,AI93+AH94-AQ93,IF(A94&lt;'Données projet'!$A$62,$AF$205^A94,IF(A94='Données projet'!$A$62,'Données projet'!$B$62,AI93+AH94-AQ93)))</f>
        <v>255.01333333333338</v>
      </c>
      <c r="AJ94" s="13">
        <f>AI94*VLOOKUP('Données projet'!$B$10,Paramètres!$A$1:$I$89,3,0)*VLOOKUP('Données projet'!$B$10,Paramètres!$A$1:$I$89,5,0)</f>
        <v>230.73606400000003</v>
      </c>
      <c r="AK94" s="13">
        <f t="shared" si="89"/>
        <v>56.441806168899618</v>
      </c>
      <c r="AL94" s="20">
        <f t="shared" si="58"/>
        <v>500.16812387750014</v>
      </c>
      <c r="AM94" s="57">
        <f t="shared" si="59"/>
        <v>781.19476292711124</v>
      </c>
      <c r="AN94" s="57">
        <f ca="1">AVERAGE(OFFSET($AM$3,0,0,'Données projet'!$E$10+1,1))-AVERAGE(OFFSET($H$3,0,0,'Données projet'!$E$10+1,1))</f>
        <v>469.4210143164521</v>
      </c>
      <c r="AO94" s="57">
        <f t="shared" si="90"/>
        <v>308.4508386530556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20.240195804396635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20.240195804396635</v>
      </c>
      <c r="AY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66.643628831712121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7" t="e">
        <f t="shared" si="62"/>
        <v>#NUM!</v>
      </c>
      <c r="BI94" s="57">
        <f ca="1">AVERAGE(OFFSET($BH$3,0,0,'Données projet'!$E$11+1,1))-AVERAGE(OFFSET($H$3,0,0,'Données projet'!$E$11+1,1))</f>
        <v>344.32981377462971</v>
      </c>
      <c r="BJ94" s="57">
        <f t="shared" si="92"/>
        <v>334.42512656625763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93.365102884005225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93.365102884005225</v>
      </c>
      <c r="BT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66.643628831712121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6.8</v>
      </c>
      <c r="BY94" s="12">
        <f>IF('Données projet'!$A$114&gt;35,BY93+BX94-CG93,IF(A94&lt;'Données projet'!$A$114,$BV$205^A94,IF(A94='Données projet'!$A$114,'Données projet'!$B$114,BY93+BX94-CG93)))</f>
        <v>289.80000000000041</v>
      </c>
      <c r="BZ94" s="13">
        <f>BY94*VLOOKUP('Données projet'!$B$12,Paramètres!$A$1:$I$89,3,0)*VLOOKUP('Données projet'!$B$12,Paramètres!$A$1:$I$89,5,0)</f>
        <v>275.77368000000041</v>
      </c>
      <c r="CA94" s="13">
        <f t="shared" si="93"/>
        <v>66.073076930208927</v>
      </c>
      <c r="CB94" s="20">
        <f t="shared" si="64"/>
        <v>595.38310165344785</v>
      </c>
      <c r="CC94" s="57">
        <f t="shared" si="65"/>
        <v>876.40974070305901</v>
      </c>
      <c r="CD94" s="57">
        <f ca="1">AVERAGE(OFFSET($CC$3,0,0,'Données projet'!$E$12+1,1))-AVERAGE(OFFSET($H$3,0,0,'Données projet'!$E$12+1,1))</f>
        <v>498.77732039282807</v>
      </c>
      <c r="CE94" s="57">
        <f t="shared" si="94"/>
        <v>384.57317421826531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53.623875311662381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53.623875311662381</v>
      </c>
      <c r="CO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66.643628831712121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7.2533333333333303</v>
      </c>
      <c r="CT94" s="12">
        <f>IF('Données projet'!$A$140&gt;35,CT93+CS94-DB93,IF(A94&lt;'Données projet'!$A$140,$CQ$205^A94,IF(A94='Données projet'!$A$140,'Données projet'!$B$140,CT93+CS94-DB93)))</f>
        <v>255.01333333333338</v>
      </c>
      <c r="CU94" s="17">
        <f>CT94*VLOOKUP('Données projet'!$B$13,Paramètres!$A$1:$I$89,3,0)*VLOOKUP('Données projet'!$B$13,Paramètres!$A$1:$I$89,5,0)</f>
        <v>171.06294400000002</v>
      </c>
      <c r="CV94" s="13">
        <f t="shared" si="95"/>
        <v>43.328001250701647</v>
      </c>
      <c r="CW94" s="20">
        <f t="shared" si="67"/>
        <v>373.39756297830536</v>
      </c>
      <c r="CX94" s="57">
        <f t="shared" si="68"/>
        <v>654.42420202791641</v>
      </c>
      <c r="CY94" s="57">
        <f ca="1">AVERAGE(OFFSET($CX$3,0,0,'Données projet'!$E$13+1,1))-AVERAGE(OFFSET($H$3,0,0,'Données projet'!$E$13+1,1))</f>
        <v>365.99625753737246</v>
      </c>
      <c r="CZ94" s="57">
        <f t="shared" si="96"/>
        <v>242.84814712692287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18.495351338500384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18.495351338500384</v>
      </c>
      <c r="DJ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66.643628831712121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2.2737367544323206E-13</v>
      </c>
      <c r="DP94" s="17">
        <f>DO94*VLOOKUP('Données projet'!$B$14,Paramètres!$A$1:$I$89,3,0)*VLOOKUP('Données projet'!$B$14,Paramètres!$A$1:$I$89,5,0)</f>
        <v>1.4897523215040565E-13</v>
      </c>
      <c r="DQ94" s="13">
        <f t="shared" si="97"/>
        <v>2.136562777003313E-12</v>
      </c>
      <c r="DR94" s="20">
        <f t="shared" si="70"/>
        <v>3.9806453659427267E-12</v>
      </c>
      <c r="DS94" s="57">
        <f t="shared" si="71"/>
        <v>281.02663904961508</v>
      </c>
      <c r="DT94" s="57">
        <f ca="1">AVERAGE(OFFSET($DS$3,0,0,'Données projet'!$E$14+1,1))-AVERAGE(OFFSET($H$3,0,0,'Données projet'!$E$14+1,1))</f>
        <v>313.79279628660527</v>
      </c>
      <c r="DU94" s="57">
        <f t="shared" si="98"/>
        <v>317.45469955216254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90.712853941990588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90.712853941990588</v>
      </c>
      <c r="EE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66.643628831712121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-1.1368683772161603E-13</v>
      </c>
      <c r="EK94" s="17">
        <f>EJ94*VLOOKUP('Données projet'!$B$15,Paramètres!$A$1:$I$89,3,0)*VLOOKUP('Données projet'!$B$15,Paramètres!$A$1:$I$89,5,0)</f>
        <v>-9.7543306765146564E-14</v>
      </c>
      <c r="EL94" s="13" t="e">
        <f t="shared" si="99"/>
        <v>#NUM!</v>
      </c>
      <c r="EM94" s="20" t="e">
        <f t="shared" si="73"/>
        <v>#NUM!</v>
      </c>
      <c r="EN94" s="57" t="e">
        <f t="shared" si="74"/>
        <v>#NUM!</v>
      </c>
      <c r="EO94" s="57">
        <f ca="1">AVERAGE(OFFSET($EN$3,0,0,'Données projet'!$E$15+1,1))-AVERAGE(OFFSET($H$3,0,0,'Données projet'!$E$15+1,1))</f>
        <v>643.04899298561475</v>
      </c>
      <c r="EP94" s="57">
        <f t="shared" si="100"/>
        <v>474.94999304483031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336.23932241599329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336.23932241599329</v>
      </c>
      <c r="EZ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66.643628831712121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>
        <f>FE94*VLOOKUP('Données projet'!$B$16,Paramètres!$A$1:$I$89,3,0)*VLOOKUP('Données projet'!$B$16,Paramètres!$A$1:$I$89,5,0)</f>
        <v>0</v>
      </c>
      <c r="FG94" s="13" t="e">
        <f t="shared" si="101"/>
        <v>#NUM!</v>
      </c>
      <c r="FH94" s="20" t="e">
        <f t="shared" si="76"/>
        <v>#NUM!</v>
      </c>
      <c r="FI94" s="57" t="e">
        <f t="shared" si="77"/>
        <v>#NUM!</v>
      </c>
      <c r="FJ94" s="57">
        <f ca="1">AVERAGE(OFFSET($FI$3,0,0,'Données projet'!$E$16+1,1))-AVERAGE(OFFSET($H$3,0,0,'Données projet'!$E$16+1,1))</f>
        <v>375.34603719604439</v>
      </c>
      <c r="FK94" s="57">
        <f t="shared" si="102"/>
        <v>363.99476973672211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127.32024915800018</v>
      </c>
      <c r="FR94" s="21">
        <f>EXP(-LN(2)/25)*FR93+(1-EXP(-LN(2)/25))/(LN(2)/25)*Calculateur!FM94*Calculateur!FO94*VLOOKUP('Données projet'!$B$16,Paramètres!$A$1:$I$89,3,0)*0.475*44/12</f>
        <v>0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127.32024915800018</v>
      </c>
      <c r="FU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66.643628831712121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-1.1368683772161603E-13</v>
      </c>
      <c r="GA94" s="17">
        <f>FZ94*VLOOKUP('Données projet'!$B$17,Paramètres!$A$1:$I$89,3,0)*VLOOKUP('Données projet'!$B$17,Paramètres!$A$1:$I$89,5,0)</f>
        <v>-6.3550942286383367E-14</v>
      </c>
      <c r="GB94" s="13" t="e">
        <f t="shared" si="103"/>
        <v>#NUM!</v>
      </c>
      <c r="GC94" s="20" t="e">
        <f t="shared" si="79"/>
        <v>#NUM!</v>
      </c>
      <c r="GD94" s="57" t="e">
        <f t="shared" si="80"/>
        <v>#NUM!</v>
      </c>
      <c r="GE94" s="57">
        <f ca="1">AVERAGE(OFFSET($GD$3,0,0,'Données projet'!$E$17+1,1))-AVERAGE(OFFSET($H$3,0,0,'Données projet'!$E$17+1,1))</f>
        <v>414.47327143450701</v>
      </c>
      <c r="GF94" s="57">
        <f t="shared" si="104"/>
        <v>546.83385887302961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144.73244240223494</v>
      </c>
      <c r="GM94" s="21">
        <f>EXP(-LN(2)/25)*GM93+(1-EXP(-LN(2)/25))/(LN(2)/25)*Calculateur!GH94*Calculateur!GJ94*VLOOKUP('Données projet'!$B$17,Paramètres!$A$1:$I$89,3,0)*0.475*44/12</f>
        <v>22.823431139123134</v>
      </c>
      <c r="GN94" s="21">
        <f>EXP(-LN(2)/2)*GN93+(1-EXP(-LN(2)/2))/(LN(2)/2)*GH94*GK94*VLOOKUP('Données projet'!$B$17,Paramètres!$A$1:$I$89,3,0)*0.475*44/12</f>
        <v>1.1206872740203161E-4</v>
      </c>
      <c r="GO94" s="21">
        <f t="shared" si="81"/>
        <v>167.55598561008546</v>
      </c>
      <c r="GP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66.643628831712121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4</v>
      </c>
      <c r="GU94" s="12">
        <f>IF('Données projet'!$A$270&gt;35,GU93+GT94-HC93,IF(A94&lt;'Données projet'!$A$270,$GR$205^A94,IF(A94='Données projet'!$A$270,'Données projet'!$B$270,GU93+GT94-HC93)))</f>
        <v>426.99999999999983</v>
      </c>
      <c r="GV94" s="17">
        <f>GU94*VLOOKUP('Données projet'!$B$18,Paramètres!$A$1:$I$89,3,0)*VLOOKUP('Données projet'!$B$18,Paramètres!$A$1:$I$89,5,0)</f>
        <v>233.14199999999991</v>
      </c>
      <c r="GW94" s="13">
        <f t="shared" si="105"/>
        <v>56.961517972595104</v>
      </c>
      <c r="GX94" s="20">
        <f t="shared" si="82"/>
        <v>505.26362713560292</v>
      </c>
      <c r="GY94" s="57">
        <f t="shared" si="83"/>
        <v>786.29026618521402</v>
      </c>
      <c r="GZ94" s="57">
        <f ca="1">AVERAGE(OFFSET($GY$3,0,0,'Données projet'!$E$18+1,1))-AVERAGE(OFFSET($H$3,0,0,'Données projet'!$E$18+1,1))</f>
        <v>381.00532469288714</v>
      </c>
      <c r="HA94" s="57">
        <f t="shared" si="106"/>
        <v>314.875259641757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>
        <f>EXP(-LN(2)/35)*HG93+(1-EXP(-LN(2)/35))/(LN(2)/35)*HC94*HD94*VLOOKUP('Données projet'!$B$18,Paramètres!$A$1:$I$89,3,0)*0.475*44/12</f>
        <v>53.618145594041039</v>
      </c>
      <c r="HH94" s="21">
        <f>EXP(-LN(2)/25)*HH93+(1-EXP(-LN(2)/25))/(LN(2)/25)*Calculateur!HC94*Calculateur!HE94*VLOOKUP('Données projet'!$B$18,Paramètres!$A$1:$I$89,3,0)*0.475*44/12</f>
        <v>14.398027232854838</v>
      </c>
      <c r="HI94" s="21">
        <f>EXP(-LN(2)/2)*HI93+(1-EXP(-LN(2)/2))/(LN(2)/2)*HC94*HF94*VLOOKUP('Données projet'!$B$18,Paramètres!$A$1:$I$89,3,0)*0.475*44/12</f>
        <v>0.68855400730153904</v>
      </c>
      <c r="HJ94" s="22">
        <f t="shared" si="84"/>
        <v>68.704726834197416</v>
      </c>
    </row>
    <row r="95" spans="1:218" x14ac:dyDescent="0.2">
      <c r="A95" s="10">
        <f t="shared" si="85"/>
        <v>92</v>
      </c>
      <c r="B95" s="71">
        <f>'Scénario référence'!$B$16*5+'Scénario référence'!$B$17*0+'Scénario référence'!$B$18*5</f>
        <v>3.3000000000000003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12.100000000000001</v>
      </c>
      <c r="H95" s="65">
        <f t="shared" si="56"/>
        <v>208.26666666666665</v>
      </c>
      <c r="I95" s="6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66.70185436776012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3.8</v>
      </c>
      <c r="N95" s="13">
        <f>IF('Données projet'!$A$36&gt;35,N94+M95-V94,IF(A95&lt;'Données projet'!$A$36,$K$205^A95,IF(A95='Données projet'!$A$36,'Données projet'!$B$36,N94+M95-V94)))</f>
        <v>200.59999999999997</v>
      </c>
      <c r="O95" s="13">
        <f>N95*VLOOKUP('Données projet'!$B$9,Paramètres!$A$1:$I$89,3,0)*VLOOKUP('Données projet'!$B$9,Paramètres!$A$1:$I$89,5,0)</f>
        <v>203.40839999999997</v>
      </c>
      <c r="P95" s="13">
        <f t="shared" si="87"/>
        <v>50.492492598977002</v>
      </c>
      <c r="Q95" s="20">
        <f t="shared" si="54"/>
        <v>442.21072127655157</v>
      </c>
      <c r="R95" s="57">
        <f t="shared" si="55"/>
        <v>723.45085395833871</v>
      </c>
      <c r="S95" s="57">
        <f ca="1">AVERAGE(OFFSET($R$3,0,0,'Données projet'!$E$9+1,1))-AVERAGE(OFFSET($H$3,0,0,'Données projet'!$E$9+1,1))</f>
        <v>332.70145542047612</v>
      </c>
      <c r="T95" s="57">
        <f t="shared" si="88"/>
        <v>172.22433737900428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19.46203614945226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19.46203614945226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66.70185436776012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7.2533333333333303</v>
      </c>
      <c r="AI95" s="13">
        <f>IF('Données projet'!$A$62&gt;35,AI94+AH95-AQ94,IF(A95&lt;'Données projet'!$A$62,$AF$205^A95,IF(A95='Données projet'!$A$62,'Données projet'!$B$62,AI94+AH95-AQ94)))</f>
        <v>262.26666666666671</v>
      </c>
      <c r="AJ95" s="13">
        <f>AI95*VLOOKUP('Données projet'!$B$10,Paramètres!$A$1:$I$89,3,0)*VLOOKUP('Données projet'!$B$10,Paramètres!$A$1:$I$89,5,0)</f>
        <v>237.29888000000005</v>
      </c>
      <c r="AK95" s="13">
        <f t="shared" si="89"/>
        <v>57.857989080314709</v>
      </c>
      <c r="AL95" s="20">
        <f t="shared" si="58"/>
        <v>514.06488031488152</v>
      </c>
      <c r="AM95" s="57">
        <f t="shared" si="59"/>
        <v>795.30501299666867</v>
      </c>
      <c r="AN95" s="57">
        <f ca="1">AVERAGE(OFFSET($AM$3,0,0,'Données projet'!$E$10+1,1))-AVERAGE(OFFSET($H$3,0,0,'Données projet'!$E$10+1,1))</f>
        <v>469.4210143164521</v>
      </c>
      <c r="AO95" s="57">
        <f t="shared" si="90"/>
        <v>308.4508386530556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19.843297909972861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19.843297909972861</v>
      </c>
      <c r="AY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66.70185436776012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7" t="e">
        <f t="shared" si="62"/>
        <v>#NUM!</v>
      </c>
      <c r="BI95" s="57">
        <f ca="1">AVERAGE(OFFSET($BH$3,0,0,'Données projet'!$E$11+1,1))-AVERAGE(OFFSET($H$3,0,0,'Données projet'!$E$11+1,1))</f>
        <v>344.32981377462971</v>
      </c>
      <c r="BJ95" s="57">
        <f t="shared" si="92"/>
        <v>334.42512656625763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91.534270163539588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91.534270163539588</v>
      </c>
      <c r="BT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66.70185436776012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6.8</v>
      </c>
      <c r="BY95" s="12">
        <f>IF('Données projet'!$A$114&gt;35,BY94+BX95-CG94,IF(A95&lt;'Données projet'!$A$114,$BV$205^A95,IF(A95='Données projet'!$A$114,'Données projet'!$B$114,BY94+BX95-CG94)))</f>
        <v>296.60000000000042</v>
      </c>
      <c r="BZ95" s="13">
        <f>BY95*VLOOKUP('Données projet'!$B$12,Paramètres!$A$1:$I$89,3,0)*VLOOKUP('Données projet'!$B$12,Paramètres!$A$1:$I$89,5,0)</f>
        <v>282.24456000000038</v>
      </c>
      <c r="CA95" s="13">
        <f t="shared" si="93"/>
        <v>67.44112828763717</v>
      </c>
      <c r="CB95" s="20">
        <f t="shared" si="64"/>
        <v>609.03590710096876</v>
      </c>
      <c r="CC95" s="57">
        <f t="shared" si="65"/>
        <v>890.27603978275579</v>
      </c>
      <c r="CD95" s="57">
        <f ca="1">AVERAGE(OFFSET($CC$3,0,0,'Données projet'!$E$12+1,1))-AVERAGE(OFFSET($H$3,0,0,'Données projet'!$E$12+1,1))</f>
        <v>498.77732039282807</v>
      </c>
      <c r="CE95" s="57">
        <f t="shared" si="94"/>
        <v>384.57317421826531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52.572343824135039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52.572343824135039</v>
      </c>
      <c r="CO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66.70185436776012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7.2533333333333303</v>
      </c>
      <c r="CT95" s="12">
        <f>IF('Données projet'!$A$140&gt;35,CT94+CS95-DB94,IF(A95&lt;'Données projet'!$A$140,$CQ$205^A95,IF(A95='Données projet'!$A$140,'Données projet'!$B$140,CT94+CS95-DB94)))</f>
        <v>262.26666666666671</v>
      </c>
      <c r="CU95" s="17">
        <f>CT95*VLOOKUP('Données projet'!$B$13,Paramètres!$A$1:$I$89,3,0)*VLOOKUP('Données projet'!$B$13,Paramètres!$A$1:$I$89,5,0)</f>
        <v>175.92848000000004</v>
      </c>
      <c r="CV95" s="13">
        <f t="shared" si="95"/>
        <v>44.4151453221262</v>
      </c>
      <c r="CW95" s="20">
        <f t="shared" si="67"/>
        <v>383.76514743603656</v>
      </c>
      <c r="CX95" s="57">
        <f t="shared" si="68"/>
        <v>665.00528011782365</v>
      </c>
      <c r="CY95" s="57">
        <f ca="1">AVERAGE(OFFSET($CX$3,0,0,'Données projet'!$E$13+1,1))-AVERAGE(OFFSET($H$3,0,0,'Données projet'!$E$13+1,1))</f>
        <v>365.99625753737246</v>
      </c>
      <c r="CZ95" s="57">
        <f t="shared" si="96"/>
        <v>242.84814712692287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18.132668779802795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18.132668779802795</v>
      </c>
      <c r="DJ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66.70185436776012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2.2737367544323206E-13</v>
      </c>
      <c r="DP95" s="17">
        <f>DO95*VLOOKUP('Données projet'!$B$14,Paramètres!$A$1:$I$89,3,0)*VLOOKUP('Données projet'!$B$14,Paramètres!$A$1:$I$89,5,0)</f>
        <v>1.4897523215040565E-13</v>
      </c>
      <c r="DQ95" s="13">
        <f t="shared" si="97"/>
        <v>2.136562777003313E-12</v>
      </c>
      <c r="DR95" s="20">
        <f t="shared" si="70"/>
        <v>3.9806453659427267E-12</v>
      </c>
      <c r="DS95" s="57">
        <f t="shared" si="71"/>
        <v>281.24013268179107</v>
      </c>
      <c r="DT95" s="57">
        <f ca="1">AVERAGE(OFFSET($DS$3,0,0,'Données projet'!$E$14+1,1))-AVERAGE(OFFSET($H$3,0,0,'Données projet'!$E$14+1,1))</f>
        <v>313.79279628660527</v>
      </c>
      <c r="DU95" s="57">
        <f t="shared" si="98"/>
        <v>317.45469955216254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88.934030205565733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88.934030205565733</v>
      </c>
      <c r="EE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66.70185436776012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-1.1368683772161603E-13</v>
      </c>
      <c r="EK95" s="17">
        <f>EJ95*VLOOKUP('Données projet'!$B$15,Paramètres!$A$1:$I$89,3,0)*VLOOKUP('Données projet'!$B$15,Paramètres!$A$1:$I$89,5,0)</f>
        <v>-9.7543306765146564E-14</v>
      </c>
      <c r="EL95" s="13" t="e">
        <f t="shared" si="99"/>
        <v>#NUM!</v>
      </c>
      <c r="EM95" s="20" t="e">
        <f t="shared" si="73"/>
        <v>#NUM!</v>
      </c>
      <c r="EN95" s="57" t="e">
        <f t="shared" si="74"/>
        <v>#NUM!</v>
      </c>
      <c r="EO95" s="57">
        <f ca="1">AVERAGE(OFFSET($EN$3,0,0,'Données projet'!$E$15+1,1))-AVERAGE(OFFSET($H$3,0,0,'Données projet'!$E$15+1,1))</f>
        <v>643.04899298561475</v>
      </c>
      <c r="EP95" s="57">
        <f t="shared" si="100"/>
        <v>474.94999304483031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329.6458743891518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329.6458743891518</v>
      </c>
      <c r="EZ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66.70185436776012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>
        <f>FE95*VLOOKUP('Données projet'!$B$16,Paramètres!$A$1:$I$89,3,0)*VLOOKUP('Données projet'!$B$16,Paramètres!$A$1:$I$89,5,0)</f>
        <v>0</v>
      </c>
      <c r="FG95" s="13" t="e">
        <f t="shared" si="101"/>
        <v>#NUM!</v>
      </c>
      <c r="FH95" s="20" t="e">
        <f t="shared" si="76"/>
        <v>#NUM!</v>
      </c>
      <c r="FI95" s="57" t="e">
        <f t="shared" si="77"/>
        <v>#NUM!</v>
      </c>
      <c r="FJ95" s="57">
        <f ca="1">AVERAGE(OFFSET($FI$3,0,0,'Données projet'!$E$16+1,1))-AVERAGE(OFFSET($H$3,0,0,'Données projet'!$E$16+1,1))</f>
        <v>375.34603719604439</v>
      </c>
      <c r="FK95" s="57">
        <f t="shared" si="102"/>
        <v>363.99476973672211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124.82357672969573</v>
      </c>
      <c r="FR95" s="21">
        <f>EXP(-LN(2)/25)*FR94+(1-EXP(-LN(2)/25))/(LN(2)/25)*Calculateur!FM95*Calculateur!FO95*VLOOKUP('Données projet'!$B$16,Paramètres!$A$1:$I$89,3,0)*0.475*44/12</f>
        <v>0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124.82357672969573</v>
      </c>
      <c r="FU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66.70185436776012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-1.1368683772161603E-13</v>
      </c>
      <c r="GA95" s="17">
        <f>FZ95*VLOOKUP('Données projet'!$B$17,Paramètres!$A$1:$I$89,3,0)*VLOOKUP('Données projet'!$B$17,Paramètres!$A$1:$I$89,5,0)</f>
        <v>-6.3550942286383367E-14</v>
      </c>
      <c r="GB95" s="13" t="e">
        <f t="shared" si="103"/>
        <v>#NUM!</v>
      </c>
      <c r="GC95" s="20" t="e">
        <f t="shared" si="79"/>
        <v>#NUM!</v>
      </c>
      <c r="GD95" s="57" t="e">
        <f t="shared" si="80"/>
        <v>#NUM!</v>
      </c>
      <c r="GE95" s="57">
        <f ca="1">AVERAGE(OFFSET($GD$3,0,0,'Données projet'!$E$17+1,1))-AVERAGE(OFFSET($H$3,0,0,'Données projet'!$E$17+1,1))</f>
        <v>414.47327143450701</v>
      </c>
      <c r="GF95" s="57">
        <f t="shared" si="104"/>
        <v>546.83385887302961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141.89432748480024</v>
      </c>
      <c r="GM95" s="21">
        <f>EXP(-LN(2)/25)*GM94+(1-EXP(-LN(2)/25))/(LN(2)/25)*Calculateur!GH95*Calculateur!GJ95*VLOOKUP('Données projet'!$B$17,Paramètres!$A$1:$I$89,3,0)*0.475*44/12</f>
        <v>22.199323214391733</v>
      </c>
      <c r="GN95" s="21">
        <f>EXP(-LN(2)/2)*GN94+(1-EXP(-LN(2)/2))/(LN(2)/2)*GH95*GK95*VLOOKUP('Données projet'!$B$17,Paramètres!$A$1:$I$89,3,0)*0.475*44/12</f>
        <v>7.9244557104923204E-5</v>
      </c>
      <c r="GO95" s="21">
        <f t="shared" si="81"/>
        <v>164.09372994374908</v>
      </c>
      <c r="GP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66.70185436776012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4</v>
      </c>
      <c r="GU95" s="12">
        <f>IF('Données projet'!$A$270&gt;35,GU94+GT95-HC94,IF(A95&lt;'Données projet'!$A$270,$GR$205^A95,IF(A95='Données projet'!$A$270,'Données projet'!$B$270,GU94+GT95-HC94)))</f>
        <v>430.99999999999983</v>
      </c>
      <c r="GV95" s="17">
        <f>GU95*VLOOKUP('Données projet'!$B$18,Paramètres!$A$1:$I$89,3,0)*VLOOKUP('Données projet'!$B$18,Paramètres!$A$1:$I$89,5,0)</f>
        <v>235.32599999999991</v>
      </c>
      <c r="GW95" s="13">
        <f t="shared" si="105"/>
        <v>57.432748435789392</v>
      </c>
      <c r="GX95" s="20">
        <f t="shared" si="82"/>
        <v>509.88815352566627</v>
      </c>
      <c r="GY95" s="57">
        <f t="shared" si="83"/>
        <v>791.12828620745336</v>
      </c>
      <c r="GZ95" s="57">
        <f ca="1">AVERAGE(OFFSET($GY$3,0,0,'Données projet'!$E$18+1,1))-AVERAGE(OFFSET($H$3,0,0,'Données projet'!$E$18+1,1))</f>
        <v>381.00532469288714</v>
      </c>
      <c r="HA95" s="57">
        <f t="shared" si="106"/>
        <v>314.875259641757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>
        <f>EXP(-LN(2)/35)*HG94+(1-EXP(-LN(2)/35))/(LN(2)/35)*HC95*HD95*VLOOKUP('Données projet'!$B$18,Paramètres!$A$1:$I$89,3,0)*0.475*44/12</f>
        <v>52.566726462781467</v>
      </c>
      <c r="HH95" s="21">
        <f>EXP(-LN(2)/25)*HH94+(1-EXP(-LN(2)/25))/(LN(2)/25)*Calculateur!HC95*Calculateur!HE95*VLOOKUP('Données projet'!$B$18,Paramètres!$A$1:$I$89,3,0)*0.475*44/12</f>
        <v>14.004312421013077</v>
      </c>
      <c r="HI95" s="21">
        <f>EXP(-LN(2)/2)*HI94+(1-EXP(-LN(2)/2))/(LN(2)/2)*HC95*HF95*VLOOKUP('Données projet'!$B$18,Paramètres!$A$1:$I$89,3,0)*0.475*44/12</f>
        <v>0.48688120777608984</v>
      </c>
      <c r="HJ95" s="22">
        <f t="shared" si="84"/>
        <v>67.057920091570637</v>
      </c>
    </row>
    <row r="96" spans="1:218" x14ac:dyDescent="0.2">
      <c r="A96" s="10">
        <f t="shared" si="85"/>
        <v>93</v>
      </c>
      <c r="B96" s="71">
        <f>'Scénario référence'!$B$16*5+'Scénario référence'!$B$17*0+'Scénario référence'!$B$18*5</f>
        <v>3.3000000000000003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12.100000000000001</v>
      </c>
      <c r="H96" s="65">
        <f t="shared" si="56"/>
        <v>208.26666666666665</v>
      </c>
      <c r="I96" s="6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66.759069820930478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3.8</v>
      </c>
      <c r="N96" s="13">
        <f>IF('Données projet'!$A$36&gt;35,N95+M96-V95,IF(A96&lt;'Données projet'!$A$36,$K$205^A96,IF(A96='Données projet'!$A$36,'Données projet'!$B$36,N95+M96-V95)))</f>
        <v>204.39999999999998</v>
      </c>
      <c r="O96" s="13">
        <f>N96*VLOOKUP('Données projet'!$B$9,Paramètres!$A$1:$I$89,3,0)*VLOOKUP('Données projet'!$B$9,Paramètres!$A$1:$I$89,5,0)</f>
        <v>207.26159999999999</v>
      </c>
      <c r="P96" s="13">
        <f t="shared" si="87"/>
        <v>51.3367200324452</v>
      </c>
      <c r="Q96" s="20">
        <f t="shared" si="54"/>
        <v>450.39207405650865</v>
      </c>
      <c r="R96" s="57">
        <f t="shared" si="55"/>
        <v>731.84199673325372</v>
      </c>
      <c r="S96" s="57">
        <f ca="1">AVERAGE(OFFSET($R$3,0,0,'Données projet'!$E$9+1,1))-AVERAGE(OFFSET($H$3,0,0,'Données projet'!$E$9+1,1))</f>
        <v>332.70145542047612</v>
      </c>
      <c r="T96" s="57">
        <f t="shared" si="88"/>
        <v>172.22433737900428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19.08039749123142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19.08039749123142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66.759069820930478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>
        <f>VLOOKUP(A96,'Données projet'!$A$61:$I$81,2,0)</f>
        <v>269.52</v>
      </c>
      <c r="AG96" s="12">
        <f>VLOOKUP(A96,'Données projet'!$A$61:$I$81,9,0)</f>
        <v>7.2533333333333303</v>
      </c>
      <c r="AH96" s="12">
        <f t="array" ref="AH96">INDEX(AG:AG,MIN(IF(ISNUMBER(AG96:AG292),ROW(AG96:AG292),"")))</f>
        <v>7.2533333333333303</v>
      </c>
      <c r="AI96" s="13">
        <f>IF('Données projet'!$A$62&gt;35,AI95+AH96-AQ95,IF(A96&lt;'Données projet'!$A$62,$AF$205^A96,IF(A96='Données projet'!$A$62,'Données projet'!$B$62,AI95+AH96-AQ95)))</f>
        <v>269.52000000000004</v>
      </c>
      <c r="AJ96" s="13">
        <f>AI96*VLOOKUP('Données projet'!$B$10,Paramètres!$A$1:$I$89,3,0)*VLOOKUP('Données projet'!$B$10,Paramètres!$A$1:$I$89,5,0)</f>
        <v>243.86169600000002</v>
      </c>
      <c r="AK96" s="13">
        <f t="shared" si="89"/>
        <v>59.269619737338289</v>
      </c>
      <c r="AL96" s="20">
        <f t="shared" si="58"/>
        <v>527.95370824253087</v>
      </c>
      <c r="AM96" s="57">
        <f t="shared" si="59"/>
        <v>809.40363091927588</v>
      </c>
      <c r="AN96" s="57">
        <f ca="1">AVERAGE(OFFSET($AM$3,0,0,'Données projet'!$E$10+1,1))-AVERAGE(OFFSET($H$3,0,0,'Données projet'!$E$10+1,1))</f>
        <v>469.4210143164521</v>
      </c>
      <c r="AO96" s="57">
        <f t="shared" si="90"/>
        <v>308.4508386530556</v>
      </c>
      <c r="AP96" s="15">
        <f>IF(ISNA(VLOOKUP(A96,'Données projet'!$A$61:$I$81,3,0)),0,VLOOKUP(A96,'Données projet'!$A$61:$I$81,3,0))</f>
        <v>7</v>
      </c>
      <c r="AQ96" s="15">
        <f>IF(ISNA(VLOOKUP(A96,'Données projet'!$A$61:$I$81,4,0)),0,VLOOKUP(A96,'Données projet'!$A$61:$I$81,4,0))</f>
        <v>38.57</v>
      </c>
      <c r="AR96" s="16">
        <f>IF(ISNA(VLOOKUP(A96,'Données projet'!$A$61:$I$81,5,0)),0%,VLOOKUP(A96,'Données projet'!$A$61:$I$81,5,0)*VLOOKUP('Données projet'!$B$10,Paramètres!$A$1:$I$89,7,0))</f>
        <v>0.17200000000000001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26.089746112787878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26.089746112787878</v>
      </c>
      <c r="AY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66.759069820930478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7" t="e">
        <f t="shared" si="62"/>
        <v>#NUM!</v>
      </c>
      <c r="BI96" s="57">
        <f ca="1">AVERAGE(OFFSET($BH$3,0,0,'Données projet'!$E$11+1,1))-AVERAGE(OFFSET($H$3,0,0,'Données projet'!$E$11+1,1))</f>
        <v>344.32981377462971</v>
      </c>
      <c r="BJ96" s="57">
        <f t="shared" si="92"/>
        <v>334.42512656625763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89.739338956024582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89.739338956024582</v>
      </c>
      <c r="BT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66.759069820930478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6.8</v>
      </c>
      <c r="BY96" s="12">
        <f>IF('Données projet'!$A$114&gt;35,BY95+BX96-CG95,IF(A96&lt;'Données projet'!$A$114,$BV$205^A96,IF(A96='Données projet'!$A$114,'Données projet'!$B$114,BY95+BX96-CG95)))</f>
        <v>303.40000000000043</v>
      </c>
      <c r="BZ96" s="13">
        <f>BY96*VLOOKUP('Données projet'!$B$12,Paramètres!$A$1:$I$89,3,0)*VLOOKUP('Données projet'!$B$12,Paramètres!$A$1:$I$89,5,0)</f>
        <v>288.71544000000046</v>
      </c>
      <c r="CA96" s="13">
        <f t="shared" si="93"/>
        <v>68.805533331599833</v>
      </c>
      <c r="CB96" s="20">
        <f t="shared" si="64"/>
        <v>622.68236188587059</v>
      </c>
      <c r="CC96" s="57">
        <f t="shared" si="65"/>
        <v>904.13228456261572</v>
      </c>
      <c r="CD96" s="57">
        <f ca="1">AVERAGE(OFFSET($CC$3,0,0,'Données projet'!$E$12+1,1))-AVERAGE(OFFSET($H$3,0,0,'Données projet'!$E$12+1,1))</f>
        <v>498.77732039282807</v>
      </c>
      <c r="CE96" s="57">
        <f t="shared" si="94"/>
        <v>384.57317421826531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51.541432227707233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51.541432227707233</v>
      </c>
      <c r="CO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66.759069820930478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>
        <f>VLOOKUP(A96,'Données projet'!$A$139:$I$159,2,0)</f>
        <v>269.52</v>
      </c>
      <c r="CR96" s="12">
        <f>VLOOKUP(A96,'Données projet'!$A$139:$I$159,9,0)</f>
        <v>7.2533333333333303</v>
      </c>
      <c r="CS96" s="12">
        <f t="array" ref="CS96">INDEX(CR:CR,MIN(IF(ISNUMBER(CR96:CR292),ROW(CR96:CR292),"")))</f>
        <v>7.2533333333333303</v>
      </c>
      <c r="CT96" s="12">
        <f>IF('Données projet'!$A$140&gt;35,CT95+CS96-DB95,IF(A96&lt;'Données projet'!$A$140,$CQ$205^A96,IF(A96='Données projet'!$A$140,'Données projet'!$B$140,CT95+CS96-DB95)))</f>
        <v>269.52000000000004</v>
      </c>
      <c r="CU96" s="17">
        <f>CT96*VLOOKUP('Données projet'!$B$13,Paramètres!$A$1:$I$89,3,0)*VLOOKUP('Données projet'!$B$13,Paramètres!$A$1:$I$89,5,0)</f>
        <v>180.79401600000003</v>
      </c>
      <c r="CV96" s="13">
        <f t="shared" si="95"/>
        <v>45.498794819274082</v>
      </c>
      <c r="CW96" s="20">
        <f t="shared" si="67"/>
        <v>394.12664551023568</v>
      </c>
      <c r="CX96" s="57">
        <f t="shared" si="68"/>
        <v>675.57656818698069</v>
      </c>
      <c r="CY96" s="57">
        <f ca="1">AVERAGE(OFFSET($CX$3,0,0,'Données projet'!$E$13+1,1))-AVERAGE(OFFSET($H$3,0,0,'Données projet'!$E$13+1,1))</f>
        <v>365.99625753737246</v>
      </c>
      <c r="CZ96" s="57">
        <f t="shared" si="96"/>
        <v>242.84814712692287</v>
      </c>
      <c r="DA96" s="15">
        <f>IF(ISNA(VLOOKUP(A96,'Données projet'!$A$139:$I$159,3,0)),0,VLOOKUP(A96,'Données projet'!$A$139:$I$159,3,0))</f>
        <v>7</v>
      </c>
      <c r="DB96" s="15">
        <f>IF(ISNA(VLOOKUP(A96,'Données projet'!$A$139:$I$159,4,0)),0,VLOOKUP(A96,'Données projet'!$A$139:$I$159,4,0))</f>
        <v>38.57</v>
      </c>
      <c r="DC96" s="16">
        <f>IF(ISNA(VLOOKUP(A96,'Données projet'!$A$139:$I$159,5,0)),0%,VLOOKUP(A96,'Données projet'!$A$139:$I$159,5,0)*VLOOKUP('Données projet'!$B$13,Paramètres!$A$1:$I$89,7,0))</f>
        <v>0.21200000000000002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23.840630068582033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23.840630068582033</v>
      </c>
      <c r="DJ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66.759069820930478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2.2737367544323206E-13</v>
      </c>
      <c r="DP96" s="17">
        <f>DO96*VLOOKUP('Données projet'!$B$14,Paramètres!$A$1:$I$89,3,0)*VLOOKUP('Données projet'!$B$14,Paramètres!$A$1:$I$89,5,0)</f>
        <v>1.4897523215040565E-13</v>
      </c>
      <c r="DQ96" s="13">
        <f t="shared" si="97"/>
        <v>2.136562777003313E-12</v>
      </c>
      <c r="DR96" s="20">
        <f t="shared" si="70"/>
        <v>3.9806453659427267E-12</v>
      </c>
      <c r="DS96" s="57">
        <f t="shared" si="71"/>
        <v>281.44992267674905</v>
      </c>
      <c r="DT96" s="57">
        <f ca="1">AVERAGE(OFFSET($DS$3,0,0,'Données projet'!$E$14+1,1))-AVERAGE(OFFSET($H$3,0,0,'Données projet'!$E$14+1,1))</f>
        <v>313.79279628660527</v>
      </c>
      <c r="DU96" s="57">
        <f t="shared" si="98"/>
        <v>317.45469955216254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87.190088117636819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87.190088117636819</v>
      </c>
      <c r="EE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66.759069820930478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-1.1368683772161603E-13</v>
      </c>
      <c r="EK96" s="17">
        <f>EJ96*VLOOKUP('Données projet'!$B$15,Paramètres!$A$1:$I$89,3,0)*VLOOKUP('Données projet'!$B$15,Paramètres!$A$1:$I$89,5,0)</f>
        <v>-9.7543306765146564E-14</v>
      </c>
      <c r="EL96" s="13" t="e">
        <f t="shared" si="99"/>
        <v>#NUM!</v>
      </c>
      <c r="EM96" s="20" t="e">
        <f t="shared" si="73"/>
        <v>#NUM!</v>
      </c>
      <c r="EN96" s="57" t="e">
        <f t="shared" si="74"/>
        <v>#NUM!</v>
      </c>
      <c r="EO96" s="57">
        <f ca="1">AVERAGE(OFFSET($EN$3,0,0,'Données projet'!$E$15+1,1))-AVERAGE(OFFSET($H$3,0,0,'Données projet'!$E$15+1,1))</f>
        <v>643.04899298561475</v>
      </c>
      <c r="EP96" s="57">
        <f t="shared" si="100"/>
        <v>474.94999304483031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323.18171985651048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323.18171985651048</v>
      </c>
      <c r="EZ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66.759069820930478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>
        <f>FE96*VLOOKUP('Données projet'!$B$16,Paramètres!$A$1:$I$89,3,0)*VLOOKUP('Données projet'!$B$16,Paramètres!$A$1:$I$89,5,0)</f>
        <v>0</v>
      </c>
      <c r="FG96" s="13" t="e">
        <f t="shared" si="101"/>
        <v>#NUM!</v>
      </c>
      <c r="FH96" s="20" t="e">
        <f t="shared" si="76"/>
        <v>#NUM!</v>
      </c>
      <c r="FI96" s="57" t="e">
        <f t="shared" si="77"/>
        <v>#NUM!</v>
      </c>
      <c r="FJ96" s="57">
        <f ca="1">AVERAGE(OFFSET($FI$3,0,0,'Données projet'!$E$16+1,1))-AVERAGE(OFFSET($H$3,0,0,'Données projet'!$E$16+1,1))</f>
        <v>375.34603719604439</v>
      </c>
      <c r="FK96" s="57">
        <f t="shared" si="102"/>
        <v>363.99476973672211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122.37586252489051</v>
      </c>
      <c r="FR96" s="21">
        <f>EXP(-LN(2)/25)*FR95+(1-EXP(-LN(2)/25))/(LN(2)/25)*Calculateur!FM96*Calculateur!FO96*VLOOKUP('Données projet'!$B$16,Paramètres!$A$1:$I$89,3,0)*0.475*44/12</f>
        <v>0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122.37586252489051</v>
      </c>
      <c r="FU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66.759069820930478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-1.1368683772161603E-13</v>
      </c>
      <c r="GA96" s="17">
        <f>FZ96*VLOOKUP('Données projet'!$B$17,Paramètres!$A$1:$I$89,3,0)*VLOOKUP('Données projet'!$B$17,Paramètres!$A$1:$I$89,5,0)</f>
        <v>-6.3550942286383367E-14</v>
      </c>
      <c r="GB96" s="13" t="e">
        <f t="shared" si="103"/>
        <v>#NUM!</v>
      </c>
      <c r="GC96" s="20" t="e">
        <f t="shared" si="79"/>
        <v>#NUM!</v>
      </c>
      <c r="GD96" s="57" t="e">
        <f t="shared" si="80"/>
        <v>#NUM!</v>
      </c>
      <c r="GE96" s="57">
        <f ca="1">AVERAGE(OFFSET($GD$3,0,0,'Données projet'!$E$17+1,1))-AVERAGE(OFFSET($H$3,0,0,'Données projet'!$E$17+1,1))</f>
        <v>414.47327143450701</v>
      </c>
      <c r="GF96" s="57">
        <f t="shared" si="104"/>
        <v>546.83385887302961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139.11186626981728</v>
      </c>
      <c r="GM96" s="21">
        <f>EXP(-LN(2)/25)*GM95+(1-EXP(-LN(2)/25))/(LN(2)/25)*Calculateur!GH96*Calculateur!GJ96*VLOOKUP('Données projet'!$B$17,Paramètres!$A$1:$I$89,3,0)*0.475*44/12</f>
        <v>21.592281553682518</v>
      </c>
      <c r="GN96" s="21">
        <f>EXP(-LN(2)/2)*GN95+(1-EXP(-LN(2)/2))/(LN(2)/2)*GH96*GK96*VLOOKUP('Données projet'!$B$17,Paramètres!$A$1:$I$89,3,0)*0.475*44/12</f>
        <v>5.6034363701015803E-5</v>
      </c>
      <c r="GO96" s="21">
        <f t="shared" si="81"/>
        <v>160.70420385786349</v>
      </c>
      <c r="GP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66.759069820930478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4</v>
      </c>
      <c r="GU96" s="12">
        <f>IF('Données projet'!$A$270&gt;35,GU95+GT96-HC95,IF(A96&lt;'Données projet'!$A$270,$GR$205^A96,IF(A96='Données projet'!$A$270,'Données projet'!$B$270,GU95+GT96-HC95)))</f>
        <v>434.99999999999983</v>
      </c>
      <c r="GV96" s="17">
        <f>GU96*VLOOKUP('Données projet'!$B$18,Paramètres!$A$1:$I$89,3,0)*VLOOKUP('Données projet'!$B$18,Paramètres!$A$1:$I$89,5,0)</f>
        <v>237.50999999999991</v>
      </c>
      <c r="GW96" s="13">
        <f t="shared" si="105"/>
        <v>57.9034701060217</v>
      </c>
      <c r="GX96" s="20">
        <f t="shared" si="82"/>
        <v>514.51179376798757</v>
      </c>
      <c r="GY96" s="57">
        <f t="shared" si="83"/>
        <v>795.9617164447327</v>
      </c>
      <c r="GZ96" s="57">
        <f ca="1">AVERAGE(OFFSET($GY$3,0,0,'Données projet'!$E$18+1,1))-AVERAGE(OFFSET($H$3,0,0,'Données projet'!$E$18+1,1))</f>
        <v>381.00532469288714</v>
      </c>
      <c r="HA96" s="57">
        <f t="shared" si="106"/>
        <v>314.875259641757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>
        <f>EXP(-LN(2)/35)*HG95+(1-EXP(-LN(2)/35))/(LN(2)/35)*HC96*HD96*VLOOKUP('Données projet'!$B$18,Paramètres!$A$1:$I$89,3,0)*0.475*44/12</f>
        <v>51.535925019383555</v>
      </c>
      <c r="HH96" s="21">
        <f>EXP(-LN(2)/25)*HH95+(1-EXP(-LN(2)/25))/(LN(2)/25)*Calculateur!HC96*Calculateur!HE96*VLOOKUP('Données projet'!$B$18,Paramètres!$A$1:$I$89,3,0)*0.475*44/12</f>
        <v>13.621363761405691</v>
      </c>
      <c r="HI96" s="21">
        <f>EXP(-LN(2)/2)*HI95+(1-EXP(-LN(2)/2))/(LN(2)/2)*HC96*HF96*VLOOKUP('Données projet'!$B$18,Paramètres!$A$1:$I$89,3,0)*0.475*44/12</f>
        <v>0.34427700365076958</v>
      </c>
      <c r="HJ96" s="22">
        <f t="shared" si="84"/>
        <v>65.501565784440018</v>
      </c>
    </row>
    <row r="97" spans="1:218" x14ac:dyDescent="0.2">
      <c r="A97" s="10">
        <f t="shared" si="85"/>
        <v>94</v>
      </c>
      <c r="B97" s="71">
        <f>'Scénario référence'!$B$16*5+'Scénario référence'!$B$17*0+'Scénario référence'!$B$18*5</f>
        <v>3.3000000000000003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12.100000000000001</v>
      </c>
      <c r="H97" s="65">
        <f t="shared" si="56"/>
        <v>208.26666666666665</v>
      </c>
      <c r="I97" s="6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66.815292713902934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3.8</v>
      </c>
      <c r="N97" s="13">
        <f>IF('Données projet'!$A$36&gt;35,N96+M97-V96,IF(A97&lt;'Données projet'!$A$36,$K$205^A97,IF(A97='Données projet'!$A$36,'Données projet'!$B$36,N96+M97-V96)))</f>
        <v>208.2</v>
      </c>
      <c r="O97" s="13">
        <f>N97*VLOOKUP('Données projet'!$B$9,Paramètres!$A$1:$I$89,3,0)*VLOOKUP('Données projet'!$B$9,Paramètres!$A$1:$I$89,5,0)</f>
        <v>211.11479999999997</v>
      </c>
      <c r="P97" s="13">
        <f t="shared" si="87"/>
        <v>52.179122428493677</v>
      </c>
      <c r="Q97" s="20">
        <f t="shared" si="54"/>
        <v>458.57024822962643</v>
      </c>
      <c r="R97" s="57">
        <f t="shared" si="55"/>
        <v>740.22632151393714</v>
      </c>
      <c r="S97" s="57">
        <f ca="1">AVERAGE(OFFSET($R$3,0,0,'Données projet'!$E$9+1,1))-AVERAGE(OFFSET($H$3,0,0,'Données projet'!$E$9+1,1))</f>
        <v>332.70145542047612</v>
      </c>
      <c r="T97" s="57">
        <f t="shared" si="88"/>
        <v>172.22433737900428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18.706242534321696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18.706242534321696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66.815292713902934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6.7350000000000021</v>
      </c>
      <c r="AI97" s="13">
        <f>IF('Données projet'!$A$62&gt;35,AI96+AH97-AQ96,IF(A97&lt;'Données projet'!$A$62,$AF$205^A97,IF(A97='Données projet'!$A$62,'Données projet'!$B$62,AI96+AH97-AQ96)))</f>
        <v>237.68500000000006</v>
      </c>
      <c r="AJ97" s="13">
        <f>AI97*VLOOKUP('Données projet'!$B$10,Paramètres!$A$1:$I$89,3,0)*VLOOKUP('Données projet'!$B$10,Paramètres!$A$1:$I$89,5,0)</f>
        <v>215.05738800000006</v>
      </c>
      <c r="AK97" s="13">
        <f t="shared" si="89"/>
        <v>53.039216904058705</v>
      </c>
      <c r="AL97" s="20">
        <f t="shared" si="58"/>
        <v>466.93492020790228</v>
      </c>
      <c r="AM97" s="57">
        <f t="shared" si="59"/>
        <v>748.5909934922131</v>
      </c>
      <c r="AN97" s="57">
        <f ca="1">AVERAGE(OFFSET($AM$3,0,0,'Données projet'!$E$10+1,1))-AVERAGE(OFFSET($H$3,0,0,'Données projet'!$E$10+1,1))</f>
        <v>469.4210143164521</v>
      </c>
      <c r="AO97" s="57">
        <f t="shared" si="90"/>
        <v>308.4508386530556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25.578142104689942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25.578142104689942</v>
      </c>
      <c r="AY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66.815292713902934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7" t="e">
        <f t="shared" si="62"/>
        <v>#NUM!</v>
      </c>
      <c r="BI97" s="57">
        <f ca="1">AVERAGE(OFFSET($BH$3,0,0,'Données projet'!$E$11+1,1))-AVERAGE(OFFSET($H$3,0,0,'Données projet'!$E$11+1,1))</f>
        <v>344.32981377462971</v>
      </c>
      <c r="BJ97" s="57">
        <f t="shared" si="92"/>
        <v>334.42512656625763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87.979605254689019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87.979605254689019</v>
      </c>
      <c r="BT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66.815292713902934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6.8</v>
      </c>
      <c r="BY97" s="12">
        <f>IF('Données projet'!$A$114&gt;35,BY96+BX97-CG96,IF(A97&lt;'Données projet'!$A$114,$BV$205^A97,IF(A97='Données projet'!$A$114,'Données projet'!$B$114,BY96+BX97-CG96)))</f>
        <v>310.20000000000044</v>
      </c>
      <c r="BZ97" s="13">
        <f>BY97*VLOOKUP('Données projet'!$B$12,Paramètres!$A$1:$I$89,3,0)*VLOOKUP('Données projet'!$B$12,Paramètres!$A$1:$I$89,5,0)</f>
        <v>295.18632000000042</v>
      </c>
      <c r="CA97" s="13">
        <f t="shared" si="93"/>
        <v>70.166383194801796</v>
      </c>
      <c r="CB97" s="20">
        <f t="shared" si="64"/>
        <v>636.32262473094715</v>
      </c>
      <c r="CC97" s="57">
        <f t="shared" si="65"/>
        <v>917.97869801525792</v>
      </c>
      <c r="CD97" s="57">
        <f ca="1">AVERAGE(OFFSET($CC$3,0,0,'Données projet'!$E$12+1,1))-AVERAGE(OFFSET($H$3,0,0,'Données projet'!$E$12+1,1))</f>
        <v>498.77732039282807</v>
      </c>
      <c r="CE97" s="57">
        <f t="shared" si="94"/>
        <v>384.57317421826531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50.530736178891388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50.530736178891388</v>
      </c>
      <c r="CO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66.815292713902934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6.7350000000000021</v>
      </c>
      <c r="CT97" s="12">
        <f>IF('Données projet'!$A$140&gt;35,CT96+CS97-DB96,IF(A97&lt;'Données projet'!$A$140,$CQ$205^A97,IF(A97='Données projet'!$A$140,'Données projet'!$B$140,CT96+CS97-DB96)))</f>
        <v>237.68500000000006</v>
      </c>
      <c r="CU97" s="17">
        <f>CT97*VLOOKUP('Données projet'!$B$13,Paramètres!$A$1:$I$89,3,0)*VLOOKUP('Données projet'!$B$13,Paramètres!$A$1:$I$89,5,0)</f>
        <v>159.43909800000006</v>
      </c>
      <c r="CV97" s="13">
        <f t="shared" si="95"/>
        <v>40.71597654898531</v>
      </c>
      <c r="CW97" s="20">
        <f t="shared" si="67"/>
        <v>348.60342150614952</v>
      </c>
      <c r="CX97" s="57">
        <f t="shared" si="68"/>
        <v>630.25949479046028</v>
      </c>
      <c r="CY97" s="57">
        <f ca="1">AVERAGE(OFFSET($CX$3,0,0,'Données projet'!$E$13+1,1))-AVERAGE(OFFSET($H$3,0,0,'Données projet'!$E$13+1,1))</f>
        <v>365.99625753737246</v>
      </c>
      <c r="CZ97" s="57">
        <f t="shared" si="96"/>
        <v>242.84814712692287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23.373129854285644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23.373129854285644</v>
      </c>
      <c r="DJ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66.815292713902934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2.2737367544323206E-13</v>
      </c>
      <c r="DP97" s="17">
        <f>DO97*VLOOKUP('Données projet'!$B$14,Paramètres!$A$1:$I$89,3,0)*VLOOKUP('Données projet'!$B$14,Paramètres!$A$1:$I$89,5,0)</f>
        <v>1.4897523215040565E-13</v>
      </c>
      <c r="DQ97" s="13">
        <f t="shared" si="97"/>
        <v>2.136562777003313E-12</v>
      </c>
      <c r="DR97" s="20">
        <f t="shared" si="70"/>
        <v>3.9806453659427267E-12</v>
      </c>
      <c r="DS97" s="57">
        <f t="shared" si="71"/>
        <v>281.65607328431474</v>
      </c>
      <c r="DT97" s="57">
        <f ca="1">AVERAGE(OFFSET($DS$3,0,0,'Données projet'!$E$14+1,1))-AVERAGE(OFFSET($H$3,0,0,'Données projet'!$E$14+1,1))</f>
        <v>313.79279628660527</v>
      </c>
      <c r="DU97" s="57">
        <f t="shared" si="98"/>
        <v>317.45469955216254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85.480343670352553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85.480343670352553</v>
      </c>
      <c r="EE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66.815292713902934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-1.1368683772161603E-13</v>
      </c>
      <c r="EK97" s="17">
        <f>EJ97*VLOOKUP('Données projet'!$B$15,Paramètres!$A$1:$I$89,3,0)*VLOOKUP('Données projet'!$B$15,Paramètres!$A$1:$I$89,5,0)</f>
        <v>-9.7543306765146564E-14</v>
      </c>
      <c r="EL97" s="13" t="e">
        <f t="shared" si="99"/>
        <v>#NUM!</v>
      </c>
      <c r="EM97" s="20" t="e">
        <f t="shared" si="73"/>
        <v>#NUM!</v>
      </c>
      <c r="EN97" s="57" t="e">
        <f t="shared" si="74"/>
        <v>#NUM!</v>
      </c>
      <c r="EO97" s="57">
        <f ca="1">AVERAGE(OFFSET($EN$3,0,0,'Données projet'!$E$15+1,1))-AVERAGE(OFFSET($H$3,0,0,'Données projet'!$E$15+1,1))</f>
        <v>643.04899298561475</v>
      </c>
      <c r="EP97" s="57">
        <f t="shared" si="100"/>
        <v>474.94999304483031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316.8443234515093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316.8443234515093</v>
      </c>
      <c r="EZ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66.815292713902934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>
        <f>FE97*VLOOKUP('Données projet'!$B$16,Paramètres!$A$1:$I$89,3,0)*VLOOKUP('Données projet'!$B$16,Paramètres!$A$1:$I$89,5,0)</f>
        <v>0</v>
      </c>
      <c r="FG97" s="13" t="e">
        <f t="shared" si="101"/>
        <v>#NUM!</v>
      </c>
      <c r="FH97" s="20" t="e">
        <f t="shared" si="76"/>
        <v>#NUM!</v>
      </c>
      <c r="FI97" s="57" t="e">
        <f t="shared" si="77"/>
        <v>#NUM!</v>
      </c>
      <c r="FJ97" s="57">
        <f ca="1">AVERAGE(OFFSET($FI$3,0,0,'Données projet'!$E$16+1,1))-AVERAGE(OFFSET($H$3,0,0,'Données projet'!$E$16+1,1))</f>
        <v>375.34603719604439</v>
      </c>
      <c r="FK97" s="57">
        <f t="shared" si="102"/>
        <v>363.99476973672211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119.97614650268326</v>
      </c>
      <c r="FR97" s="21">
        <f>EXP(-LN(2)/25)*FR96+(1-EXP(-LN(2)/25))/(LN(2)/25)*Calculateur!FM97*Calculateur!FO97*VLOOKUP('Données projet'!$B$16,Paramètres!$A$1:$I$89,3,0)*0.475*44/12</f>
        <v>0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119.97614650268326</v>
      </c>
      <c r="FU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66.815292713902934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-1.1368683772161603E-13</v>
      </c>
      <c r="GA97" s="17">
        <f>FZ97*VLOOKUP('Données projet'!$B$17,Paramètres!$A$1:$I$89,3,0)*VLOOKUP('Données projet'!$B$17,Paramètres!$A$1:$I$89,5,0)</f>
        <v>-6.3550942286383367E-14</v>
      </c>
      <c r="GB97" s="13" t="e">
        <f t="shared" si="103"/>
        <v>#NUM!</v>
      </c>
      <c r="GC97" s="20" t="e">
        <f t="shared" si="79"/>
        <v>#NUM!</v>
      </c>
      <c r="GD97" s="57" t="e">
        <f t="shared" si="80"/>
        <v>#NUM!</v>
      </c>
      <c r="GE97" s="57">
        <f ca="1">AVERAGE(OFFSET($GD$3,0,0,'Données projet'!$E$17+1,1))-AVERAGE(OFFSET($H$3,0,0,'Données projet'!$E$17+1,1))</f>
        <v>414.47327143450701</v>
      </c>
      <c r="GF97" s="57">
        <f t="shared" si="104"/>
        <v>546.83385887302961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136.38396742212637</v>
      </c>
      <c r="GM97" s="21">
        <f>EXP(-LN(2)/25)*GM96+(1-EXP(-LN(2)/25))/(LN(2)/25)*Calculateur!GH97*Calculateur!GJ97*VLOOKUP('Données projet'!$B$17,Paramètres!$A$1:$I$89,3,0)*0.475*44/12</f>
        <v>21.001839479108334</v>
      </c>
      <c r="GN97" s="21">
        <f>EXP(-LN(2)/2)*GN96+(1-EXP(-LN(2)/2))/(LN(2)/2)*GH97*GK97*VLOOKUP('Données projet'!$B$17,Paramètres!$A$1:$I$89,3,0)*0.475*44/12</f>
        <v>3.9622278552461602E-5</v>
      </c>
      <c r="GO97" s="21">
        <f t="shared" si="81"/>
        <v>157.38584652351327</v>
      </c>
      <c r="GP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66.815292713902934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4</v>
      </c>
      <c r="GU97" s="12">
        <f>IF('Données projet'!$A$270&gt;35,GU96+GT97-HC96,IF(A97&lt;'Données projet'!$A$270,$GR$205^A97,IF(A97='Données projet'!$A$270,'Données projet'!$B$270,GU96+GT97-HC96)))</f>
        <v>438.99999999999983</v>
      </c>
      <c r="GV97" s="17">
        <f>GU97*VLOOKUP('Données projet'!$B$18,Paramètres!$A$1:$I$89,3,0)*VLOOKUP('Données projet'!$B$18,Paramètres!$A$1:$I$89,5,0)</f>
        <v>239.6939999999999</v>
      </c>
      <c r="GW97" s="13">
        <f t="shared" si="105"/>
        <v>58.373688203785392</v>
      </c>
      <c r="GX97" s="20">
        <f t="shared" si="82"/>
        <v>519.13455695492598</v>
      </c>
      <c r="GY97" s="57">
        <f t="shared" si="83"/>
        <v>800.79063023923675</v>
      </c>
      <c r="GZ97" s="57">
        <f ca="1">AVERAGE(OFFSET($GY$3,0,0,'Données projet'!$E$18+1,1))-AVERAGE(OFFSET($H$3,0,0,'Données projet'!$E$18+1,1))</f>
        <v>381.00532469288714</v>
      </c>
      <c r="HA97" s="57">
        <f t="shared" si="106"/>
        <v>314.875259641757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>
        <f>EXP(-LN(2)/35)*HG96+(1-EXP(-LN(2)/35))/(LN(2)/35)*HC97*HD97*VLOOKUP('Données projet'!$B$18,Paramètres!$A$1:$I$89,3,0)*0.475*44/12</f>
        <v>50.525336963563873</v>
      </c>
      <c r="HH97" s="21">
        <f>EXP(-LN(2)/25)*HH96+(1-EXP(-LN(2)/25))/(LN(2)/25)*Calculateur!HC97*Calculateur!HE97*VLOOKUP('Données projet'!$B$18,Paramètres!$A$1:$I$89,3,0)*0.475*44/12</f>
        <v>13.248886853033664</v>
      </c>
      <c r="HI97" s="21">
        <f>EXP(-LN(2)/2)*HI96+(1-EXP(-LN(2)/2))/(LN(2)/2)*HC97*HF97*VLOOKUP('Données projet'!$B$18,Paramètres!$A$1:$I$89,3,0)*0.475*44/12</f>
        <v>0.24344060388804495</v>
      </c>
      <c r="HJ97" s="22">
        <f t="shared" si="84"/>
        <v>64.017664420485588</v>
      </c>
    </row>
    <row r="98" spans="1:218" x14ac:dyDescent="0.2">
      <c r="A98" s="10">
        <f t="shared" si="85"/>
        <v>95</v>
      </c>
      <c r="B98" s="71">
        <f>'Scénario référence'!$B$16*5+'Scénario référence'!$B$17*0+'Scénario référence'!$B$18*5</f>
        <v>3.3000000000000003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12.100000000000001</v>
      </c>
      <c r="H98" s="65">
        <f t="shared" si="56"/>
        <v>208.26666666666665</v>
      </c>
      <c r="I98" s="6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66.870540265377869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212</v>
      </c>
      <c r="L98" s="12">
        <f>VLOOKUP(A98,'Données projet'!$A$35:$I$55,9,0)</f>
        <v>3.8</v>
      </c>
      <c r="M98" s="12">
        <f t="array" ref="M98">INDEX(L:L,MIN(IF(ISNUMBER(L98:L294),ROW(L98:L294),"")))</f>
        <v>3.8</v>
      </c>
      <c r="N98" s="13">
        <f>IF('Données projet'!$A$36&gt;35,N97+M98-V97,IF(A98&lt;'Données projet'!$A$36,$K$205^A98,IF(A98='Données projet'!$A$36,'Données projet'!$B$36,N97+M98-V97)))</f>
        <v>212</v>
      </c>
      <c r="O98" s="13">
        <f>N98*VLOOKUP('Données projet'!$B$9,Paramètres!$A$1:$I$89,3,0)*VLOOKUP('Données projet'!$B$9,Paramètres!$A$1:$I$89,5,0)</f>
        <v>214.96800000000002</v>
      </c>
      <c r="P98" s="13">
        <f t="shared" si="87"/>
        <v>53.019736939093043</v>
      </c>
      <c r="Q98" s="20">
        <f t="shared" si="54"/>
        <v>466.74530850225375</v>
      </c>
      <c r="R98" s="57">
        <f t="shared" si="55"/>
        <v>748.60395614197262</v>
      </c>
      <c r="S98" s="57">
        <f ca="1">AVERAGE(OFFSET($R$3,0,0,'Données projet'!$E$9+1,1))-AVERAGE(OFFSET($H$3,0,0,'Données projet'!$E$9+1,1))</f>
        <v>332.70145542047612</v>
      </c>
      <c r="T98" s="57">
        <f t="shared" si="88"/>
        <v>172.22433737900428</v>
      </c>
      <c r="U98" s="15">
        <f>IF(ISNA(VLOOKUP(A98,'Données projet'!$A$35:$I$55,3,0)),0,VLOOKUP(A98,'Données projet'!$A$35:$I$55,3,0))</f>
        <v>15</v>
      </c>
      <c r="V98" s="15">
        <f>IF(ISNA(VLOOKUP(A98,'Données projet'!$A$35:$I$55,4,0)),0,VLOOKUP(A98,'Données projet'!$A$35:$I$55,4,0))</f>
        <v>14</v>
      </c>
      <c r="W98" s="16">
        <f>IF(ISNA(VLOOKUP(A98,'Données projet'!$A$35:$I$55,5,0)),0%,VLOOKUP(A98,'Données projet'!$A$35:$I$55,5,0)*VLOOKUP('Données projet'!$B$9,Paramètres!$A$1:$I$89,7,0))</f>
        <v>0.30099999999999999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23.063095037767759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23.063095037767759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66.870540265377869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6.7350000000000021</v>
      </c>
      <c r="AI98" s="13">
        <f>IF('Données projet'!$A$62&gt;35,AI97+AH98-AQ97,IF(A98&lt;'Données projet'!$A$62,$AF$205^A98,IF(A98='Données projet'!$A$62,'Données projet'!$B$62,AI97+AH98-AQ97)))</f>
        <v>244.42000000000007</v>
      </c>
      <c r="AJ98" s="13">
        <f>AI98*VLOOKUP('Données projet'!$B$10,Paramètres!$A$1:$I$89,3,0)*VLOOKUP('Données projet'!$B$10,Paramètres!$A$1:$I$89,5,0)</f>
        <v>221.15121600000003</v>
      </c>
      <c r="AK98" s="13">
        <f t="shared" si="89"/>
        <v>54.365020776705762</v>
      </c>
      <c r="AL98" s="20">
        <f t="shared" si="58"/>
        <v>479.85744571942928</v>
      </c>
      <c r="AM98" s="57">
        <f t="shared" si="59"/>
        <v>761.71609335914809</v>
      </c>
      <c r="AN98" s="57">
        <f ca="1">AVERAGE(OFFSET($AM$3,0,0,'Données projet'!$E$10+1,1))-AVERAGE(OFFSET($H$3,0,0,'Données projet'!$E$10+1,1))</f>
        <v>469.4210143164521</v>
      </c>
      <c r="AO98" s="57">
        <f t="shared" si="90"/>
        <v>308.4508386530556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25.076570339143174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25.076570339143174</v>
      </c>
      <c r="AY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66.870540265377869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7" t="e">
        <f t="shared" si="62"/>
        <v>#NUM!</v>
      </c>
      <c r="BI98" s="57">
        <f ca="1">AVERAGE(OFFSET($BH$3,0,0,'Données projet'!$E$11+1,1))-AVERAGE(OFFSET($H$3,0,0,'Données projet'!$E$11+1,1))</f>
        <v>344.32981377462971</v>
      </c>
      <c r="BJ98" s="57">
        <f t="shared" si="92"/>
        <v>334.42512656625763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86.254378857905067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86.254378857905067</v>
      </c>
      <c r="BT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66.870540265377869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>
        <f>VLOOKUP(A98,'Données projet'!$A$113:$I$133,2,0)</f>
        <v>317</v>
      </c>
      <c r="BW98" s="12">
        <f>VLOOKUP(A98,'Données projet'!$A$113:$I$133,9,0)</f>
        <v>6.8</v>
      </c>
      <c r="BX98" s="12">
        <f t="array" ref="BX98">INDEX(BW:BW,MIN(IF(ISNUMBER(BW98:BW294),ROW(BW98:BW294),"")))</f>
        <v>6.8</v>
      </c>
      <c r="BY98" s="12">
        <f>IF('Données projet'!$A$114&gt;35,BY97+BX98-CG97,IF(A98&lt;'Données projet'!$A$114,$BV$205^A98,IF(A98='Données projet'!$A$114,'Données projet'!$B$114,BY97+BX98-CG97)))</f>
        <v>317.00000000000045</v>
      </c>
      <c r="BZ98" s="13">
        <f>BY98*VLOOKUP('Données projet'!$B$12,Paramètres!$A$1:$I$89,3,0)*VLOOKUP('Données projet'!$B$12,Paramètres!$A$1:$I$89,5,0)</f>
        <v>301.65720000000044</v>
      </c>
      <c r="CA98" s="13">
        <f t="shared" si="93"/>
        <v>71.523764786280282</v>
      </c>
      <c r="CB98" s="20">
        <f t="shared" si="64"/>
        <v>649.95684700277218</v>
      </c>
      <c r="CC98" s="57">
        <f t="shared" si="65"/>
        <v>931.8154946424911</v>
      </c>
      <c r="CD98" s="57">
        <f ca="1">AVERAGE(OFFSET($CC$3,0,0,'Données projet'!$E$12+1,1))-AVERAGE(OFFSET($H$3,0,0,'Données projet'!$E$12+1,1))</f>
        <v>498.77732039282807</v>
      </c>
      <c r="CE98" s="57">
        <f t="shared" si="94"/>
        <v>384.57317421826531</v>
      </c>
      <c r="CF98" s="15">
        <f>IF(ISNA(VLOOKUP(A98,'Données projet'!$A$113:$I$133,3,0)),0,VLOOKUP(A98,'Données projet'!$A$113:$I$133,3,0))</f>
        <v>15</v>
      </c>
      <c r="CG98" s="15">
        <f>IF(ISNA(VLOOKUP(A98,'Données projet'!$A$113:$I$133,4,0)),0,VLOOKUP(A98,'Données projet'!$A$113:$I$133,4,0))</f>
        <v>31</v>
      </c>
      <c r="CH98" s="16">
        <f>IF(ISNA(VLOOKUP(A98,'Données projet'!$A$113:$I$133,5,0)),0%,VLOOKUP(A98,'Données projet'!$A$113:$I$133,5,0)*VLOOKUP('Données projet'!$B$12,Paramètres!$A$1:$I$89,7,0))</f>
        <v>0.30099999999999999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59.355750399558239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59.355750399558239</v>
      </c>
      <c r="CO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66.870540265377869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6.7350000000000021</v>
      </c>
      <c r="CT98" s="12">
        <f>IF('Données projet'!$A$140&gt;35,CT97+CS98-DB97,IF(A98&lt;'Données projet'!$A$140,$CQ$205^A98,IF(A98='Données projet'!$A$140,'Données projet'!$B$140,CT97+CS98-DB97)))</f>
        <v>244.42000000000007</v>
      </c>
      <c r="CU98" s="17">
        <f>CT98*VLOOKUP('Données projet'!$B$13,Paramètres!$A$1:$I$89,3,0)*VLOOKUP('Données projet'!$B$13,Paramètres!$A$1:$I$89,5,0)</f>
        <v>163.95693600000004</v>
      </c>
      <c r="CV98" s="13">
        <f t="shared" si="95"/>
        <v>41.733740432733732</v>
      </c>
      <c r="CW98" s="20">
        <f t="shared" si="67"/>
        <v>358.24459478701129</v>
      </c>
      <c r="CX98" s="57">
        <f t="shared" si="68"/>
        <v>640.10324242673016</v>
      </c>
      <c r="CY98" s="57">
        <f ca="1">AVERAGE(OFFSET($CX$3,0,0,'Données projet'!$E$13+1,1))-AVERAGE(OFFSET($H$3,0,0,'Données projet'!$E$13+1,1))</f>
        <v>365.99625753737246</v>
      </c>
      <c r="CZ98" s="57">
        <f t="shared" si="96"/>
        <v>242.84814712692287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22.914797034044629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22.914797034044629</v>
      </c>
      <c r="DJ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66.870540265377869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2.2737367544323206E-13</v>
      </c>
      <c r="DP98" s="17">
        <f>DO98*VLOOKUP('Données projet'!$B$14,Paramètres!$A$1:$I$89,3,0)*VLOOKUP('Données projet'!$B$14,Paramètres!$A$1:$I$89,5,0)</f>
        <v>1.4897523215040565E-13</v>
      </c>
      <c r="DQ98" s="13">
        <f t="shared" si="97"/>
        <v>2.136562777003313E-12</v>
      </c>
      <c r="DR98" s="20">
        <f t="shared" si="70"/>
        <v>3.9806453659427267E-12</v>
      </c>
      <c r="DS98" s="57">
        <f t="shared" si="71"/>
        <v>281.85864763972285</v>
      </c>
      <c r="DT98" s="57">
        <f ca="1">AVERAGE(OFFSET($DS$3,0,0,'Données projet'!$E$14+1,1))-AVERAGE(OFFSET($H$3,0,0,'Données projet'!$E$14+1,1))</f>
        <v>313.79279628660527</v>
      </c>
      <c r="DU98" s="57">
        <f t="shared" si="98"/>
        <v>317.45469955216254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83.804126268838388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83.804126268838388</v>
      </c>
      <c r="EE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66.870540265377869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-1.1368683772161603E-13</v>
      </c>
      <c r="EK98" s="17">
        <f>EJ98*VLOOKUP('Données projet'!$B$15,Paramètres!$A$1:$I$89,3,0)*VLOOKUP('Données projet'!$B$15,Paramètres!$A$1:$I$89,5,0)</f>
        <v>-9.7543306765146564E-14</v>
      </c>
      <c r="EL98" s="13" t="e">
        <f t="shared" si="99"/>
        <v>#NUM!</v>
      </c>
      <c r="EM98" s="20" t="e">
        <f t="shared" si="73"/>
        <v>#NUM!</v>
      </c>
      <c r="EN98" s="57" t="e">
        <f t="shared" si="74"/>
        <v>#NUM!</v>
      </c>
      <c r="EO98" s="57">
        <f ca="1">AVERAGE(OFFSET($EN$3,0,0,'Données projet'!$E$15+1,1))-AVERAGE(OFFSET($H$3,0,0,'Données projet'!$E$15+1,1))</f>
        <v>643.04899298561475</v>
      </c>
      <c r="EP98" s="57">
        <f t="shared" si="100"/>
        <v>474.94999304483031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310.63119952458004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310.63119952458004</v>
      </c>
      <c r="EZ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66.870540265377869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>
        <f>FE98*VLOOKUP('Données projet'!$B$16,Paramètres!$A$1:$I$89,3,0)*VLOOKUP('Données projet'!$B$16,Paramètres!$A$1:$I$89,5,0)</f>
        <v>0</v>
      </c>
      <c r="FG98" s="13" t="e">
        <f t="shared" si="101"/>
        <v>#NUM!</v>
      </c>
      <c r="FH98" s="20" t="e">
        <f t="shared" si="76"/>
        <v>#NUM!</v>
      </c>
      <c r="FI98" s="57" t="e">
        <f t="shared" si="77"/>
        <v>#NUM!</v>
      </c>
      <c r="FJ98" s="57">
        <f ca="1">AVERAGE(OFFSET($FI$3,0,0,'Données projet'!$E$16+1,1))-AVERAGE(OFFSET($H$3,0,0,'Données projet'!$E$16+1,1))</f>
        <v>375.34603719604439</v>
      </c>
      <c r="FK98" s="57">
        <f t="shared" si="102"/>
        <v>363.99476973672211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117.62348744798926</v>
      </c>
      <c r="FR98" s="21">
        <f>EXP(-LN(2)/25)*FR97+(1-EXP(-LN(2)/25))/(LN(2)/25)*Calculateur!FM98*Calculateur!FO98*VLOOKUP('Données projet'!$B$16,Paramètres!$A$1:$I$89,3,0)*0.475*44/12</f>
        <v>0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117.62348744798926</v>
      </c>
      <c r="FU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66.870540265377869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-1.1368683772161603E-13</v>
      </c>
      <c r="GA98" s="17">
        <f>FZ98*VLOOKUP('Données projet'!$B$17,Paramètres!$A$1:$I$89,3,0)*VLOOKUP('Données projet'!$B$17,Paramètres!$A$1:$I$89,5,0)</f>
        <v>-6.3550942286383367E-14</v>
      </c>
      <c r="GB98" s="13" t="e">
        <f t="shared" si="103"/>
        <v>#NUM!</v>
      </c>
      <c r="GC98" s="20" t="e">
        <f t="shared" si="79"/>
        <v>#NUM!</v>
      </c>
      <c r="GD98" s="57" t="e">
        <f t="shared" si="80"/>
        <v>#NUM!</v>
      </c>
      <c r="GE98" s="57">
        <f ca="1">AVERAGE(OFFSET($GD$3,0,0,'Données projet'!$E$17+1,1))-AVERAGE(OFFSET($H$3,0,0,'Données projet'!$E$17+1,1))</f>
        <v>414.47327143450701</v>
      </c>
      <c r="GF98" s="57">
        <f t="shared" si="104"/>
        <v>546.83385887302961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133.70956100698467</v>
      </c>
      <c r="GM98" s="21">
        <f>EXP(-LN(2)/25)*GM97+(1-EXP(-LN(2)/25))/(LN(2)/25)*Calculateur!GH98*Calculateur!GJ98*VLOOKUP('Données projet'!$B$17,Paramètres!$A$1:$I$89,3,0)*0.475*44/12</f>
        <v>20.42754307411338</v>
      </c>
      <c r="GN98" s="21">
        <f>EXP(-LN(2)/2)*GN97+(1-EXP(-LN(2)/2))/(LN(2)/2)*GH98*GK98*VLOOKUP('Données projet'!$B$17,Paramètres!$A$1:$I$89,3,0)*0.475*44/12</f>
        <v>2.8017181850507901E-5</v>
      </c>
      <c r="GO98" s="21">
        <f t="shared" si="81"/>
        <v>154.13713209827989</v>
      </c>
      <c r="GP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66.870540265377869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>
        <f>VLOOKUP(A98,'Données projet'!$A$269:$I$289,2,0)</f>
        <v>443</v>
      </c>
      <c r="GS98" s="12">
        <f>VLOOKUP(A98,'Données projet'!$A$269:$I$289,9,0)</f>
        <v>4</v>
      </c>
      <c r="GT98" s="12">
        <f t="array" ref="GT98">INDEX(GS:GS,MIN(IF(ISNUMBER(GS98:GS294),ROW(GS98:GS294),"")))</f>
        <v>4</v>
      </c>
      <c r="GU98" s="12">
        <f>IF('Données projet'!$A$270&gt;35,GU97+GT98-HC97,IF(A98&lt;'Données projet'!$A$270,$GR$205^A98,IF(A98='Données projet'!$A$270,'Données projet'!$B$270,GU97+GT98-HC97)))</f>
        <v>442.99999999999983</v>
      </c>
      <c r="GV98" s="17">
        <f>GU98*VLOOKUP('Données projet'!$B$18,Paramètres!$A$1:$I$89,3,0)*VLOOKUP('Données projet'!$B$18,Paramètres!$A$1:$I$89,5,0)</f>
        <v>241.8779999999999</v>
      </c>
      <c r="GW98" s="13">
        <f t="shared" si="105"/>
        <v>58.843407848952012</v>
      </c>
      <c r="GX98" s="20">
        <f t="shared" si="82"/>
        <v>523.75645200359133</v>
      </c>
      <c r="GY98" s="57">
        <f t="shared" si="83"/>
        <v>805.61509964331026</v>
      </c>
      <c r="GZ98" s="57">
        <f ca="1">AVERAGE(OFFSET($GY$3,0,0,'Données projet'!$E$18+1,1))-AVERAGE(OFFSET($H$3,0,0,'Données projet'!$E$18+1,1))</f>
        <v>381.00532469288714</v>
      </c>
      <c r="HA98" s="57">
        <f t="shared" si="106"/>
        <v>314.875259641757</v>
      </c>
      <c r="HB98" s="15">
        <f>IF(ISNA(VLOOKUP(A98,'Données projet'!$A$269:$I$289,3,0)),0,VLOOKUP(A98,'Données projet'!$A$269:$I$289,3,0))</f>
        <v>18</v>
      </c>
      <c r="HC98" s="15">
        <f>IF(ISNA(VLOOKUP(A98,'Données projet'!$A$269:$I$289,4,0)),0,VLOOKUP(A98,'Données projet'!$A$269:$I$289,4,0))</f>
        <v>13</v>
      </c>
      <c r="HD98" s="16">
        <f>IF(ISNA(VLOOKUP(A98,'Données projet'!$A$269:$I$289,5,0)),0%,VLOOKUP(A98,'Données projet'!$A$269:$I$289,5,0)*VLOOKUP('Données projet'!$B$18,Paramètres!$A$1:$I$89,7,0))</f>
        <v>0.48</v>
      </c>
      <c r="HE98" s="16">
        <f>IF(ISNA(VLOOKUP(A98,'Données projet'!$A$269:$I$289,6,0)),0%,VLOOKUP(A98,'Données projet'!$A$269:$I$289,6,0)*VLOOKUP('Données projet'!$B$18,Paramètres!$A$1:$I$89,7,0))</f>
        <v>6.6000000000000003E-2</v>
      </c>
      <c r="HF98" s="16">
        <f>IF(ISNA(VLOOKUP(A98,'Données projet'!$A$269:$I$289,7,0)),0%,VLOOKUP(A98,'Données projet'!$A$269:$I$289,7,0))</f>
        <v>0.09</v>
      </c>
      <c r="HG98" s="21">
        <f>EXP(-LN(2)/35)*HG97+(1-EXP(-LN(2)/35))/(LN(2)/35)*HC98*HD98*VLOOKUP('Données projet'!$B$18,Paramètres!$A$1:$I$89,3,0)*0.475*44/12</f>
        <v>54.054224085381698</v>
      </c>
      <c r="HH98" s="21">
        <f>EXP(-LN(2)/25)*HH97+(1-EXP(-LN(2)/25))/(LN(2)/25)*Calculateur!HC98*Calculateur!HE98*VLOOKUP('Données projet'!$B$18,Paramètres!$A$1:$I$89,3,0)*0.475*44/12</f>
        <v>13.50560144537706</v>
      </c>
      <c r="HI98" s="21">
        <f>EXP(-LN(2)/2)*HI97+(1-EXP(-LN(2)/2))/(LN(2)/2)*HC98*HF98*VLOOKUP('Données projet'!$B$18,Paramètres!$A$1:$I$89,3,0)*0.475*44/12</f>
        <v>0.89543113813124164</v>
      </c>
      <c r="HJ98" s="22">
        <f t="shared" si="84"/>
        <v>68.455256668890001</v>
      </c>
    </row>
    <row r="99" spans="1:218" x14ac:dyDescent="0.2">
      <c r="A99" s="10">
        <f t="shared" si="85"/>
        <v>96</v>
      </c>
      <c r="B99" s="71">
        <f>'Scénario référence'!$B$16*5+'Scénario référence'!$B$17*0+'Scénario référence'!$B$18*5</f>
        <v>3.3000000000000003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12.100000000000001</v>
      </c>
      <c r="H99" s="65">
        <f t="shared" si="56"/>
        <v>208.26666666666665</v>
      </c>
      <c r="I99" s="6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66.924829395349732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3.6</v>
      </c>
      <c r="N99" s="13">
        <f>IF('Données projet'!$A$36&gt;35,N98+M99-V98,IF(A99&lt;'Données projet'!$A$36,$K$205^A99,IF(A99='Données projet'!$A$36,'Données projet'!$B$36,N98+M99-V98)))</f>
        <v>201.6</v>
      </c>
      <c r="O99" s="13">
        <f>N99*VLOOKUP('Données projet'!$B$9,Paramètres!$A$1:$I$89,3,0)*VLOOKUP('Données projet'!$B$9,Paramètres!$A$1:$I$89,5,0)</f>
        <v>204.42239999999998</v>
      </c>
      <c r="P99" s="13">
        <f t="shared" si="87"/>
        <v>50.714836797527262</v>
      </c>
      <c r="Q99" s="20">
        <f t="shared" ref="Q99:Q130" si="107">(O99+P99)*0.475*44/12</f>
        <v>444.36402075569328</v>
      </c>
      <c r="R99" s="57">
        <f t="shared" si="55"/>
        <v>726.42172853864236</v>
      </c>
      <c r="S99" s="57">
        <f ca="1">AVERAGE(OFFSET($R$3,0,0,'Données projet'!$E$9+1,1))-AVERAGE(OFFSET($H$3,0,0,'Données projet'!$E$9+1,1))</f>
        <v>332.70145542047612</v>
      </c>
      <c r="T99" s="57">
        <f t="shared" si="88"/>
        <v>172.22433737900428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22.610841811176098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22.610841811176098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66.924829395349732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6.7350000000000021</v>
      </c>
      <c r="AI99" s="13">
        <f>IF('Données projet'!$A$62&gt;35,AI98+AH99-AQ98,IF(A99&lt;'Données projet'!$A$62,$AF$205^A99,IF(A99='Données projet'!$A$62,'Données projet'!$B$62,AI98+AH99-AQ98)))</f>
        <v>251.15500000000009</v>
      </c>
      <c r="AJ99" s="13">
        <f>AI99*VLOOKUP('Données projet'!$B$10,Paramètres!$A$1:$I$89,3,0)*VLOOKUP('Données projet'!$B$10,Paramètres!$A$1:$I$89,5,0)</f>
        <v>227.24504400000006</v>
      </c>
      <c r="AK99" s="13">
        <f t="shared" si="89"/>
        <v>55.686578503486572</v>
      </c>
      <c r="AL99" s="20">
        <f t="shared" si="58"/>
        <v>492.77257586023921</v>
      </c>
      <c r="AM99" s="57">
        <f t="shared" si="59"/>
        <v>774.8302836431883</v>
      </c>
      <c r="AN99" s="57">
        <f ca="1">AVERAGE(OFFSET($AM$3,0,0,'Données projet'!$E$10+1,1))-AVERAGE(OFFSET($H$3,0,0,'Données projet'!$E$10+1,1))</f>
        <v>469.4210143164521</v>
      </c>
      <c r="AO99" s="57">
        <f t="shared" si="90"/>
        <v>308.4508386530556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24.58483408999021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24.58483408999021</v>
      </c>
      <c r="AY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66.924829395349732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7" t="e">
        <f t="shared" si="62"/>
        <v>#NUM!</v>
      </c>
      <c r="BI99" s="57">
        <f ca="1">AVERAGE(OFFSET($BH$3,0,0,'Données projet'!$E$11+1,1))-AVERAGE(OFFSET($H$3,0,0,'Données projet'!$E$11+1,1))</f>
        <v>344.32981377462971</v>
      </c>
      <c r="BJ99" s="57">
        <f t="shared" si="92"/>
        <v>334.42512656625763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84.562983098477844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84.562983098477844</v>
      </c>
      <c r="BT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66.924829395349732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6.6</v>
      </c>
      <c r="BY99" s="12">
        <f>IF('Données projet'!$A$114&gt;35,BY98+BX99-CG98,IF(A99&lt;'Données projet'!$A$114,$BV$205^A99,IF(A99='Données projet'!$A$114,'Données projet'!$B$114,BY98+BX99-CG98)))</f>
        <v>292.60000000000048</v>
      </c>
      <c r="BZ99" s="13">
        <f>BY99*VLOOKUP('Données projet'!$B$12,Paramètres!$A$1:$I$89,3,0)*VLOOKUP('Données projet'!$B$12,Paramètres!$A$1:$I$89,5,0)</f>
        <v>278.43816000000044</v>
      </c>
      <c r="CA99" s="13">
        <f t="shared" si="93"/>
        <v>66.636839817348459</v>
      </c>
      <c r="CB99" s="20">
        <f t="shared" si="64"/>
        <v>601.00562468188264</v>
      </c>
      <c r="CC99" s="57">
        <f t="shared" si="65"/>
        <v>883.06333246483166</v>
      </c>
      <c r="CD99" s="57">
        <f ca="1">AVERAGE(OFFSET($CC$3,0,0,'Données projet'!$E$12+1,1))-AVERAGE(OFFSET($H$3,0,0,'Données projet'!$E$12+1,1))</f>
        <v>498.77732039282807</v>
      </c>
      <c r="CE99" s="57">
        <f t="shared" si="94"/>
        <v>384.57317421826531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58.191820337655855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58.191820337655855</v>
      </c>
      <c r="CO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66.924829395349732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6.7350000000000021</v>
      </c>
      <c r="CT99" s="12">
        <f>IF('Données projet'!$A$140&gt;35,CT98+CS99-DB98,IF(A99&lt;'Données projet'!$A$140,$CQ$205^A99,IF(A99='Données projet'!$A$140,'Données projet'!$B$140,CT98+CS99-DB98)))</f>
        <v>251.15500000000009</v>
      </c>
      <c r="CU99" s="17">
        <f>CT99*VLOOKUP('Données projet'!$B$13,Paramètres!$A$1:$I$89,3,0)*VLOOKUP('Données projet'!$B$13,Paramètres!$A$1:$I$89,5,0)</f>
        <v>168.47477400000005</v>
      </c>
      <c r="CV99" s="13">
        <f t="shared" si="95"/>
        <v>42.748244728848597</v>
      </c>
      <c r="CW99" s="20">
        <f t="shared" si="67"/>
        <v>367.88009095274469</v>
      </c>
      <c r="CX99" s="57">
        <f t="shared" si="68"/>
        <v>649.93779873569372</v>
      </c>
      <c r="CY99" s="57">
        <f ca="1">AVERAGE(OFFSET($CX$3,0,0,'Données projet'!$E$13+1,1))-AVERAGE(OFFSET($H$3,0,0,'Données projet'!$E$13+1,1))</f>
        <v>365.99625753737246</v>
      </c>
      <c r="CZ99" s="57">
        <f t="shared" si="96"/>
        <v>242.84814712692287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22.465451840853124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22.465451840853124</v>
      </c>
      <c r="DJ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66.924829395349732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2.2737367544323206E-13</v>
      </c>
      <c r="DP99" s="17">
        <f>DO99*VLOOKUP('Données projet'!$B$14,Paramètres!$A$1:$I$89,3,0)*VLOOKUP('Données projet'!$B$14,Paramètres!$A$1:$I$89,5,0)</f>
        <v>1.4897523215040565E-13</v>
      </c>
      <c r="DQ99" s="13">
        <f t="shared" si="97"/>
        <v>2.136562777003313E-12</v>
      </c>
      <c r="DR99" s="20">
        <f t="shared" si="70"/>
        <v>3.9806453659427267E-12</v>
      </c>
      <c r="DS99" s="57">
        <f t="shared" si="71"/>
        <v>282.057707782953</v>
      </c>
      <c r="DT99" s="57">
        <f ca="1">AVERAGE(OFFSET($DS$3,0,0,'Données projet'!$E$14+1,1))-AVERAGE(OFFSET($H$3,0,0,'Données projet'!$E$14+1,1))</f>
        <v>313.79279628660527</v>
      </c>
      <c r="DU99" s="57">
        <f t="shared" si="98"/>
        <v>317.45469955216254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82.160778468176261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82.160778468176261</v>
      </c>
      <c r="EE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66.924829395349732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-1.1368683772161603E-13</v>
      </c>
      <c r="EK99" s="17">
        <f>EJ99*VLOOKUP('Données projet'!$B$15,Paramètres!$A$1:$I$89,3,0)*VLOOKUP('Données projet'!$B$15,Paramètres!$A$1:$I$89,5,0)</f>
        <v>-9.7543306765146564E-14</v>
      </c>
      <c r="EL99" s="13" t="e">
        <f t="shared" si="99"/>
        <v>#NUM!</v>
      </c>
      <c r="EM99" s="20" t="e">
        <f t="shared" si="73"/>
        <v>#NUM!</v>
      </c>
      <c r="EN99" s="57" t="e">
        <f t="shared" si="74"/>
        <v>#NUM!</v>
      </c>
      <c r="EO99" s="57">
        <f ca="1">AVERAGE(OFFSET($EN$3,0,0,'Données projet'!$E$15+1,1))-AVERAGE(OFFSET($H$3,0,0,'Données projet'!$E$15+1,1))</f>
        <v>643.04899298561475</v>
      </c>
      <c r="EP99" s="57">
        <f t="shared" si="100"/>
        <v>474.94999304483031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304.53991116822647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304.53991116822647</v>
      </c>
      <c r="EZ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66.924829395349732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>
        <f>FE99*VLOOKUP('Données projet'!$B$16,Paramètres!$A$1:$I$89,3,0)*VLOOKUP('Données projet'!$B$16,Paramètres!$A$1:$I$89,5,0)</f>
        <v>0</v>
      </c>
      <c r="FG99" s="13" t="e">
        <f t="shared" si="101"/>
        <v>#NUM!</v>
      </c>
      <c r="FH99" s="20" t="e">
        <f t="shared" si="76"/>
        <v>#NUM!</v>
      </c>
      <c r="FI99" s="57" t="e">
        <f t="shared" si="77"/>
        <v>#NUM!</v>
      </c>
      <c r="FJ99" s="57">
        <f ca="1">AVERAGE(OFFSET($FI$3,0,0,'Données projet'!$E$16+1,1))-AVERAGE(OFFSET($H$3,0,0,'Données projet'!$E$16+1,1))</f>
        <v>375.34603719604439</v>
      </c>
      <c r="FK99" s="57">
        <f t="shared" si="102"/>
        <v>363.99476973672211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115.31696260237747</v>
      </c>
      <c r="FR99" s="21">
        <f>EXP(-LN(2)/25)*FR98+(1-EXP(-LN(2)/25))/(LN(2)/25)*Calculateur!FM99*Calculateur!FO99*VLOOKUP('Données projet'!$B$16,Paramètres!$A$1:$I$89,3,0)*0.475*44/12</f>
        <v>0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115.31696260237747</v>
      </c>
      <c r="FU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66.924829395349732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-1.1368683772161603E-13</v>
      </c>
      <c r="GA99" s="17">
        <f>FZ99*VLOOKUP('Données projet'!$B$17,Paramètres!$A$1:$I$89,3,0)*VLOOKUP('Données projet'!$B$17,Paramètres!$A$1:$I$89,5,0)</f>
        <v>-6.3550942286383367E-14</v>
      </c>
      <c r="GB99" s="13" t="e">
        <f t="shared" si="103"/>
        <v>#NUM!</v>
      </c>
      <c r="GC99" s="20" t="e">
        <f t="shared" si="79"/>
        <v>#NUM!</v>
      </c>
      <c r="GD99" s="57" t="e">
        <f t="shared" si="80"/>
        <v>#NUM!</v>
      </c>
      <c r="GE99" s="57">
        <f ca="1">AVERAGE(OFFSET($GD$3,0,0,'Données projet'!$E$17+1,1))-AVERAGE(OFFSET($H$3,0,0,'Données projet'!$E$17+1,1))</f>
        <v>414.47327143450701</v>
      </c>
      <c r="GF99" s="57">
        <f t="shared" si="104"/>
        <v>546.83385887302961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131.08759807041704</v>
      </c>
      <c r="GM99" s="21">
        <f>EXP(-LN(2)/25)*GM98+(1-EXP(-LN(2)/25))/(LN(2)/25)*Calculateur!GH99*Calculateur!GJ99*VLOOKUP('Données projet'!$B$17,Paramètres!$A$1:$I$89,3,0)*0.475*44/12</f>
        <v>19.868950834513946</v>
      </c>
      <c r="GN99" s="21">
        <f>EXP(-LN(2)/2)*GN98+(1-EXP(-LN(2)/2))/(LN(2)/2)*GH99*GK99*VLOOKUP('Données projet'!$B$17,Paramètres!$A$1:$I$89,3,0)*0.475*44/12</f>
        <v>1.9811139276230801E-5</v>
      </c>
      <c r="GO99" s="21">
        <f t="shared" si="81"/>
        <v>150.95656871607028</v>
      </c>
      <c r="GP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66.924829395349732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3.2</v>
      </c>
      <c r="GU99" s="12">
        <f>IF('Données projet'!$A$270&gt;35,GU98+GT99-HC98,IF(A99&lt;'Données projet'!$A$270,$GR$205^A99,IF(A99='Données projet'!$A$270,'Données projet'!$B$270,GU98+GT99-HC98)))</f>
        <v>433.19999999999982</v>
      </c>
      <c r="GV99" s="17">
        <f>GU99*VLOOKUP('Données projet'!$B$18,Paramètres!$A$1:$I$89,3,0)*VLOOKUP('Données projet'!$B$18,Paramètres!$A$1:$I$89,5,0)</f>
        <v>236.52719999999988</v>
      </c>
      <c r="GW99" s="13">
        <f t="shared" si="105"/>
        <v>57.691707981395879</v>
      </c>
      <c r="GX99" s="20">
        <f t="shared" si="82"/>
        <v>512.43126473426423</v>
      </c>
      <c r="GY99" s="57">
        <f t="shared" si="83"/>
        <v>794.48897251721326</v>
      </c>
      <c r="GZ99" s="57">
        <f ca="1">AVERAGE(OFFSET($GY$3,0,0,'Données projet'!$E$18+1,1))-AVERAGE(OFFSET($H$3,0,0,'Données projet'!$E$18+1,1))</f>
        <v>381.00532469288714</v>
      </c>
      <c r="HA99" s="57">
        <f t="shared" si="106"/>
        <v>314.875259641757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>
        <f>EXP(-LN(2)/35)*HG98+(1-EXP(-LN(2)/35))/(LN(2)/35)*HC99*HD99*VLOOKUP('Données projet'!$B$18,Paramètres!$A$1:$I$89,3,0)*0.475*44/12</f>
        <v>52.994253720888558</v>
      </c>
      <c r="HH99" s="21">
        <f>EXP(-LN(2)/25)*HH98+(1-EXP(-LN(2)/25))/(LN(2)/25)*Calculateur!HC99*Calculateur!HE99*VLOOKUP('Données projet'!$B$18,Paramètres!$A$1:$I$89,3,0)*0.475*44/12</f>
        <v>13.136290063624513</v>
      </c>
      <c r="HI99" s="21">
        <f>EXP(-LN(2)/2)*HI98+(1-EXP(-LN(2)/2))/(LN(2)/2)*HC99*HF99*VLOOKUP('Données projet'!$B$18,Paramètres!$A$1:$I$89,3,0)*0.475*44/12</f>
        <v>0.63316542985818913</v>
      </c>
      <c r="HJ99" s="22">
        <f t="shared" si="84"/>
        <v>66.763709214371261</v>
      </c>
    </row>
    <row r="100" spans="1:218" x14ac:dyDescent="0.2">
      <c r="A100" s="10">
        <f t="shared" si="85"/>
        <v>97</v>
      </c>
      <c r="B100" s="71">
        <f>'Scénario référence'!$B$16*5+'Scénario référence'!$B$17*0+'Scénario référence'!$B$18*5</f>
        <v>3.3000000000000003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12.100000000000001</v>
      </c>
      <c r="H100" s="65">
        <f t="shared" si="56"/>
        <v>208.26666666666665</v>
      </c>
      <c r="I100" s="6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66.978176730288908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3.6</v>
      </c>
      <c r="N100" s="13">
        <f>IF('Données projet'!$A$36&gt;35,N99+M100-V99,IF(A100&lt;'Données projet'!$A$36,$K$205^A100,IF(A100='Données projet'!$A$36,'Données projet'!$B$36,N99+M100-V99)))</f>
        <v>205.2</v>
      </c>
      <c r="O100" s="13">
        <f>N100*VLOOKUP('Données projet'!$B$9,Paramètres!$A$1:$I$89,3,0)*VLOOKUP('Données projet'!$B$9,Paramètres!$A$1:$I$89,5,0)</f>
        <v>208.0728</v>
      </c>
      <c r="P100" s="13">
        <f t="shared" si="87"/>
        <v>51.514218302854317</v>
      </c>
      <c r="Q100" s="20">
        <f t="shared" si="107"/>
        <v>452.11405687747123</v>
      </c>
      <c r="R100" s="57">
        <f t="shared" si="55"/>
        <v>734.36737155519722</v>
      </c>
      <c r="S100" s="57">
        <f ca="1">AVERAGE(OFFSET($R$3,0,0,'Données projet'!$E$9+1,1))-AVERAGE(OFFSET($H$3,0,0,'Données projet'!$E$9+1,1))</f>
        <v>332.70145542047612</v>
      </c>
      <c r="T100" s="57">
        <f t="shared" si="88"/>
        <v>172.22433737900428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22.167456994510665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22.167456994510665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66.978176730288908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6.7350000000000021</v>
      </c>
      <c r="AI100" s="13">
        <f>IF('Données projet'!$A$62&gt;35,AI99+AH100-AQ99,IF(A100&lt;'Données projet'!$A$62,$AF$205^A100,IF(A100='Données projet'!$A$62,'Données projet'!$B$62,AI99+AH100-AQ99)))</f>
        <v>257.8900000000001</v>
      </c>
      <c r="AJ100" s="13">
        <f>AI100*VLOOKUP('Données projet'!$B$10,Paramètres!$A$1:$I$89,3,0)*VLOOKUP('Données projet'!$B$10,Paramètres!$A$1:$I$89,5,0)</f>
        <v>233.33887200000009</v>
      </c>
      <c r="AK100" s="13">
        <f t="shared" si="89"/>
        <v>57.004017036032415</v>
      </c>
      <c r="AL100" s="20">
        <f t="shared" si="58"/>
        <v>505.68053173775655</v>
      </c>
      <c r="AM100" s="57">
        <f t="shared" si="59"/>
        <v>787.93384641548255</v>
      </c>
      <c r="AN100" s="57">
        <f ca="1">AVERAGE(OFFSET($AM$3,0,0,'Données projet'!$E$10+1,1))-AVERAGE(OFFSET($H$3,0,0,'Données projet'!$E$10+1,1))</f>
        <v>469.4210143164521</v>
      </c>
      <c r="AO100" s="57">
        <f t="shared" si="90"/>
        <v>308.4508386530556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24.102740488753636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24.102740488753636</v>
      </c>
      <c r="AY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66.978176730288908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7" t="e">
        <f t="shared" si="62"/>
        <v>#NUM!</v>
      </c>
      <c r="BI100" s="57">
        <f ca="1">AVERAGE(OFFSET($BH$3,0,0,'Données projet'!$E$11+1,1))-AVERAGE(OFFSET($H$3,0,0,'Données projet'!$E$11+1,1))</f>
        <v>344.32981377462971</v>
      </c>
      <c r="BJ100" s="57">
        <f t="shared" si="92"/>
        <v>334.42512656625763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82.904754578243441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82.904754578243441</v>
      </c>
      <c r="BT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66.978176730288908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6.6</v>
      </c>
      <c r="BY100" s="12">
        <f>IF('Données projet'!$A$114&gt;35,BY99+BX100-CG99,IF(A100&lt;'Données projet'!$A$114,$BV$205^A100,IF(A100='Données projet'!$A$114,'Données projet'!$B$114,BY99+BX100-CG99)))</f>
        <v>299.2000000000005</v>
      </c>
      <c r="BZ100" s="13">
        <f>BY100*VLOOKUP('Données projet'!$B$12,Paramètres!$A$1:$I$89,3,0)*VLOOKUP('Données projet'!$B$12,Paramètres!$A$1:$I$89,5,0)</f>
        <v>284.71872000000047</v>
      </c>
      <c r="CA100" s="13">
        <f t="shared" si="93"/>
        <v>67.963238069504783</v>
      </c>
      <c r="CB100" s="20">
        <f t="shared" si="64"/>
        <v>614.25441030438833</v>
      </c>
      <c r="CC100" s="57">
        <f t="shared" si="65"/>
        <v>896.50772498211427</v>
      </c>
      <c r="CD100" s="57">
        <f ca="1">AVERAGE(OFFSET($CC$3,0,0,'Données projet'!$E$12+1,1))-AVERAGE(OFFSET($H$3,0,0,'Données projet'!$E$12+1,1))</f>
        <v>498.77732039282807</v>
      </c>
      <c r="CE100" s="57">
        <f t="shared" si="94"/>
        <v>384.57317421826531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57.050714234340134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57.050714234340134</v>
      </c>
      <c r="CO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66.978176730288908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6.7350000000000021</v>
      </c>
      <c r="CT100" s="12">
        <f>IF('Données projet'!$A$140&gt;35,CT99+CS100-DB99,IF(A100&lt;'Données projet'!$A$140,$CQ$205^A100,IF(A100='Données projet'!$A$140,'Données projet'!$B$140,CT99+CS100-DB99)))</f>
        <v>257.8900000000001</v>
      </c>
      <c r="CU100" s="17">
        <f>CT100*VLOOKUP('Données projet'!$B$13,Paramètres!$A$1:$I$89,3,0)*VLOOKUP('Données projet'!$B$13,Paramètres!$A$1:$I$89,5,0)</f>
        <v>172.99261200000009</v>
      </c>
      <c r="CV100" s="13">
        <f t="shared" si="95"/>
        <v>43.759586892759081</v>
      </c>
      <c r="CW100" s="20">
        <f t="shared" si="67"/>
        <v>377.5100797382222</v>
      </c>
      <c r="CX100" s="57">
        <f t="shared" si="68"/>
        <v>659.76339441594814</v>
      </c>
      <c r="CY100" s="57">
        <f ca="1">AVERAGE(OFFSET($CX$3,0,0,'Données projet'!$E$13+1,1))-AVERAGE(OFFSET($H$3,0,0,'Données projet'!$E$13+1,1))</f>
        <v>365.99625753737246</v>
      </c>
      <c r="CZ100" s="57">
        <f t="shared" si="96"/>
        <v>242.84814712692287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22.024918032826601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22.024918032826601</v>
      </c>
      <c r="DJ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66.978176730288908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2.2737367544323206E-13</v>
      </c>
      <c r="DP100" s="17">
        <f>DO100*VLOOKUP('Données projet'!$B$14,Paramètres!$A$1:$I$89,3,0)*VLOOKUP('Données projet'!$B$14,Paramètres!$A$1:$I$89,5,0)</f>
        <v>1.4897523215040565E-13</v>
      </c>
      <c r="DQ100" s="13">
        <f t="shared" si="97"/>
        <v>2.136562777003313E-12</v>
      </c>
      <c r="DR100" s="20">
        <f t="shared" si="70"/>
        <v>3.9806453659427267E-12</v>
      </c>
      <c r="DS100" s="57">
        <f t="shared" si="71"/>
        <v>282.25331467772997</v>
      </c>
      <c r="DT100" s="57">
        <f ca="1">AVERAGE(OFFSET($DS$3,0,0,'Données projet'!$E$14+1,1))-AVERAGE(OFFSET($H$3,0,0,'Données projet'!$E$14+1,1))</f>
        <v>313.79279628660527</v>
      </c>
      <c r="DU100" s="57">
        <f t="shared" si="98"/>
        <v>317.45469955216254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80.549655715541931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80.549655715541931</v>
      </c>
      <c r="EE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66.978176730288908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-1.1368683772161603E-13</v>
      </c>
      <c r="EK100" s="17">
        <f>EJ100*VLOOKUP('Données projet'!$B$15,Paramètres!$A$1:$I$89,3,0)*VLOOKUP('Données projet'!$B$15,Paramètres!$A$1:$I$89,5,0)</f>
        <v>-9.7543306765146564E-14</v>
      </c>
      <c r="EL100" s="13" t="e">
        <f t="shared" si="99"/>
        <v>#NUM!</v>
      </c>
      <c r="EM100" s="20" t="e">
        <f t="shared" si="73"/>
        <v>#NUM!</v>
      </c>
      <c r="EN100" s="57" t="e">
        <f t="shared" si="74"/>
        <v>#NUM!</v>
      </c>
      <c r="EO100" s="57">
        <f ca="1">AVERAGE(OFFSET($EN$3,0,0,'Données projet'!$E$15+1,1))-AVERAGE(OFFSET($H$3,0,0,'Données projet'!$E$15+1,1))</f>
        <v>643.04899298561475</v>
      </c>
      <c r="EP100" s="57">
        <f t="shared" si="100"/>
        <v>474.94999304483031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298.56806926122198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298.56806926122198</v>
      </c>
      <c r="EZ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66.978176730288908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>
        <f>FE100*VLOOKUP('Données projet'!$B$16,Paramètres!$A$1:$I$89,3,0)*VLOOKUP('Données projet'!$B$16,Paramètres!$A$1:$I$89,5,0)</f>
        <v>0</v>
      </c>
      <c r="FG100" s="13" t="e">
        <f t="shared" si="101"/>
        <v>#NUM!</v>
      </c>
      <c r="FH100" s="20" t="e">
        <f t="shared" si="76"/>
        <v>#NUM!</v>
      </c>
      <c r="FI100" s="57" t="e">
        <f t="shared" si="77"/>
        <v>#NUM!</v>
      </c>
      <c r="FJ100" s="57">
        <f ca="1">AVERAGE(OFFSET($FI$3,0,0,'Données projet'!$E$16+1,1))-AVERAGE(OFFSET($H$3,0,0,'Données projet'!$E$16+1,1))</f>
        <v>375.34603719604439</v>
      </c>
      <c r="FK100" s="57">
        <f t="shared" si="102"/>
        <v>363.99476973672211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113.0556673021469</v>
      </c>
      <c r="FR100" s="21">
        <f>EXP(-LN(2)/25)*FR99+(1-EXP(-LN(2)/25))/(LN(2)/25)*Calculateur!FM100*Calculateur!FO100*VLOOKUP('Données projet'!$B$16,Paramètres!$A$1:$I$89,3,0)*0.475*44/12</f>
        <v>0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113.0556673021469</v>
      </c>
      <c r="FU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66.978176730288908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-1.1368683772161603E-13</v>
      </c>
      <c r="GA100" s="17">
        <f>FZ100*VLOOKUP('Données projet'!$B$17,Paramètres!$A$1:$I$89,3,0)*VLOOKUP('Données projet'!$B$17,Paramètres!$A$1:$I$89,5,0)</f>
        <v>-6.3550942286383367E-14</v>
      </c>
      <c r="GB100" s="13" t="e">
        <f t="shared" si="103"/>
        <v>#NUM!</v>
      </c>
      <c r="GC100" s="20" t="e">
        <f t="shared" si="79"/>
        <v>#NUM!</v>
      </c>
      <c r="GD100" s="57" t="e">
        <f t="shared" si="80"/>
        <v>#NUM!</v>
      </c>
      <c r="GE100" s="57">
        <f ca="1">AVERAGE(OFFSET($GD$3,0,0,'Données projet'!$E$17+1,1))-AVERAGE(OFFSET($H$3,0,0,'Données projet'!$E$17+1,1))</f>
        <v>414.47327143450701</v>
      </c>
      <c r="GF100" s="57">
        <f t="shared" si="104"/>
        <v>546.83385887302961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128.51705022779603</v>
      </c>
      <c r="GM100" s="21">
        <f>EXP(-LN(2)/25)*GM99+(1-EXP(-LN(2)/25))/(LN(2)/25)*Calculateur!GH100*Calculateur!GJ100*VLOOKUP('Données projet'!$B$17,Paramètres!$A$1:$I$89,3,0)*0.475*44/12</f>
        <v>19.325633329081448</v>
      </c>
      <c r="GN100" s="21">
        <f>EXP(-LN(2)/2)*GN99+(1-EXP(-LN(2)/2))/(LN(2)/2)*GH100*GK100*VLOOKUP('Données projet'!$B$17,Paramètres!$A$1:$I$89,3,0)*0.475*44/12</f>
        <v>1.4008590925253951E-5</v>
      </c>
      <c r="GO100" s="21">
        <f t="shared" si="81"/>
        <v>147.84269756546843</v>
      </c>
      <c r="GP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66.978176730288908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3.2</v>
      </c>
      <c r="GU100" s="12">
        <f>IF('Données projet'!$A$270&gt;35,GU99+GT100-HC99,IF(A100&lt;'Données projet'!$A$270,$GR$205^A100,IF(A100='Données projet'!$A$270,'Données projet'!$B$270,GU99+GT100-HC99)))</f>
        <v>436.39999999999981</v>
      </c>
      <c r="GV100" s="17">
        <f>GU100*VLOOKUP('Données projet'!$B$18,Paramètres!$A$1:$I$89,3,0)*VLOOKUP('Données projet'!$B$18,Paramètres!$A$1:$I$89,5,0)</f>
        <v>238.2743999999999</v>
      </c>
      <c r="GW100" s="13">
        <f t="shared" si="105"/>
        <v>58.0681034574378</v>
      </c>
      <c r="GX100" s="20">
        <f t="shared" si="82"/>
        <v>516.12986018837069</v>
      </c>
      <c r="GY100" s="57">
        <f t="shared" si="83"/>
        <v>798.38317486609662</v>
      </c>
      <c r="GZ100" s="57">
        <f ca="1">AVERAGE(OFFSET($GY$3,0,0,'Données projet'!$E$18+1,1))-AVERAGE(OFFSET($H$3,0,0,'Données projet'!$E$18+1,1))</f>
        <v>381.00532469288714</v>
      </c>
      <c r="HA100" s="57">
        <f t="shared" si="106"/>
        <v>314.875259641757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>
        <f>EXP(-LN(2)/35)*HG99+(1-EXP(-LN(2)/35))/(LN(2)/35)*HC100*HD100*VLOOKUP('Données projet'!$B$18,Paramètres!$A$1:$I$89,3,0)*0.475*44/12</f>
        <v>51.955068728725045</v>
      </c>
      <c r="HH100" s="21">
        <f>EXP(-LN(2)/25)*HH99+(1-EXP(-LN(2)/25))/(LN(2)/25)*Calculateur!HC100*Calculateur!HE100*VLOOKUP('Données projet'!$B$18,Paramètres!$A$1:$I$89,3,0)*0.475*44/12</f>
        <v>12.777077521027229</v>
      </c>
      <c r="HI100" s="21">
        <f>EXP(-LN(2)/2)*HI99+(1-EXP(-LN(2)/2))/(LN(2)/2)*HC100*HF100*VLOOKUP('Données projet'!$B$18,Paramètres!$A$1:$I$89,3,0)*0.475*44/12</f>
        <v>0.44771556906562088</v>
      </c>
      <c r="HJ100" s="22">
        <f t="shared" si="84"/>
        <v>65.179861818817898</v>
      </c>
    </row>
    <row r="101" spans="1:218" x14ac:dyDescent="0.2">
      <c r="A101" s="10">
        <f t="shared" si="85"/>
        <v>98</v>
      </c>
      <c r="B101" s="71">
        <f>'Scénario référence'!$B$16*5+'Scénario référence'!$B$17*0+'Scénario référence'!$B$18*5</f>
        <v>3.3000000000000003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12.100000000000001</v>
      </c>
      <c r="H101" s="65">
        <f t="shared" si="56"/>
        <v>208.26666666666665</v>
      </c>
      <c r="I101" s="6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67.030598608233646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3.6</v>
      </c>
      <c r="N101" s="13">
        <f>IF('Données projet'!$A$36&gt;35,N100+M101-V100,IF(A101&lt;'Données projet'!$A$36,$K$205^A101,IF(A101='Données projet'!$A$36,'Données projet'!$B$36,N100+M101-V100)))</f>
        <v>208.79999999999998</v>
      </c>
      <c r="O101" s="13">
        <f>N101*VLOOKUP('Données projet'!$B$9,Paramètres!$A$1:$I$89,3,0)*VLOOKUP('Données projet'!$B$9,Paramètres!$A$1:$I$89,5,0)</f>
        <v>211.72319999999999</v>
      </c>
      <c r="P101" s="13">
        <f t="shared" si="87"/>
        <v>52.31196896421207</v>
      </c>
      <c r="Q101" s="20">
        <f t="shared" si="107"/>
        <v>459.86125261266926</v>
      </c>
      <c r="R101" s="57">
        <f t="shared" si="55"/>
        <v>742.30678084285933</v>
      </c>
      <c r="S101" s="57">
        <f ca="1">AVERAGE(OFFSET($R$3,0,0,'Données projet'!$E$9+1,1))-AVERAGE(OFFSET($H$3,0,0,'Données projet'!$E$9+1,1))</f>
        <v>332.70145542047612</v>
      </c>
      <c r="T101" s="57">
        <f t="shared" si="88"/>
        <v>172.22433737900428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21.732766683662007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21.732766683662007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67.030598608233646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6.7350000000000021</v>
      </c>
      <c r="AI101" s="13">
        <f>IF('Données projet'!$A$62&gt;35,AI100+AH101-AQ100,IF(A101&lt;'Données projet'!$A$62,$AF$205^A101,IF(A101='Données projet'!$A$62,'Données projet'!$B$62,AI100+AH101-AQ100)))</f>
        <v>264.62500000000011</v>
      </c>
      <c r="AJ101" s="13">
        <f>AI101*VLOOKUP('Données projet'!$B$10,Paramètres!$A$1:$I$89,3,0)*VLOOKUP('Données projet'!$B$10,Paramètres!$A$1:$I$89,5,0)</f>
        <v>239.43270000000007</v>
      </c>
      <c r="AK101" s="13">
        <f t="shared" si="89"/>
        <v>58.317456317423705</v>
      </c>
      <c r="AL101" s="20">
        <f t="shared" si="58"/>
        <v>518.58152225284641</v>
      </c>
      <c r="AM101" s="57">
        <f t="shared" si="59"/>
        <v>801.02705048303642</v>
      </c>
      <c r="AN101" s="57">
        <f ca="1">AVERAGE(OFFSET($AM$3,0,0,'Données projet'!$E$10+1,1))-AVERAGE(OFFSET($H$3,0,0,'Données projet'!$E$10+1,1))</f>
        <v>469.4210143164521</v>
      </c>
      <c r="AO101" s="57">
        <f t="shared" si="90"/>
        <v>308.4508386530556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23.63010044898925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23.63010044898925</v>
      </c>
      <c r="AY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67.030598608233646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7" t="e">
        <f t="shared" si="62"/>
        <v>#NUM!</v>
      </c>
      <c r="BI101" s="57">
        <f ca="1">AVERAGE(OFFSET($BH$3,0,0,'Données projet'!$E$11+1,1))-AVERAGE(OFFSET($H$3,0,0,'Données projet'!$E$11+1,1))</f>
        <v>344.32981377462971</v>
      </c>
      <c r="BJ101" s="57">
        <f t="shared" si="92"/>
        <v>334.42512656625763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81.279042907871315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81.279042907871315</v>
      </c>
      <c r="BT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67.030598608233646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6.6</v>
      </c>
      <c r="BY101" s="12">
        <f>IF('Données projet'!$A$114&gt;35,BY100+BX101-CG100,IF(A101&lt;'Données projet'!$A$114,$BV$205^A101,IF(A101='Données projet'!$A$114,'Données projet'!$B$114,BY100+BX101-CG100)))</f>
        <v>305.80000000000052</v>
      </c>
      <c r="BZ101" s="13">
        <f>BY101*VLOOKUP('Données projet'!$B$12,Paramètres!$A$1:$I$89,3,0)*VLOOKUP('Données projet'!$B$12,Paramètres!$A$1:$I$89,5,0)</f>
        <v>290.99928000000051</v>
      </c>
      <c r="CA101" s="13">
        <f t="shared" si="93"/>
        <v>69.286234676112997</v>
      </c>
      <c r="CB101" s="20">
        <f t="shared" si="64"/>
        <v>627.49727139423101</v>
      </c>
      <c r="CC101" s="57">
        <f t="shared" si="65"/>
        <v>909.94279962442101</v>
      </c>
      <c r="CD101" s="57">
        <f ca="1">AVERAGE(OFFSET($CC$3,0,0,'Données projet'!$E$12+1,1))-AVERAGE(OFFSET($H$3,0,0,'Données projet'!$E$12+1,1))</f>
        <v>498.77732039282807</v>
      </c>
      <c r="CE101" s="57">
        <f t="shared" si="94"/>
        <v>384.57317421826531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55.931984525704436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55.931984525704436</v>
      </c>
      <c r="CO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67.030598608233646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6.7350000000000021</v>
      </c>
      <c r="CT101" s="12">
        <f>IF('Données projet'!$A$140&gt;35,CT100+CS101-DB100,IF(A101&lt;'Données projet'!$A$140,$CQ$205^A101,IF(A101='Données projet'!$A$140,'Données projet'!$B$140,CT100+CS101-DB100)))</f>
        <v>264.62500000000011</v>
      </c>
      <c r="CU101" s="17">
        <f>CT101*VLOOKUP('Données projet'!$B$13,Paramètres!$A$1:$I$89,3,0)*VLOOKUP('Données projet'!$B$13,Paramètres!$A$1:$I$89,5,0)</f>
        <v>177.51045000000008</v>
      </c>
      <c r="CV101" s="13">
        <f t="shared" si="95"/>
        <v>44.767858999724396</v>
      </c>
      <c r="CW101" s="20">
        <f t="shared" si="67"/>
        <v>387.13472150785338</v>
      </c>
      <c r="CX101" s="57">
        <f t="shared" si="68"/>
        <v>669.58024973804345</v>
      </c>
      <c r="CY101" s="57">
        <f ca="1">AVERAGE(OFFSET($CX$3,0,0,'Données projet'!$E$13+1,1))-AVERAGE(OFFSET($H$3,0,0,'Données projet'!$E$13+1,1))</f>
        <v>365.99625753737246</v>
      </c>
      <c r="CZ101" s="57">
        <f t="shared" si="96"/>
        <v>242.84814712692287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21.593022824076385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21.593022824076385</v>
      </c>
      <c r="DJ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67.030598608233646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2.2737367544323206E-13</v>
      </c>
      <c r="DP101" s="17">
        <f>DO101*VLOOKUP('Données projet'!$B$14,Paramètres!$A$1:$I$89,3,0)*VLOOKUP('Données projet'!$B$14,Paramètres!$A$1:$I$89,5,0)</f>
        <v>1.4897523215040565E-13</v>
      </c>
      <c r="DQ101" s="13">
        <f t="shared" si="97"/>
        <v>2.136562777003313E-12</v>
      </c>
      <c r="DR101" s="20">
        <f t="shared" si="70"/>
        <v>3.9806453659427267E-12</v>
      </c>
      <c r="DS101" s="57">
        <f t="shared" si="71"/>
        <v>282.44552823019404</v>
      </c>
      <c r="DT101" s="57">
        <f ca="1">AVERAGE(OFFSET($DS$3,0,0,'Données projet'!$E$14+1,1))-AVERAGE(OFFSET($H$3,0,0,'Données projet'!$E$14+1,1))</f>
        <v>313.79279628660527</v>
      </c>
      <c r="DU101" s="57">
        <f t="shared" si="98"/>
        <v>317.45469955216254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78.970126097398918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78.970126097398918</v>
      </c>
      <c r="EE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67.030598608233646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-1.1368683772161603E-13</v>
      </c>
      <c r="EK101" s="17">
        <f>EJ101*VLOOKUP('Données projet'!$B$15,Paramètres!$A$1:$I$89,3,0)*VLOOKUP('Données projet'!$B$15,Paramètres!$A$1:$I$89,5,0)</f>
        <v>-9.7543306765146564E-14</v>
      </c>
      <c r="EL101" s="13" t="e">
        <f t="shared" si="99"/>
        <v>#NUM!</v>
      </c>
      <c r="EM101" s="20" t="e">
        <f t="shared" si="73"/>
        <v>#NUM!</v>
      </c>
      <c r="EN101" s="57" t="e">
        <f t="shared" si="74"/>
        <v>#NUM!</v>
      </c>
      <c r="EO101" s="57">
        <f ca="1">AVERAGE(OFFSET($EN$3,0,0,'Données projet'!$E$15+1,1))-AVERAGE(OFFSET($H$3,0,0,'Données projet'!$E$15+1,1))</f>
        <v>643.04899298561475</v>
      </c>
      <c r="EP101" s="57">
        <f t="shared" si="100"/>
        <v>474.94999304483031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292.71333153154995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292.71333153154995</v>
      </c>
      <c r="EZ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67.030598608233646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>
        <f>FE101*VLOOKUP('Données projet'!$B$16,Paramètres!$A$1:$I$89,3,0)*VLOOKUP('Données projet'!$B$16,Paramètres!$A$1:$I$89,5,0)</f>
        <v>0</v>
      </c>
      <c r="FG101" s="13" t="e">
        <f t="shared" si="101"/>
        <v>#NUM!</v>
      </c>
      <c r="FH101" s="20" t="e">
        <f t="shared" si="76"/>
        <v>#NUM!</v>
      </c>
      <c r="FI101" s="57" t="e">
        <f t="shared" si="77"/>
        <v>#NUM!</v>
      </c>
      <c r="FJ101" s="57">
        <f ca="1">AVERAGE(OFFSET($FI$3,0,0,'Données projet'!$E$16+1,1))-AVERAGE(OFFSET($H$3,0,0,'Données projet'!$E$16+1,1))</f>
        <v>375.34603719604439</v>
      </c>
      <c r="FK101" s="57">
        <f t="shared" si="102"/>
        <v>363.99476973672211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110.8387146234999</v>
      </c>
      <c r="FR101" s="21">
        <f>EXP(-LN(2)/25)*FR100+(1-EXP(-LN(2)/25))/(LN(2)/25)*Calculateur!FM101*Calculateur!FO101*VLOOKUP('Données projet'!$B$16,Paramètres!$A$1:$I$89,3,0)*0.475*44/12</f>
        <v>0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110.8387146234999</v>
      </c>
      <c r="FU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67.030598608233646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-1.1368683772161603E-13</v>
      </c>
      <c r="GA101" s="17">
        <f>FZ101*VLOOKUP('Données projet'!$B$17,Paramètres!$A$1:$I$89,3,0)*VLOOKUP('Données projet'!$B$17,Paramètres!$A$1:$I$89,5,0)</f>
        <v>-6.3550942286383367E-14</v>
      </c>
      <c r="GB101" s="13" t="e">
        <f t="shared" si="103"/>
        <v>#NUM!</v>
      </c>
      <c r="GC101" s="20" t="e">
        <f t="shared" si="79"/>
        <v>#NUM!</v>
      </c>
      <c r="GD101" s="57" t="e">
        <f t="shared" si="80"/>
        <v>#NUM!</v>
      </c>
      <c r="GE101" s="57">
        <f ca="1">AVERAGE(OFFSET($GD$3,0,0,'Données projet'!$E$17+1,1))-AVERAGE(OFFSET($H$3,0,0,'Données projet'!$E$17+1,1))</f>
        <v>414.47327143450701</v>
      </c>
      <c r="GF101" s="57">
        <f t="shared" si="104"/>
        <v>546.83385887302961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125.99690926048946</v>
      </c>
      <c r="GM101" s="21">
        <f>EXP(-LN(2)/25)*GM100+(1-EXP(-LN(2)/25))/(LN(2)/25)*Calculateur!GH101*Calculateur!GJ101*VLOOKUP('Données projet'!$B$17,Paramètres!$A$1:$I$89,3,0)*0.475*44/12</f>
        <v>18.797172869406829</v>
      </c>
      <c r="GN101" s="21">
        <f>EXP(-LN(2)/2)*GN100+(1-EXP(-LN(2)/2))/(LN(2)/2)*GH101*GK101*VLOOKUP('Données projet'!$B$17,Paramètres!$A$1:$I$89,3,0)*0.475*44/12</f>
        <v>9.9055696381154005E-6</v>
      </c>
      <c r="GO101" s="21">
        <f t="shared" si="81"/>
        <v>144.79409203546592</v>
      </c>
      <c r="GP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67.030598608233646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3.2</v>
      </c>
      <c r="GU101" s="12">
        <f>IF('Données projet'!$A$270&gt;35,GU100+GT101-HC100,IF(A101&lt;'Données projet'!$A$270,$GR$205^A101,IF(A101='Données projet'!$A$270,'Données projet'!$B$270,GU100+GT101-HC100)))</f>
        <v>439.5999999999998</v>
      </c>
      <c r="GV101" s="17">
        <f>GU101*VLOOKUP('Données projet'!$B$18,Paramètres!$A$1:$I$89,3,0)*VLOOKUP('Données projet'!$B$18,Paramètres!$A$1:$I$89,5,0)</f>
        <v>240.02159999999989</v>
      </c>
      <c r="GW101" s="13">
        <f t="shared" si="105"/>
        <v>58.444177803094568</v>
      </c>
      <c r="GX101" s="20">
        <f t="shared" si="82"/>
        <v>519.82789634038954</v>
      </c>
      <c r="GY101" s="57">
        <f t="shared" si="83"/>
        <v>802.27342457057966</v>
      </c>
      <c r="GZ101" s="57">
        <f ca="1">AVERAGE(OFFSET($GY$3,0,0,'Données projet'!$E$18+1,1))-AVERAGE(OFFSET($H$3,0,0,'Données projet'!$E$18+1,1))</f>
        <v>381.00532469288714</v>
      </c>
      <c r="HA101" s="57">
        <f t="shared" si="106"/>
        <v>314.875259641757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>
        <f>EXP(-LN(2)/35)*HG100+(1-EXP(-LN(2)/35))/(LN(2)/35)*HC101*HD101*VLOOKUP('Données projet'!$B$18,Paramètres!$A$1:$I$89,3,0)*0.475*44/12</f>
        <v>50.936261520417595</v>
      </c>
      <c r="HH101" s="21">
        <f>EXP(-LN(2)/25)*HH100+(1-EXP(-LN(2)/25))/(LN(2)/25)*Calculateur!HC101*Calculateur!HE101*VLOOKUP('Données projet'!$B$18,Paramètres!$A$1:$I$89,3,0)*0.475*44/12</f>
        <v>12.427687664297435</v>
      </c>
      <c r="HI101" s="21">
        <f>EXP(-LN(2)/2)*HI100+(1-EXP(-LN(2)/2))/(LN(2)/2)*HC101*HF101*VLOOKUP('Données projet'!$B$18,Paramètres!$A$1:$I$89,3,0)*0.475*44/12</f>
        <v>0.31658271492909462</v>
      </c>
      <c r="HJ101" s="22">
        <f t="shared" si="84"/>
        <v>63.68053189964413</v>
      </c>
    </row>
    <row r="102" spans="1:218" x14ac:dyDescent="0.2">
      <c r="A102" s="10">
        <f t="shared" si="85"/>
        <v>99</v>
      </c>
      <c r="B102" s="71">
        <f>'Scénario référence'!$B$16*5+'Scénario référence'!$B$17*0+'Scénario référence'!$B$18*5</f>
        <v>3.3000000000000003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12.100000000000001</v>
      </c>
      <c r="H102" s="65">
        <f t="shared" si="56"/>
        <v>208.26666666666665</v>
      </c>
      <c r="I102" s="6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67.082111083793819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3.6</v>
      </c>
      <c r="N102" s="13">
        <f>IF('Données projet'!$A$36&gt;35,N101+M102-V101,IF(A102&lt;'Données projet'!$A$36,$K$205^A102,IF(A102='Données projet'!$A$36,'Données projet'!$B$36,N101+M102-V101)))</f>
        <v>212.39999999999998</v>
      </c>
      <c r="O102" s="13">
        <f>N102*VLOOKUP('Données projet'!$B$9,Paramètres!$A$1:$I$89,3,0)*VLOOKUP('Données projet'!$B$9,Paramètres!$A$1:$I$89,5,0)</f>
        <v>215.37360000000001</v>
      </c>
      <c r="P102" s="13">
        <f t="shared" si="87"/>
        <v>53.108120144188916</v>
      </c>
      <c r="Q102" s="20">
        <f t="shared" si="107"/>
        <v>467.60566258446232</v>
      </c>
      <c r="R102" s="57">
        <f t="shared" si="55"/>
        <v>750.2400698917063</v>
      </c>
      <c r="S102" s="57">
        <f ca="1">AVERAGE(OFFSET($R$3,0,0,'Données projet'!$E$9+1,1))-AVERAGE(OFFSET($H$3,0,0,'Données projet'!$E$9+1,1))</f>
        <v>332.70145542047612</v>
      </c>
      <c r="T102" s="57">
        <f t="shared" si="88"/>
        <v>172.22433737900428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21.306600384674184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21.306600384674184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67.082111083793819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6.7350000000000021</v>
      </c>
      <c r="AI102" s="13">
        <f>IF('Données projet'!$A$62&gt;35,AI101+AH102-AQ101,IF(A102&lt;'Données projet'!$A$62,$AF$205^A102,IF(A102='Données projet'!$A$62,'Données projet'!$B$62,AI101+AH102-AQ101)))</f>
        <v>271.36000000000013</v>
      </c>
      <c r="AJ102" s="13">
        <f>AI102*VLOOKUP('Données projet'!$B$10,Paramètres!$A$1:$I$89,3,0)*VLOOKUP('Données projet'!$B$10,Paramètres!$A$1:$I$89,5,0)</f>
        <v>245.5265280000001</v>
      </c>
      <c r="AK102" s="13">
        <f t="shared" si="89"/>
        <v>59.627009837498669</v>
      </c>
      <c r="AL102" s="20">
        <f t="shared" si="58"/>
        <v>531.47574506697708</v>
      </c>
      <c r="AM102" s="57">
        <f t="shared" si="59"/>
        <v>814.11015237422112</v>
      </c>
      <c r="AN102" s="57">
        <f ca="1">AVERAGE(OFFSET($AM$3,0,0,'Données projet'!$E$10+1,1))-AVERAGE(OFFSET($H$3,0,0,'Données projet'!$E$10+1,1))</f>
        <v>469.4210143164521</v>
      </c>
      <c r="AO102" s="57">
        <f t="shared" si="90"/>
        <v>308.4508386530556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23.166728592122684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23.166728592122684</v>
      </c>
      <c r="AY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67.082111083793819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7" t="e">
        <f t="shared" si="62"/>
        <v>#NUM!</v>
      </c>
      <c r="BI102" s="57">
        <f ca="1">AVERAGE(OFFSET($BH$3,0,0,'Données projet'!$E$11+1,1))-AVERAGE(OFFSET($H$3,0,0,'Données projet'!$E$11+1,1))</f>
        <v>344.32981377462971</v>
      </c>
      <c r="BJ102" s="57">
        <f t="shared" si="92"/>
        <v>334.42512656625763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79.685210451768981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79.685210451768981</v>
      </c>
      <c r="BT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67.082111083793819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6.6</v>
      </c>
      <c r="BY102" s="12">
        <f>IF('Données projet'!$A$114&gt;35,BY101+BX102-CG101,IF(A102&lt;'Données projet'!$A$114,$BV$205^A102,IF(A102='Données projet'!$A$114,'Données projet'!$B$114,BY101+BX102-CG101)))</f>
        <v>312.40000000000055</v>
      </c>
      <c r="BZ102" s="13">
        <f>BY102*VLOOKUP('Données projet'!$B$12,Paramètres!$A$1:$I$89,3,0)*VLOOKUP('Données projet'!$B$12,Paramètres!$A$1:$I$89,5,0)</f>
        <v>297.27984000000055</v>
      </c>
      <c r="CA102" s="13">
        <f t="shared" si="93"/>
        <v>70.605911509670008</v>
      </c>
      <c r="CB102" s="20">
        <f t="shared" si="64"/>
        <v>640.73435054600952</v>
      </c>
      <c r="CC102" s="57">
        <f t="shared" si="65"/>
        <v>923.36875785325356</v>
      </c>
      <c r="CD102" s="57">
        <f ca="1">AVERAGE(OFFSET($CC$3,0,0,'Données projet'!$E$12+1,1))-AVERAGE(OFFSET($H$3,0,0,'Données projet'!$E$12+1,1))</f>
        <v>498.77732039282807</v>
      </c>
      <c r="CE102" s="57">
        <f t="shared" si="94"/>
        <v>384.57317421826531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54.83519242429734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54.83519242429734</v>
      </c>
      <c r="CO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67.082111083793819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6.7350000000000021</v>
      </c>
      <c r="CT102" s="12">
        <f>IF('Données projet'!$A$140&gt;35,CT101+CS102-DB101,IF(A102&lt;'Données projet'!$A$140,$CQ$205^A102,IF(A102='Données projet'!$A$140,'Données projet'!$B$140,CT101+CS102-DB101)))</f>
        <v>271.36000000000013</v>
      </c>
      <c r="CU102" s="17">
        <f>CT102*VLOOKUP('Données projet'!$B$13,Paramètres!$A$1:$I$89,3,0)*VLOOKUP('Données projet'!$B$13,Paramètres!$A$1:$I$89,5,0)</f>
        <v>182.02828800000009</v>
      </c>
      <c r="CV102" s="13">
        <f t="shared" si="95"/>
        <v>45.7731481711211</v>
      </c>
      <c r="CW102" s="20">
        <f t="shared" si="67"/>
        <v>396.75416799803611</v>
      </c>
      <c r="CX102" s="57">
        <f t="shared" si="68"/>
        <v>679.38857530528003</v>
      </c>
      <c r="CY102" s="57">
        <f ca="1">AVERAGE(OFFSET($CX$3,0,0,'Données projet'!$E$13+1,1))-AVERAGE(OFFSET($H$3,0,0,'Données projet'!$E$13+1,1))</f>
        <v>365.99625753737246</v>
      </c>
      <c r="CZ102" s="57">
        <f t="shared" si="96"/>
        <v>242.84814712692287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21.169596816939698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21.169596816939698</v>
      </c>
      <c r="DJ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67.082111083793819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2.2737367544323206E-13</v>
      </c>
      <c r="DP102" s="17">
        <f>DO102*VLOOKUP('Données projet'!$B$14,Paramètres!$A$1:$I$89,3,0)*VLOOKUP('Données projet'!$B$14,Paramètres!$A$1:$I$89,5,0)</f>
        <v>1.4897523215040565E-13</v>
      </c>
      <c r="DQ102" s="13">
        <f t="shared" si="97"/>
        <v>2.136562777003313E-12</v>
      </c>
      <c r="DR102" s="20">
        <f t="shared" si="70"/>
        <v>3.9806453659427267E-12</v>
      </c>
      <c r="DS102" s="57">
        <f t="shared" si="71"/>
        <v>282.63440730724795</v>
      </c>
      <c r="DT102" s="57">
        <f ca="1">AVERAGE(OFFSET($DS$3,0,0,'Données projet'!$E$14+1,1))-AVERAGE(OFFSET($H$3,0,0,'Données projet'!$E$14+1,1))</f>
        <v>313.79279628660527</v>
      </c>
      <c r="DU102" s="57">
        <f t="shared" si="98"/>
        <v>317.45469955216254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77.421570091649741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77.421570091649741</v>
      </c>
      <c r="EE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67.082111083793819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-1.1368683772161603E-13</v>
      </c>
      <c r="EK102" s="17">
        <f>EJ102*VLOOKUP('Données projet'!$B$15,Paramètres!$A$1:$I$89,3,0)*VLOOKUP('Données projet'!$B$15,Paramètres!$A$1:$I$89,5,0)</f>
        <v>-9.7543306765146564E-14</v>
      </c>
      <c r="EL102" s="13" t="e">
        <f t="shared" si="99"/>
        <v>#NUM!</v>
      </c>
      <c r="EM102" s="20" t="e">
        <f t="shared" si="73"/>
        <v>#NUM!</v>
      </c>
      <c r="EN102" s="57" t="e">
        <f t="shared" si="74"/>
        <v>#NUM!</v>
      </c>
      <c r="EO102" s="57">
        <f ca="1">AVERAGE(OFFSET($EN$3,0,0,'Données projet'!$E$15+1,1))-AVERAGE(OFFSET($H$3,0,0,'Données projet'!$E$15+1,1))</f>
        <v>643.04899298561475</v>
      </c>
      <c r="EP102" s="57">
        <f t="shared" si="100"/>
        <v>474.94999304483031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286.97340163771941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286.97340163771941</v>
      </c>
      <c r="EZ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67.082111083793819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>
        <f>FE102*VLOOKUP('Données projet'!$B$16,Paramètres!$A$1:$I$89,3,0)*VLOOKUP('Données projet'!$B$16,Paramètres!$A$1:$I$89,5,0)</f>
        <v>0</v>
      </c>
      <c r="FG102" s="13" t="e">
        <f t="shared" si="101"/>
        <v>#NUM!</v>
      </c>
      <c r="FH102" s="20" t="e">
        <f t="shared" si="76"/>
        <v>#NUM!</v>
      </c>
      <c r="FI102" s="57" t="e">
        <f t="shared" si="77"/>
        <v>#NUM!</v>
      </c>
      <c r="FJ102" s="57">
        <f ca="1">AVERAGE(OFFSET($FI$3,0,0,'Données projet'!$E$16+1,1))-AVERAGE(OFFSET($H$3,0,0,'Données projet'!$E$16+1,1))</f>
        <v>375.34603719604439</v>
      </c>
      <c r="FK102" s="57">
        <f t="shared" si="102"/>
        <v>363.99476973672211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108.66523503467356</v>
      </c>
      <c r="FR102" s="21">
        <f>EXP(-LN(2)/25)*FR101+(1-EXP(-LN(2)/25))/(LN(2)/25)*Calculateur!FM102*Calculateur!FO102*VLOOKUP('Données projet'!$B$16,Paramètres!$A$1:$I$89,3,0)*0.475*44/12</f>
        <v>0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108.66523503467356</v>
      </c>
      <c r="FU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67.082111083793819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-1.1368683772161603E-13</v>
      </c>
      <c r="GA102" s="17">
        <f>FZ102*VLOOKUP('Données projet'!$B$17,Paramètres!$A$1:$I$89,3,0)*VLOOKUP('Données projet'!$B$17,Paramètres!$A$1:$I$89,5,0)</f>
        <v>-6.3550942286383367E-14</v>
      </c>
      <c r="GB102" s="13" t="e">
        <f t="shared" si="103"/>
        <v>#NUM!</v>
      </c>
      <c r="GC102" s="20" t="e">
        <f t="shared" si="79"/>
        <v>#NUM!</v>
      </c>
      <c r="GD102" s="57" t="e">
        <f t="shared" si="80"/>
        <v>#NUM!</v>
      </c>
      <c r="GE102" s="57">
        <f ca="1">AVERAGE(OFFSET($GD$3,0,0,'Données projet'!$E$17+1,1))-AVERAGE(OFFSET($H$3,0,0,'Données projet'!$E$17+1,1))</f>
        <v>414.47327143450701</v>
      </c>
      <c r="GF102" s="57">
        <f t="shared" si="104"/>
        <v>546.83385887302961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123.52618672041756</v>
      </c>
      <c r="GM102" s="21">
        <f>EXP(-LN(2)/25)*GM101+(1-EXP(-LN(2)/25))/(LN(2)/25)*Calculateur!GH102*Calculateur!GJ102*VLOOKUP('Données projet'!$B$17,Paramètres!$A$1:$I$89,3,0)*0.475*44/12</f>
        <v>18.283163188792539</v>
      </c>
      <c r="GN102" s="21">
        <f>EXP(-LN(2)/2)*GN101+(1-EXP(-LN(2)/2))/(LN(2)/2)*GH102*GK102*VLOOKUP('Données projet'!$B$17,Paramètres!$A$1:$I$89,3,0)*0.475*44/12</f>
        <v>7.0042954626269753E-6</v>
      </c>
      <c r="GO102" s="21">
        <f t="shared" si="81"/>
        <v>141.80935691350555</v>
      </c>
      <c r="GP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67.082111083793819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3.2</v>
      </c>
      <c r="GU102" s="12">
        <f>IF('Données projet'!$A$270&gt;35,GU101+GT102-HC101,IF(A102&lt;'Données projet'!$A$270,$GR$205^A102,IF(A102='Données projet'!$A$270,'Données projet'!$B$270,GU101+GT102-HC101)))</f>
        <v>442.79999999999978</v>
      </c>
      <c r="GV102" s="17">
        <f>GU102*VLOOKUP('Données projet'!$B$18,Paramètres!$A$1:$I$89,3,0)*VLOOKUP('Données projet'!$B$18,Paramètres!$A$1:$I$89,5,0)</f>
        <v>241.76879999999989</v>
      </c>
      <c r="GW102" s="13">
        <f t="shared" si="105"/>
        <v>58.819933627024824</v>
      </c>
      <c r="GX102" s="20">
        <f t="shared" si="82"/>
        <v>523.52537773373467</v>
      </c>
      <c r="GY102" s="57">
        <f t="shared" si="83"/>
        <v>806.1597850409787</v>
      </c>
      <c r="GZ102" s="57">
        <f ca="1">AVERAGE(OFFSET($GY$3,0,0,'Données projet'!$E$18+1,1))-AVERAGE(OFFSET($H$3,0,0,'Données projet'!$E$18+1,1))</f>
        <v>381.00532469288714</v>
      </c>
      <c r="HA102" s="57">
        <f t="shared" si="106"/>
        <v>314.875259641757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>
        <f>EXP(-LN(2)/35)*HG101+(1-EXP(-LN(2)/35))/(LN(2)/35)*HC102*HD102*VLOOKUP('Données projet'!$B$18,Paramètres!$A$1:$I$89,3,0)*0.475*44/12</f>
        <v>49.937432500054015</v>
      </c>
      <c r="HH102" s="21">
        <f>EXP(-LN(2)/25)*HH101+(1-EXP(-LN(2)/25))/(LN(2)/25)*Calculateur!HC102*Calculateur!HE102*VLOOKUP('Données projet'!$B$18,Paramètres!$A$1:$I$89,3,0)*0.475*44/12</f>
        <v>12.087851891573532</v>
      </c>
      <c r="HI102" s="21">
        <f>EXP(-LN(2)/2)*HI101+(1-EXP(-LN(2)/2))/(LN(2)/2)*HC102*HF102*VLOOKUP('Données projet'!$B$18,Paramètres!$A$1:$I$89,3,0)*0.475*44/12</f>
        <v>0.22385778453281047</v>
      </c>
      <c r="HJ102" s="22">
        <f t="shared" si="84"/>
        <v>62.249142176160362</v>
      </c>
    </row>
    <row r="103" spans="1:218" x14ac:dyDescent="0.2">
      <c r="A103" s="10">
        <f t="shared" si="85"/>
        <v>100</v>
      </c>
      <c r="B103" s="71">
        <f>'Scénario référence'!$B$16*5+'Scénario référence'!$B$17*0+'Scénario référence'!$B$18*5</f>
        <v>3.3000000000000003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12.100000000000001</v>
      </c>
      <c r="H103" s="65">
        <f t="shared" si="56"/>
        <v>208.26666666666665</v>
      </c>
      <c r="I103" s="6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67.132729933067651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216</v>
      </c>
      <c r="L103" s="12">
        <f>VLOOKUP(A103,'Données projet'!$A$35:$I$55,9,0)</f>
        <v>3.6</v>
      </c>
      <c r="M103" s="12">
        <f t="array" ref="M103">INDEX(L:L,MIN(IF(ISNUMBER(L103:L299),ROW(L103:L299),"")))</f>
        <v>3.6</v>
      </c>
      <c r="N103" s="13">
        <f>IF('Données projet'!$A$36&gt;35,N102+M103-V102,IF(A103&lt;'Données projet'!$A$36,$K$205^A103,IF(A103='Données projet'!$A$36,'Données projet'!$B$36,N102+M103-V102)))</f>
        <v>215.99999999999997</v>
      </c>
      <c r="O103" s="13">
        <f>N103*VLOOKUP('Données projet'!$B$9,Paramètres!$A$1:$I$89,3,0)*VLOOKUP('Données projet'!$B$9,Paramètres!$A$1:$I$89,5,0)</f>
        <v>219.02399999999997</v>
      </c>
      <c r="P103" s="13">
        <f t="shared" si="87"/>
        <v>53.902702081308355</v>
      </c>
      <c r="Q103" s="20">
        <f t="shared" si="107"/>
        <v>475.34733945827867</v>
      </c>
      <c r="R103" s="57">
        <f t="shared" si="55"/>
        <v>758.16734921286002</v>
      </c>
      <c r="S103" s="57">
        <f ca="1">AVERAGE(OFFSET($R$3,0,0,'Données projet'!$E$9+1,1))-AVERAGE(OFFSET($H$3,0,0,'Données projet'!$E$9+1,1))</f>
        <v>332.70145542047612</v>
      </c>
      <c r="T103" s="57">
        <f t="shared" si="88"/>
        <v>172.22433737900428</v>
      </c>
      <c r="U103" s="15">
        <f>IF(ISNA(VLOOKUP(A103,'Données projet'!$A$35:$I$55,3,0)),0,VLOOKUP(A103,'Données projet'!$A$35:$I$55,3,0))</f>
        <v>16</v>
      </c>
      <c r="V103" s="15">
        <f>IF(ISNA(VLOOKUP(A103,'Données projet'!$A$35:$I$55,4,0)),0,VLOOKUP(A103,'Données projet'!$A$35:$I$55,4,0))</f>
        <v>14</v>
      </c>
      <c r="W103" s="16">
        <f>IF(ISNA(VLOOKUP(A103,'Données projet'!$A$35:$I$55,5,0)),0%,VLOOKUP(A103,'Données projet'!$A$35:$I$55,5,0)*VLOOKUP('Données projet'!$B$9,Paramètres!$A$1:$I$89,7,0))</f>
        <v>0.30099999999999999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25.612461456736511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25.612461456736511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67.132729933067651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6.7350000000000021</v>
      </c>
      <c r="AI103" s="13">
        <f>IF('Données projet'!$A$62&gt;35,AI102+AH103-AQ102,IF(A103&lt;'Données projet'!$A$62,$AF$205^A103,IF(A103='Données projet'!$A$62,'Données projet'!$B$62,AI102+AH103-AQ102)))</f>
        <v>278.09500000000014</v>
      </c>
      <c r="AJ103" s="13">
        <f>AI103*VLOOKUP('Données projet'!$B$10,Paramètres!$A$1:$I$89,3,0)*VLOOKUP('Données projet'!$B$10,Paramètres!$A$1:$I$89,5,0)</f>
        <v>251.62035600000013</v>
      </c>
      <c r="AK103" s="13">
        <f t="shared" si="89"/>
        <v>60.932785131479683</v>
      </c>
      <c r="AL103" s="20">
        <f t="shared" si="58"/>
        <v>544.36338747066077</v>
      </c>
      <c r="AM103" s="57">
        <f t="shared" si="59"/>
        <v>827.18339722524217</v>
      </c>
      <c r="AN103" s="57">
        <f ca="1">AVERAGE(OFFSET($AM$3,0,0,'Données projet'!$E$10+1,1))-AVERAGE(OFFSET($H$3,0,0,'Données projet'!$E$10+1,1))</f>
        <v>469.4210143164521</v>
      </c>
      <c r="AO103" s="57">
        <f t="shared" si="90"/>
        <v>308.4508386530556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22.712443174740347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22.712443174740347</v>
      </c>
      <c r="AY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67.132729933067651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7" t="e">
        <f t="shared" si="62"/>
        <v>#NUM!</v>
      </c>
      <c r="BI103" s="57">
        <f ca="1">AVERAGE(OFFSET($BH$3,0,0,'Données projet'!$E$11+1,1))-AVERAGE(OFFSET($H$3,0,0,'Données projet'!$E$11+1,1))</f>
        <v>344.32981377462971</v>
      </c>
      <c r="BJ103" s="57">
        <f t="shared" si="92"/>
        <v>334.42512656625763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78.122632077988996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78.122632077988996</v>
      </c>
      <c r="BT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67.132729933067651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319</v>
      </c>
      <c r="BW103" s="12">
        <f>VLOOKUP(A103,'Données projet'!$A$113:$I$133,9,0)</f>
        <v>6.6</v>
      </c>
      <c r="BX103" s="12">
        <f t="array" ref="BX103">INDEX(BW:BW,MIN(IF(ISNUMBER(BW103:BW299),ROW(BW103:BW299),"")))</f>
        <v>6.6</v>
      </c>
      <c r="BY103" s="12">
        <f>IF('Données projet'!$A$114&gt;35,BY102+BX103-CG102,IF(A103&lt;'Données projet'!$A$114,$BV$205^A103,IF(A103='Données projet'!$A$114,'Données projet'!$B$114,BY102+BX103-CG102)))</f>
        <v>319.00000000000057</v>
      </c>
      <c r="BZ103" s="13">
        <f>BY103*VLOOKUP('Données projet'!$B$12,Paramètres!$A$1:$I$89,3,0)*VLOOKUP('Données projet'!$B$12,Paramètres!$A$1:$I$89,5,0)</f>
        <v>303.56040000000053</v>
      </c>
      <c r="CA103" s="13">
        <f t="shared" si="93"/>
        <v>71.922346785614806</v>
      </c>
      <c r="CB103" s="20">
        <f t="shared" si="64"/>
        <v>653.9657839849466</v>
      </c>
      <c r="CC103" s="57">
        <f t="shared" si="65"/>
        <v>936.785793739528</v>
      </c>
      <c r="CD103" s="57">
        <f ca="1">AVERAGE(OFFSET($CC$3,0,0,'Données projet'!$E$12+1,1))-AVERAGE(OFFSET($H$3,0,0,'Données projet'!$E$12+1,1))</f>
        <v>498.77732039282807</v>
      </c>
      <c r="CE103" s="57">
        <f t="shared" si="94"/>
        <v>384.57317421826531</v>
      </c>
      <c r="CF103" s="15">
        <f>IF(ISNA(VLOOKUP(A103,'Données projet'!$A$113:$I$133,3,0)),0,VLOOKUP(A103,'Données projet'!$A$113:$I$133,3,0))</f>
        <v>16</v>
      </c>
      <c r="CG103" s="15">
        <f>IF(ISNA(VLOOKUP(A103,'Données projet'!$A$113:$I$133,4,0)),0,VLOOKUP(A103,'Données projet'!$A$113:$I$133,4,0))</f>
        <v>30</v>
      </c>
      <c r="CH103" s="16">
        <f>IF(ISNA(VLOOKUP(A103,'Données projet'!$A$113:$I$133,5,0)),0%,VLOOKUP(A103,'Données projet'!$A$113:$I$133,5,0)*VLOOKUP('Données projet'!$B$12,Paramètres!$A$1:$I$89,7,0))</f>
        <v>0.34400000000000003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64.616192874869597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64.616192874869597</v>
      </c>
      <c r="CO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67.132729933067651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6.7350000000000021</v>
      </c>
      <c r="CT103" s="12">
        <f>IF('Données projet'!$A$140&gt;35,CT102+CS103-DB102,IF(A103&lt;'Données projet'!$A$140,$CQ$205^A103,IF(A103='Données projet'!$A$140,'Données projet'!$B$140,CT102+CS103-DB102)))</f>
        <v>278.09500000000014</v>
      </c>
      <c r="CU103" s="17">
        <f>CT103*VLOOKUP('Données projet'!$B$13,Paramètres!$A$1:$I$89,3,0)*VLOOKUP('Données projet'!$B$13,Paramètres!$A$1:$I$89,5,0)</f>
        <v>186.5461260000001</v>
      </c>
      <c r="CV103" s="13">
        <f t="shared" si="95"/>
        <v>46.775536957217689</v>
      </c>
      <c r="CW103" s="20">
        <f t="shared" si="67"/>
        <v>406.36856298382099</v>
      </c>
      <c r="CX103" s="57">
        <f t="shared" si="68"/>
        <v>689.1885727384024</v>
      </c>
      <c r="CY103" s="57">
        <f ca="1">AVERAGE(OFFSET($CX$3,0,0,'Données projet'!$E$13+1,1))-AVERAGE(OFFSET($H$3,0,0,'Données projet'!$E$13+1,1))</f>
        <v>365.99625753737246</v>
      </c>
      <c r="CZ103" s="57">
        <f t="shared" si="96"/>
        <v>242.84814712692287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20.754473935538599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20.754473935538599</v>
      </c>
      <c r="DJ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67.132729933067651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2.2737367544323206E-13</v>
      </c>
      <c r="DP103" s="17">
        <f>DO103*VLOOKUP('Données projet'!$B$14,Paramètres!$A$1:$I$89,3,0)*VLOOKUP('Données projet'!$B$14,Paramètres!$A$1:$I$89,5,0)</f>
        <v>1.4897523215040565E-13</v>
      </c>
      <c r="DQ103" s="13">
        <f t="shared" si="97"/>
        <v>2.136562777003313E-12</v>
      </c>
      <c r="DR103" s="20">
        <f t="shared" si="70"/>
        <v>3.9806453659427267E-12</v>
      </c>
      <c r="DS103" s="57">
        <f t="shared" si="71"/>
        <v>282.82000975458539</v>
      </c>
      <c r="DT103" s="57">
        <f ca="1">AVERAGE(OFFSET($DS$3,0,0,'Données projet'!$E$14+1,1))-AVERAGE(OFFSET($H$3,0,0,'Données projet'!$E$14+1,1))</f>
        <v>313.79279628660527</v>
      </c>
      <c r="DU103" s="57">
        <f t="shared" si="98"/>
        <v>317.45469955216254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75.903380324647415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75.903380324647415</v>
      </c>
      <c r="EE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67.132729933067651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-1.1368683772161603E-13</v>
      </c>
      <c r="EK103" s="17">
        <f>EJ103*VLOOKUP('Données projet'!$B$15,Paramètres!$A$1:$I$89,3,0)*VLOOKUP('Données projet'!$B$15,Paramètres!$A$1:$I$89,5,0)</f>
        <v>-9.7543306765146564E-14</v>
      </c>
      <c r="EL103" s="13" t="e">
        <f t="shared" si="99"/>
        <v>#NUM!</v>
      </c>
      <c r="EM103" s="20" t="e">
        <f t="shared" si="73"/>
        <v>#NUM!</v>
      </c>
      <c r="EN103" s="57" t="e">
        <f t="shared" si="74"/>
        <v>#NUM!</v>
      </c>
      <c r="EO103" s="57">
        <f ca="1">AVERAGE(OFFSET($EN$3,0,0,'Données projet'!$E$15+1,1))-AVERAGE(OFFSET($H$3,0,0,'Données projet'!$E$15+1,1))</f>
        <v>643.04899298561475</v>
      </c>
      <c r="EP103" s="57">
        <f t="shared" si="100"/>
        <v>474.94999304483031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281.34602826809532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281.34602826809532</v>
      </c>
      <c r="EZ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67.132729933067651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>
        <f>FE103*VLOOKUP('Données projet'!$B$16,Paramètres!$A$1:$I$89,3,0)*VLOOKUP('Données projet'!$B$16,Paramètres!$A$1:$I$89,5,0)</f>
        <v>0</v>
      </c>
      <c r="FG103" s="13" t="e">
        <f t="shared" si="101"/>
        <v>#NUM!</v>
      </c>
      <c r="FH103" s="20" t="e">
        <f t="shared" si="76"/>
        <v>#NUM!</v>
      </c>
      <c r="FI103" s="57" t="e">
        <f t="shared" si="77"/>
        <v>#NUM!</v>
      </c>
      <c r="FJ103" s="57">
        <f ca="1">AVERAGE(OFFSET($FI$3,0,0,'Données projet'!$E$16+1,1))-AVERAGE(OFFSET($H$3,0,0,'Données projet'!$E$16+1,1))</f>
        <v>375.34603719604439</v>
      </c>
      <c r="FK103" s="57">
        <f t="shared" si="102"/>
        <v>363.99476973672211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106.53437605489245</v>
      </c>
      <c r="FR103" s="21">
        <f>EXP(-LN(2)/25)*FR102+(1-EXP(-LN(2)/25))/(LN(2)/25)*Calculateur!FM103*Calculateur!FO103*VLOOKUP('Données projet'!$B$16,Paramètres!$A$1:$I$89,3,0)*0.475*44/12</f>
        <v>0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106.53437605489245</v>
      </c>
      <c r="FU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67.132729933067651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-1.1368683772161603E-13</v>
      </c>
      <c r="GA103" s="17">
        <f>FZ103*VLOOKUP('Données projet'!$B$17,Paramètres!$A$1:$I$89,3,0)*VLOOKUP('Données projet'!$B$17,Paramètres!$A$1:$I$89,5,0)</f>
        <v>-6.3550942286383367E-14</v>
      </c>
      <c r="GB103" s="13" t="e">
        <f t="shared" si="103"/>
        <v>#NUM!</v>
      </c>
      <c r="GC103" s="20" t="e">
        <f t="shared" si="79"/>
        <v>#NUM!</v>
      </c>
      <c r="GD103" s="57" t="e">
        <f t="shared" si="80"/>
        <v>#NUM!</v>
      </c>
      <c r="GE103" s="57">
        <f ca="1">AVERAGE(OFFSET($GD$3,0,0,'Données projet'!$E$17+1,1))-AVERAGE(OFFSET($H$3,0,0,'Données projet'!$E$17+1,1))</f>
        <v>414.47327143450701</v>
      </c>
      <c r="GF103" s="57">
        <f t="shared" si="104"/>
        <v>546.83385887302961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121.10391354236451</v>
      </c>
      <c r="GM103" s="21">
        <f>EXP(-LN(2)/25)*GM102+(1-EXP(-LN(2)/25))/(LN(2)/25)*Calculateur!GH103*Calculateur!GJ103*VLOOKUP('Données projet'!$B$17,Paramètres!$A$1:$I$89,3,0)*0.475*44/12</f>
        <v>17.783209129925243</v>
      </c>
      <c r="GN103" s="21">
        <f>EXP(-LN(2)/2)*GN102+(1-EXP(-LN(2)/2))/(LN(2)/2)*GH103*GK103*VLOOKUP('Données projet'!$B$17,Paramètres!$A$1:$I$89,3,0)*0.475*44/12</f>
        <v>4.9527848190577002E-6</v>
      </c>
      <c r="GO103" s="21">
        <f t="shared" si="81"/>
        <v>138.88712762507458</v>
      </c>
      <c r="GP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67.132729933067651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>
        <f>VLOOKUP(A103,'Données projet'!$A$269:$I$289,2,0)</f>
        <v>446</v>
      </c>
      <c r="GS103" s="12">
        <f>VLOOKUP(A103,'Données projet'!$A$269:$I$289,9,0)</f>
        <v>3.2</v>
      </c>
      <c r="GT103" s="12">
        <f t="array" ref="GT103">INDEX(GS:GS,MIN(IF(ISNUMBER(GS103:GS299),ROW(GS103:GS299),"")))</f>
        <v>3.2</v>
      </c>
      <c r="GU103" s="12">
        <f>IF('Données projet'!$A$270&gt;35,GU102+GT103-HC102,IF(A103&lt;'Données projet'!$A$270,$GR$205^A103,IF(A103='Données projet'!$A$270,'Données projet'!$B$270,GU102+GT103-HC102)))</f>
        <v>445.99999999999977</v>
      </c>
      <c r="GV103" s="17">
        <f>GU103*VLOOKUP('Données projet'!$B$18,Paramètres!$A$1:$I$89,3,0)*VLOOKUP('Données projet'!$B$18,Paramètres!$A$1:$I$89,5,0)</f>
        <v>243.51599999999988</v>
      </c>
      <c r="GW103" s="13">
        <f t="shared" si="105"/>
        <v>59.195373498004209</v>
      </c>
      <c r="GX103" s="20">
        <f t="shared" si="82"/>
        <v>527.22230884235705</v>
      </c>
      <c r="GY103" s="57">
        <f t="shared" si="83"/>
        <v>810.04231859693846</v>
      </c>
      <c r="GZ103" s="57">
        <f ca="1">AVERAGE(OFFSET($GY$3,0,0,'Données projet'!$E$18+1,1))-AVERAGE(OFFSET($H$3,0,0,'Données projet'!$E$18+1,1))</f>
        <v>381.00532469288714</v>
      </c>
      <c r="HA103" s="57">
        <f t="shared" si="106"/>
        <v>314.875259641757</v>
      </c>
      <c r="HB103" s="15">
        <f>IF(ISNA(VLOOKUP(A103,'Données projet'!$A$269:$I$289,3,0)),0,VLOOKUP(A103,'Données projet'!$A$269:$I$289,3,0))</f>
        <v>19</v>
      </c>
      <c r="HC103" s="15">
        <f>IF(ISNA(VLOOKUP(A103,'Données projet'!$A$269:$I$289,4,0)),0,VLOOKUP(A103,'Données projet'!$A$269:$I$289,4,0))</f>
        <v>446</v>
      </c>
      <c r="HD103" s="16">
        <f>IF(ISNA(VLOOKUP(A103,'Données projet'!$A$269:$I$289,5,0)),0%,VLOOKUP(A103,'Données projet'!$A$269:$I$289,5,0)*VLOOKUP('Données projet'!$B$18,Paramètres!$A$1:$I$89,7,0))</f>
        <v>0.48</v>
      </c>
      <c r="HE103" s="16">
        <f>IF(ISNA(VLOOKUP(A103,'Données projet'!$A$269:$I$289,6,0)),0%,VLOOKUP(A103,'Données projet'!$A$269:$I$289,6,0)*VLOOKUP('Données projet'!$B$18,Paramètres!$A$1:$I$89,7,0))</f>
        <v>6.6000000000000003E-2</v>
      </c>
      <c r="HF103" s="16">
        <f>IF(ISNA(VLOOKUP(A103,'Données projet'!$A$269:$I$289,7,0)),0%,VLOOKUP(A103,'Données projet'!$A$269:$I$289,7,0))</f>
        <v>0.09</v>
      </c>
      <c r="HG103" s="21">
        <f>EXP(-LN(2)/35)*HG102+(1-EXP(-LN(2)/35))/(LN(2)/35)*HC103*HD103*VLOOKUP('Données projet'!$B$18,Paramètres!$A$1:$I$89,3,0)*0.475*44/12</f>
        <v>204.01723147434541</v>
      </c>
      <c r="HH103" s="21">
        <f>EXP(-LN(2)/25)*HH102+(1-EXP(-LN(2)/25))/(LN(2)/25)*Calculateur!HC103*Calculateur!HE103*VLOOKUP('Données projet'!$B$18,Paramètres!$A$1:$I$89,3,0)*0.475*44/12</f>
        <v>32.993979763653144</v>
      </c>
      <c r="HI103" s="21">
        <f>EXP(-LN(2)/2)*HI102+(1-EXP(-LN(2)/2))/(LN(2)/2)*HC103*HF103*VLOOKUP('Données projet'!$B$18,Paramètres!$A$1:$I$89,3,0)*0.475*44/12</f>
        <v>24.97279257226548</v>
      </c>
      <c r="HJ103" s="22">
        <f t="shared" si="84"/>
        <v>261.98400381026403</v>
      </c>
    </row>
    <row r="104" spans="1:218" x14ac:dyDescent="0.2">
      <c r="A104" s="10">
        <f t="shared" si="85"/>
        <v>101</v>
      </c>
      <c r="B104" s="71">
        <f>'Scénario référence'!$B$16*5+'Scénario référence'!$B$17*0+'Scénario référence'!$B$18*5</f>
        <v>3.3000000000000003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12.100000000000001</v>
      </c>
      <c r="H104" s="65">
        <f t="shared" si="56"/>
        <v>208.26666666666665</v>
      </c>
      <c r="I104" s="6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67.182470658473392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3.2</v>
      </c>
      <c r="N104" s="13">
        <f>IF('Données projet'!$A$36&gt;35,N103+M104-V103,IF(A104&lt;'Données projet'!$A$36,$K$205^A104,IF(A104='Données projet'!$A$36,'Données projet'!$B$36,N103+M104-V103)))</f>
        <v>205.19999999999996</v>
      </c>
      <c r="O104" s="13">
        <f>N104*VLOOKUP('Données projet'!$B$9,Paramètres!$A$1:$I$89,3,0)*VLOOKUP('Données projet'!$B$9,Paramètres!$A$1:$I$89,5,0)</f>
        <v>208.07279999999994</v>
      </c>
      <c r="P104" s="13">
        <f t="shared" si="87"/>
        <v>51.514218302854317</v>
      </c>
      <c r="Q104" s="20">
        <f t="shared" si="107"/>
        <v>452.11405687747123</v>
      </c>
      <c r="R104" s="57">
        <f t="shared" si="55"/>
        <v>735.11644929187366</v>
      </c>
      <c r="S104" s="57">
        <f ca="1">AVERAGE(OFFSET($R$3,0,0,'Données projet'!$E$9+1,1))-AVERAGE(OFFSET($H$3,0,0,'Données projet'!$E$9+1,1))</f>
        <v>332.70145542047612</v>
      </c>
      <c r="T104" s="57">
        <f t="shared" si="88"/>
        <v>172.22433737900428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25.110216709628848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25.110216709628848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67.182470658473392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6.7350000000000021</v>
      </c>
      <c r="AI104" s="13">
        <f>IF('Données projet'!$A$62&gt;35,AI103+AH104-AQ103,IF(A104&lt;'Données projet'!$A$62,$AF$205^A104,IF(A104='Données projet'!$A$62,'Données projet'!$B$62,AI103+AH104-AQ103)))</f>
        <v>284.83000000000015</v>
      </c>
      <c r="AJ104" s="13">
        <f>AI104*VLOOKUP('Données projet'!$B$10,Paramètres!$A$1:$I$89,3,0)*VLOOKUP('Données projet'!$B$10,Paramètres!$A$1:$I$89,5,0)</f>
        <v>257.71418400000016</v>
      </c>
      <c r="AK104" s="13">
        <f t="shared" si="89"/>
        <v>62.234884228936473</v>
      </c>
      <c r="AL104" s="20">
        <f t="shared" si="58"/>
        <v>557.24462716539801</v>
      </c>
      <c r="AM104" s="57">
        <f t="shared" si="59"/>
        <v>840.24701957980051</v>
      </c>
      <c r="AN104" s="57">
        <f ca="1">AVERAGE(OFFSET($AM$3,0,0,'Données projet'!$E$10+1,1))-AVERAGE(OFFSET($H$3,0,0,'Données projet'!$E$10+1,1))</f>
        <v>469.4210143164521</v>
      </c>
      <c r="AO104" s="57">
        <f t="shared" si="90"/>
        <v>308.4508386530556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22.267066017306135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22.267066017306135</v>
      </c>
      <c r="AY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67.182470658473392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7" t="e">
        <f t="shared" si="62"/>
        <v>#NUM!</v>
      </c>
      <c r="BI104" s="57">
        <f ca="1">AVERAGE(OFFSET($BH$3,0,0,'Données projet'!$E$11+1,1))-AVERAGE(OFFSET($H$3,0,0,'Données projet'!$E$11+1,1))</f>
        <v>344.32981377462971</v>
      </c>
      <c r="BJ104" s="57">
        <f t="shared" si="92"/>
        <v>334.42512656625763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76.590694913040139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76.590694913040139</v>
      </c>
      <c r="BT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67.182470658473392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6.2</v>
      </c>
      <c r="BY104" s="12">
        <f>IF('Données projet'!$A$114&gt;35,BY103+BX104-CG103,IF(A104&lt;'Données projet'!$A$114,$BV$205^A104,IF(A104='Données projet'!$A$114,'Données projet'!$B$114,BY103+BX104-CG103)))</f>
        <v>295.20000000000056</v>
      </c>
      <c r="BZ104" s="13">
        <f>BY104*VLOOKUP('Données projet'!$B$12,Paramètres!$A$1:$I$89,3,0)*VLOOKUP('Données projet'!$B$12,Paramètres!$A$1:$I$89,5,0)</f>
        <v>280.91232000000053</v>
      </c>
      <c r="CA104" s="13">
        <f t="shared" si="93"/>
        <v>67.159771806470744</v>
      </c>
      <c r="CB104" s="20">
        <f t="shared" si="64"/>
        <v>606.22555989627074</v>
      </c>
      <c r="CC104" s="57">
        <f t="shared" si="65"/>
        <v>889.22795231067312</v>
      </c>
      <c r="CD104" s="57">
        <f ca="1">AVERAGE(OFFSET($CC$3,0,0,'Données projet'!$E$12+1,1))-AVERAGE(OFFSET($H$3,0,0,'Données projet'!$E$12+1,1))</f>
        <v>498.77732039282807</v>
      </c>
      <c r="CE104" s="57">
        <f t="shared" si="94"/>
        <v>384.57317421826531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63.349108744579446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63.349108744579446</v>
      </c>
      <c r="CO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67.182470658473392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6.7350000000000021</v>
      </c>
      <c r="CT104" s="12">
        <f>IF('Données projet'!$A$140&gt;35,CT103+CS104-DB103,IF(A104&lt;'Données projet'!$A$140,$CQ$205^A104,IF(A104='Données projet'!$A$140,'Données projet'!$B$140,CT103+CS104-DB103)))</f>
        <v>284.83000000000015</v>
      </c>
      <c r="CU104" s="17">
        <f>CT104*VLOOKUP('Données projet'!$B$13,Paramètres!$A$1:$I$89,3,0)*VLOOKUP('Données projet'!$B$13,Paramètres!$A$1:$I$89,5,0)</f>
        <v>191.06396400000011</v>
      </c>
      <c r="CV104" s="13">
        <f t="shared" si="95"/>
        <v>47.775103681824646</v>
      </c>
      <c r="CW104" s="20">
        <f t="shared" si="67"/>
        <v>415.97804287917808</v>
      </c>
      <c r="CX104" s="57">
        <f t="shared" si="68"/>
        <v>698.98043529358051</v>
      </c>
      <c r="CY104" s="57">
        <f ca="1">AVERAGE(OFFSET($CX$3,0,0,'Données projet'!$E$13+1,1))-AVERAGE(OFFSET($H$3,0,0,'Données projet'!$E$13+1,1))</f>
        <v>365.99625753737246</v>
      </c>
      <c r="CZ104" s="57">
        <f t="shared" si="96"/>
        <v>242.84814712692287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20.347491360641818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20.347491360641818</v>
      </c>
      <c r="DJ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67.182470658473392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2.2737367544323206E-13</v>
      </c>
      <c r="DP104" s="17">
        <f>DO104*VLOOKUP('Données projet'!$B$14,Paramètres!$A$1:$I$89,3,0)*VLOOKUP('Données projet'!$B$14,Paramètres!$A$1:$I$89,5,0)</f>
        <v>1.4897523215040565E-13</v>
      </c>
      <c r="DQ104" s="13">
        <f t="shared" si="97"/>
        <v>2.136562777003313E-12</v>
      </c>
      <c r="DR104" s="20">
        <f t="shared" si="70"/>
        <v>3.9806453659427267E-12</v>
      </c>
      <c r="DS104" s="57">
        <f t="shared" si="71"/>
        <v>283.00239241440642</v>
      </c>
      <c r="DT104" s="57">
        <f ca="1">AVERAGE(OFFSET($DS$3,0,0,'Données projet'!$E$14+1,1))-AVERAGE(OFFSET($H$3,0,0,'Données projet'!$E$14+1,1))</f>
        <v>313.79279628660527</v>
      </c>
      <c r="DU104" s="57">
        <f t="shared" si="98"/>
        <v>317.45469955216254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74.414961332971671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74.414961332971671</v>
      </c>
      <c r="EE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67.182470658473392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-1.1368683772161603E-13</v>
      </c>
      <c r="EK104" s="17">
        <f>EJ104*VLOOKUP('Données projet'!$B$15,Paramètres!$A$1:$I$89,3,0)*VLOOKUP('Données projet'!$B$15,Paramètres!$A$1:$I$89,5,0)</f>
        <v>-9.7543306765146564E-14</v>
      </c>
      <c r="EL104" s="13" t="e">
        <f t="shared" si="99"/>
        <v>#NUM!</v>
      </c>
      <c r="EM104" s="20" t="e">
        <f t="shared" si="73"/>
        <v>#NUM!</v>
      </c>
      <c r="EN104" s="57" t="e">
        <f t="shared" si="74"/>
        <v>#NUM!</v>
      </c>
      <c r="EO104" s="57">
        <f ca="1">AVERAGE(OFFSET($EN$3,0,0,'Données projet'!$E$15+1,1))-AVERAGE(OFFSET($H$3,0,0,'Données projet'!$E$15+1,1))</f>
        <v>643.04899298561475</v>
      </c>
      <c r="EP104" s="57">
        <f t="shared" si="100"/>
        <v>474.94999304483031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275.82900425789074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275.82900425789074</v>
      </c>
      <c r="EZ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67.182470658473392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>
        <f>FE104*VLOOKUP('Données projet'!$B$16,Paramètres!$A$1:$I$89,3,0)*VLOOKUP('Données projet'!$B$16,Paramètres!$A$1:$I$89,5,0)</f>
        <v>0</v>
      </c>
      <c r="FG104" s="13" t="e">
        <f t="shared" si="101"/>
        <v>#NUM!</v>
      </c>
      <c r="FH104" s="20" t="e">
        <f t="shared" si="76"/>
        <v>#NUM!</v>
      </c>
      <c r="FI104" s="57" t="e">
        <f t="shared" si="77"/>
        <v>#NUM!</v>
      </c>
      <c r="FJ104" s="57">
        <f ca="1">AVERAGE(OFFSET($FI$3,0,0,'Données projet'!$E$16+1,1))-AVERAGE(OFFSET($H$3,0,0,'Données projet'!$E$16+1,1))</f>
        <v>375.34603719604439</v>
      </c>
      <c r="FK104" s="57">
        <f t="shared" si="102"/>
        <v>363.99476973672211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104.4453019200092</v>
      </c>
      <c r="FR104" s="21">
        <f>EXP(-LN(2)/25)*FR103+(1-EXP(-LN(2)/25))/(LN(2)/25)*Calculateur!FM104*Calculateur!FO104*VLOOKUP('Données projet'!$B$16,Paramètres!$A$1:$I$89,3,0)*0.475*44/12</f>
        <v>0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104.4453019200092</v>
      </c>
      <c r="FU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67.182470658473392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-1.1368683772161603E-13</v>
      </c>
      <c r="GA104" s="17">
        <f>FZ104*VLOOKUP('Données projet'!$B$17,Paramètres!$A$1:$I$89,3,0)*VLOOKUP('Données projet'!$B$17,Paramètres!$A$1:$I$89,5,0)</f>
        <v>-6.3550942286383367E-14</v>
      </c>
      <c r="GB104" s="13" t="e">
        <f t="shared" si="103"/>
        <v>#NUM!</v>
      </c>
      <c r="GC104" s="20" t="e">
        <f t="shared" si="79"/>
        <v>#NUM!</v>
      </c>
      <c r="GD104" s="57" t="e">
        <f t="shared" si="80"/>
        <v>#NUM!</v>
      </c>
      <c r="GE104" s="57">
        <f ca="1">AVERAGE(OFFSET($GD$3,0,0,'Données projet'!$E$17+1,1))-AVERAGE(OFFSET($H$3,0,0,'Données projet'!$E$17+1,1))</f>
        <v>414.47327143450701</v>
      </c>
      <c r="GF104" s="57">
        <f t="shared" si="104"/>
        <v>546.83385887302961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118.72913966389233</v>
      </c>
      <c r="GM104" s="21">
        <f>EXP(-LN(2)/25)*GM103+(1-EXP(-LN(2)/25))/(LN(2)/25)*Calculateur!GH104*Calculateur!GJ104*VLOOKUP('Données projet'!$B$17,Paramètres!$A$1:$I$89,3,0)*0.475*44/12</f>
        <v>17.296926341089115</v>
      </c>
      <c r="GN104" s="21">
        <f>EXP(-LN(2)/2)*GN103+(1-EXP(-LN(2)/2))/(LN(2)/2)*GH104*GK104*VLOOKUP('Données projet'!$B$17,Paramètres!$A$1:$I$89,3,0)*0.475*44/12</f>
        <v>3.5021477313134877E-6</v>
      </c>
      <c r="GO104" s="21">
        <f t="shared" si="81"/>
        <v>136.02606950712917</v>
      </c>
      <c r="GP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67.182470658473392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-2.2737367544323206E-13</v>
      </c>
      <c r="GV104" s="17">
        <f>GU104*VLOOKUP('Données projet'!$B$18,Paramètres!$A$1:$I$89,3,0)*VLOOKUP('Données projet'!$B$18,Paramètres!$A$1:$I$89,5,0)</f>
        <v>-1.2414602679200471E-13</v>
      </c>
      <c r="GW104" s="13" t="e">
        <f t="shared" si="105"/>
        <v>#NUM!</v>
      </c>
      <c r="GX104" s="20" t="e">
        <f t="shared" si="82"/>
        <v>#NUM!</v>
      </c>
      <c r="GY104" s="57" t="e">
        <f t="shared" si="83"/>
        <v>#NUM!</v>
      </c>
      <c r="GZ104" s="57">
        <f ca="1">AVERAGE(OFFSET($GY$3,0,0,'Données projet'!$E$18+1,1))-AVERAGE(OFFSET($H$3,0,0,'Données projet'!$E$18+1,1))</f>
        <v>381.00532469288714</v>
      </c>
      <c r="HA104" s="57">
        <f t="shared" si="106"/>
        <v>314.875259641757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>
        <f>EXP(-LN(2)/35)*HG103+(1-EXP(-LN(2)/35))/(LN(2)/35)*HC104*HD104*VLOOKUP('Données projet'!$B$18,Paramètres!$A$1:$I$89,3,0)*0.475*44/12</f>
        <v>200.01657800335744</v>
      </c>
      <c r="HH104" s="21">
        <f>EXP(-LN(2)/25)*HH103+(1-EXP(-LN(2)/25))/(LN(2)/25)*Calculateur!HC104*Calculateur!HE104*VLOOKUP('Données projet'!$B$18,Paramètres!$A$1:$I$89,3,0)*0.475*44/12</f>
        <v>32.09175765193806</v>
      </c>
      <c r="HI104" s="21">
        <f>EXP(-LN(2)/2)*HI103+(1-EXP(-LN(2)/2))/(LN(2)/2)*HC104*HF104*VLOOKUP('Données projet'!$B$18,Paramètres!$A$1:$I$89,3,0)*0.475*44/12</f>
        <v>17.658430973013967</v>
      </c>
      <c r="HJ104" s="22">
        <f t="shared" si="84"/>
        <v>249.76676662830945</v>
      </c>
    </row>
    <row r="105" spans="1:218" x14ac:dyDescent="0.2">
      <c r="A105" s="10">
        <f t="shared" si="85"/>
        <v>102</v>
      </c>
      <c r="B105" s="71">
        <f>'Scénario référence'!$B$16*5+'Scénario référence'!$B$17*0+'Scénario référence'!$B$18*5</f>
        <v>3.3000000000000003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12.100000000000001</v>
      </c>
      <c r="H105" s="65">
        <f t="shared" si="56"/>
        <v>208.26666666666665</v>
      </c>
      <c r="I105" s="6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67.231348493496938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3.2</v>
      </c>
      <c r="N105" s="13">
        <f>IF('Données projet'!$A$36&gt;35,N104+M105-V104,IF(A105&lt;'Données projet'!$A$36,$K$205^A105,IF(A105='Données projet'!$A$36,'Données projet'!$B$36,N104+M105-V104)))</f>
        <v>208.39999999999995</v>
      </c>
      <c r="O105" s="13">
        <f>N105*VLOOKUP('Données projet'!$B$9,Paramètres!$A$1:$I$89,3,0)*VLOOKUP('Données projet'!$B$9,Paramètres!$A$1:$I$89,5,0)</f>
        <v>211.31759999999997</v>
      </c>
      <c r="P105" s="13">
        <f t="shared" si="87"/>
        <v>52.223409552263242</v>
      </c>
      <c r="Q105" s="20">
        <f t="shared" si="107"/>
        <v>459.00059163685847</v>
      </c>
      <c r="R105" s="57">
        <f t="shared" si="55"/>
        <v>742.18220277968055</v>
      </c>
      <c r="S105" s="57">
        <f ca="1">AVERAGE(OFFSET($R$3,0,0,'Données projet'!$E$9+1,1))-AVERAGE(OFFSET($H$3,0,0,'Données projet'!$E$9+1,1))</f>
        <v>332.70145542047612</v>
      </c>
      <c r="T105" s="57">
        <f t="shared" si="88"/>
        <v>172.22433737900428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24.617820675672917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24.617820675672917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67.231348493496938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6.7350000000000021</v>
      </c>
      <c r="AI105" s="13">
        <f>IF('Données projet'!$A$62&gt;35,AI104+AH105-AQ104,IF(A105&lt;'Données projet'!$A$62,$AF$205^A105,IF(A105='Données projet'!$A$62,'Données projet'!$B$62,AI104+AH105-AQ104)))</f>
        <v>291.56500000000017</v>
      </c>
      <c r="AJ105" s="13">
        <f>AI105*VLOOKUP('Données projet'!$B$10,Paramètres!$A$1:$I$89,3,0)*VLOOKUP('Données projet'!$B$10,Paramètres!$A$1:$I$89,5,0)</f>
        <v>263.80801200000013</v>
      </c>
      <c r="AK105" s="13">
        <f t="shared" si="89"/>
        <v>63.533404059088696</v>
      </c>
      <c r="AL105" s="20">
        <f t="shared" si="58"/>
        <v>570.1196329695797</v>
      </c>
      <c r="AM105" s="57">
        <f t="shared" si="59"/>
        <v>853.30124411240172</v>
      </c>
      <c r="AN105" s="57">
        <f ca="1">AVERAGE(OFFSET($AM$3,0,0,'Données projet'!$E$10+1,1))-AVERAGE(OFFSET($H$3,0,0,'Données projet'!$E$10+1,1))</f>
        <v>469.4210143164521</v>
      </c>
      <c r="AO105" s="57">
        <f t="shared" si="90"/>
        <v>308.4508386530556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21.830422434275963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21.830422434275963</v>
      </c>
      <c r="AY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67.231348493496938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7" t="e">
        <f t="shared" si="62"/>
        <v>#NUM!</v>
      </c>
      <c r="BI105" s="57">
        <f ca="1">AVERAGE(OFFSET($BH$3,0,0,'Données projet'!$E$11+1,1))-AVERAGE(OFFSET($H$3,0,0,'Données projet'!$E$11+1,1))</f>
        <v>344.32981377462971</v>
      </c>
      <c r="BJ105" s="57">
        <f t="shared" si="92"/>
        <v>334.42512656625763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75.088798101506526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75.088798101506526</v>
      </c>
      <c r="BT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67.231348493496938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6.2</v>
      </c>
      <c r="BY105" s="12">
        <f>IF('Données projet'!$A$114&gt;35,BY104+BX105-CG104,IF(A105&lt;'Données projet'!$A$114,$BV$205^A105,IF(A105='Données projet'!$A$114,'Données projet'!$B$114,BY104+BX105-CG104)))</f>
        <v>301.40000000000055</v>
      </c>
      <c r="BZ105" s="13">
        <f>BY105*VLOOKUP('Données projet'!$B$12,Paramètres!$A$1:$I$89,3,0)*VLOOKUP('Données projet'!$B$12,Paramètres!$A$1:$I$89,5,0)</f>
        <v>286.81224000000054</v>
      </c>
      <c r="CA105" s="13">
        <f t="shared" si="93"/>
        <v>68.404610777929591</v>
      </c>
      <c r="CB105" s="20">
        <f t="shared" si="64"/>
        <v>618.66934843822833</v>
      </c>
      <c r="CC105" s="57">
        <f t="shared" si="65"/>
        <v>901.85095958105035</v>
      </c>
      <c r="CD105" s="57">
        <f ca="1">AVERAGE(OFFSET($CC$3,0,0,'Données projet'!$E$12+1,1))-AVERAGE(OFFSET($H$3,0,0,'Données projet'!$E$12+1,1))</f>
        <v>498.77732039282807</v>
      </c>
      <c r="CE105" s="57">
        <f t="shared" si="94"/>
        <v>384.57317421826531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62.106871361239278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62.106871361239278</v>
      </c>
      <c r="CO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67.231348493496938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6.7350000000000021</v>
      </c>
      <c r="CT105" s="12">
        <f>IF('Données projet'!$A$140&gt;35,CT104+CS105-DB104,IF(A105&lt;'Données projet'!$A$140,$CQ$205^A105,IF(A105='Données projet'!$A$140,'Données projet'!$B$140,CT104+CS105-DB104)))</f>
        <v>291.56500000000017</v>
      </c>
      <c r="CU105" s="17">
        <f>CT105*VLOOKUP('Données projet'!$B$13,Paramètres!$A$1:$I$89,3,0)*VLOOKUP('Données projet'!$B$13,Paramètres!$A$1:$I$89,5,0)</f>
        <v>195.58180200000012</v>
      </c>
      <c r="CV105" s="13">
        <f t="shared" si="95"/>
        <v>48.771922753427909</v>
      </c>
      <c r="CW105" s="20">
        <f t="shared" si="67"/>
        <v>425.58273727888712</v>
      </c>
      <c r="CX105" s="57">
        <f t="shared" si="68"/>
        <v>708.7643484217092</v>
      </c>
      <c r="CY105" s="57">
        <f ca="1">AVERAGE(OFFSET($CX$3,0,0,'Données projet'!$E$13+1,1))-AVERAGE(OFFSET($H$3,0,0,'Données projet'!$E$13+1,1))</f>
        <v>365.99625753737246</v>
      </c>
      <c r="CZ105" s="57">
        <f t="shared" si="96"/>
        <v>242.84814712692287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19.948489465803902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19.948489465803902</v>
      </c>
      <c r="DJ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67.231348493496938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2.2737367544323206E-13</v>
      </c>
      <c r="DP105" s="17">
        <f>DO105*VLOOKUP('Données projet'!$B$14,Paramètres!$A$1:$I$89,3,0)*VLOOKUP('Données projet'!$B$14,Paramètres!$A$1:$I$89,5,0)</f>
        <v>1.4897523215040565E-13</v>
      </c>
      <c r="DQ105" s="13">
        <f t="shared" si="97"/>
        <v>2.136562777003313E-12</v>
      </c>
      <c r="DR105" s="20">
        <f t="shared" si="70"/>
        <v>3.9806453659427267E-12</v>
      </c>
      <c r="DS105" s="57">
        <f t="shared" si="71"/>
        <v>283.18161114282606</v>
      </c>
      <c r="DT105" s="57">
        <f ca="1">AVERAGE(OFFSET($DS$3,0,0,'Données projet'!$E$14+1,1))-AVERAGE(OFFSET($H$3,0,0,'Données projet'!$E$14+1,1))</f>
        <v>313.79279628660527</v>
      </c>
      <c r="DU105" s="57">
        <f t="shared" si="98"/>
        <v>317.45469955216254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72.95572932987676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72.95572932987676</v>
      </c>
      <c r="EE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67.231348493496938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-1.1368683772161603E-13</v>
      </c>
      <c r="EK105" s="17">
        <f>EJ105*VLOOKUP('Données projet'!$B$15,Paramètres!$A$1:$I$89,3,0)*VLOOKUP('Données projet'!$B$15,Paramètres!$A$1:$I$89,5,0)</f>
        <v>-9.7543306765146564E-14</v>
      </c>
      <c r="EL105" s="13" t="e">
        <f t="shared" si="99"/>
        <v>#NUM!</v>
      </c>
      <c r="EM105" s="20" t="e">
        <f t="shared" si="73"/>
        <v>#NUM!</v>
      </c>
      <c r="EN105" s="57" t="e">
        <f t="shared" si="74"/>
        <v>#NUM!</v>
      </c>
      <c r="EO105" s="57">
        <f ca="1">AVERAGE(OFFSET($EN$3,0,0,'Données projet'!$E$15+1,1))-AVERAGE(OFFSET($H$3,0,0,'Données projet'!$E$15+1,1))</f>
        <v>643.04899298561475</v>
      </c>
      <c r="EP105" s="57">
        <f t="shared" si="100"/>
        <v>474.94999304483031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270.42016572347387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270.42016572347387</v>
      </c>
      <c r="EZ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67.231348493496938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>
        <f>FE105*VLOOKUP('Données projet'!$B$16,Paramètres!$A$1:$I$89,3,0)*VLOOKUP('Données projet'!$B$16,Paramètres!$A$1:$I$89,5,0)</f>
        <v>0</v>
      </c>
      <c r="FG105" s="13" t="e">
        <f t="shared" si="101"/>
        <v>#NUM!</v>
      </c>
      <c r="FH105" s="20" t="e">
        <f t="shared" si="76"/>
        <v>#NUM!</v>
      </c>
      <c r="FI105" s="57" t="e">
        <f t="shared" si="77"/>
        <v>#NUM!</v>
      </c>
      <c r="FJ105" s="57">
        <f ca="1">AVERAGE(OFFSET($FI$3,0,0,'Données projet'!$E$16+1,1))-AVERAGE(OFFSET($H$3,0,0,'Données projet'!$E$16+1,1))</f>
        <v>375.34603719604439</v>
      </c>
      <c r="FK105" s="57">
        <f t="shared" si="102"/>
        <v>363.99476973672211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102.39719325470161</v>
      </c>
      <c r="FR105" s="21">
        <f>EXP(-LN(2)/25)*FR104+(1-EXP(-LN(2)/25))/(LN(2)/25)*Calculateur!FM105*Calculateur!FO105*VLOOKUP('Données projet'!$B$16,Paramètres!$A$1:$I$89,3,0)*0.475*44/12</f>
        <v>0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102.39719325470161</v>
      </c>
      <c r="FU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67.231348493496938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-1.1368683772161603E-13</v>
      </c>
      <c r="GA105" s="17">
        <f>FZ105*VLOOKUP('Données projet'!$B$17,Paramètres!$A$1:$I$89,3,0)*VLOOKUP('Données projet'!$B$17,Paramètres!$A$1:$I$89,5,0)</f>
        <v>-6.3550942286383367E-14</v>
      </c>
      <c r="GB105" s="13" t="e">
        <f t="shared" si="103"/>
        <v>#NUM!</v>
      </c>
      <c r="GC105" s="20" t="e">
        <f t="shared" si="79"/>
        <v>#NUM!</v>
      </c>
      <c r="GD105" s="57" t="e">
        <f t="shared" si="80"/>
        <v>#NUM!</v>
      </c>
      <c r="GE105" s="57">
        <f ca="1">AVERAGE(OFFSET($GD$3,0,0,'Données projet'!$E$17+1,1))-AVERAGE(OFFSET($H$3,0,0,'Données projet'!$E$17+1,1))</f>
        <v>414.47327143450701</v>
      </c>
      <c r="GF105" s="57">
        <f t="shared" si="104"/>
        <v>546.83385887302961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116.40093365270795</v>
      </c>
      <c r="GM105" s="21">
        <f>EXP(-LN(2)/25)*GM104+(1-EXP(-LN(2)/25))/(LN(2)/25)*Calculateur!GH105*Calculateur!GJ105*VLOOKUP('Données projet'!$B$17,Paramètres!$A$1:$I$89,3,0)*0.475*44/12</f>
        <v>16.82394098068621</v>
      </c>
      <c r="GN105" s="21">
        <f>EXP(-LN(2)/2)*GN104+(1-EXP(-LN(2)/2))/(LN(2)/2)*GH105*GK105*VLOOKUP('Données projet'!$B$17,Paramètres!$A$1:$I$89,3,0)*0.475*44/12</f>
        <v>2.4763924095288501E-6</v>
      </c>
      <c r="GO105" s="21">
        <f t="shared" si="81"/>
        <v>133.22487710978658</v>
      </c>
      <c r="GP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67.231348493496938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-2.2737367544323206E-13</v>
      </c>
      <c r="GV105" s="17">
        <f>GU105*VLOOKUP('Données projet'!$B$18,Paramètres!$A$1:$I$89,3,0)*VLOOKUP('Données projet'!$B$18,Paramètres!$A$1:$I$89,5,0)</f>
        <v>-1.2414602679200471E-13</v>
      </c>
      <c r="GW105" s="13" t="e">
        <f t="shared" si="105"/>
        <v>#NUM!</v>
      </c>
      <c r="GX105" s="20" t="e">
        <f t="shared" si="82"/>
        <v>#NUM!</v>
      </c>
      <c r="GY105" s="57" t="e">
        <f t="shared" si="83"/>
        <v>#NUM!</v>
      </c>
      <c r="GZ105" s="57">
        <f ca="1">AVERAGE(OFFSET($GY$3,0,0,'Données projet'!$E$18+1,1))-AVERAGE(OFFSET($H$3,0,0,'Données projet'!$E$18+1,1))</f>
        <v>381.00532469288714</v>
      </c>
      <c r="HA105" s="57">
        <f t="shared" si="106"/>
        <v>314.875259641757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>
        <f>EXP(-LN(2)/35)*HG104+(1-EXP(-LN(2)/35))/(LN(2)/35)*HC105*HD105*VLOOKUP('Données projet'!$B$18,Paramètres!$A$1:$I$89,3,0)*0.475*44/12</f>
        <v>196.09437490677786</v>
      </c>
      <c r="HH105" s="21">
        <f>EXP(-LN(2)/25)*HH104+(1-EXP(-LN(2)/25))/(LN(2)/25)*Calculateur!HC105*Calculateur!HE105*VLOOKUP('Données projet'!$B$18,Paramètres!$A$1:$I$89,3,0)*0.475*44/12</f>
        <v>31.214206851313627</v>
      </c>
      <c r="HI105" s="21">
        <f>EXP(-LN(2)/2)*HI104+(1-EXP(-LN(2)/2))/(LN(2)/2)*HC105*HF105*VLOOKUP('Données projet'!$B$18,Paramètres!$A$1:$I$89,3,0)*0.475*44/12</f>
        <v>12.486396286132742</v>
      </c>
      <c r="HJ105" s="22">
        <f t="shared" si="84"/>
        <v>239.79497804422422</v>
      </c>
    </row>
    <row r="106" spans="1:218" x14ac:dyDescent="0.2">
      <c r="A106" s="10">
        <f t="shared" si="85"/>
        <v>103</v>
      </c>
      <c r="B106" s="71">
        <f>'Scénario référence'!$B$16*5+'Scénario référence'!$B$17*0+'Scénario référence'!$B$18*5</f>
        <v>3.3000000000000003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12.100000000000001</v>
      </c>
      <c r="H106" s="65">
        <f t="shared" si="56"/>
        <v>208.26666666666665</v>
      </c>
      <c r="I106" s="6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67.279378407357285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3.2</v>
      </c>
      <c r="N106" s="13">
        <f>IF('Données projet'!$A$36&gt;35,N105+M106-V105,IF(A106&lt;'Données projet'!$A$36,$K$205^A106,IF(A106='Données projet'!$A$36,'Données projet'!$B$36,N105+M106-V105)))</f>
        <v>211.59999999999994</v>
      </c>
      <c r="O106" s="13">
        <f>N106*VLOOKUP('Données projet'!$B$9,Paramètres!$A$1:$I$89,3,0)*VLOOKUP('Données projet'!$B$9,Paramètres!$A$1:$I$89,5,0)</f>
        <v>214.56239999999994</v>
      </c>
      <c r="P106" s="13">
        <f t="shared" si="87"/>
        <v>52.931334320900206</v>
      </c>
      <c r="Q106" s="20">
        <f t="shared" si="107"/>
        <v>465.88492060890104</v>
      </c>
      <c r="R106" s="57">
        <f t="shared" si="55"/>
        <v>749.24264143587777</v>
      </c>
      <c r="S106" s="57">
        <f ca="1">AVERAGE(OFFSET($R$3,0,0,'Données projet'!$E$9+1,1))-AVERAGE(OFFSET($H$3,0,0,'Données projet'!$E$9+1,1))</f>
        <v>332.70145542047612</v>
      </c>
      <c r="T106" s="57">
        <f t="shared" si="88"/>
        <v>172.22433737900428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24.135080227610935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24.135080227610935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67.279378407357285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>
        <f>VLOOKUP(A106,'Données projet'!$A$61:$I$81,2,0)</f>
        <v>298.3</v>
      </c>
      <c r="AG106" s="12">
        <f>VLOOKUP(A106,'Données projet'!$A$61:$I$81,9,0)</f>
        <v>6.7350000000000021</v>
      </c>
      <c r="AH106" s="12">
        <f t="array" ref="AH106">INDEX(AG:AG,MIN(IF(ISNUMBER(AG106:AG302),ROW(AG106:AG302),"")))</f>
        <v>6.7350000000000021</v>
      </c>
      <c r="AI106" s="13">
        <f>IF('Données projet'!$A$62&gt;35,AI105+AH106-AQ105,IF(A106&lt;'Données projet'!$A$62,$AF$205^A106,IF(A106='Données projet'!$A$62,'Données projet'!$B$62,AI105+AH106-AQ105)))</f>
        <v>298.30000000000018</v>
      </c>
      <c r="AJ106" s="13">
        <f>AI106*VLOOKUP('Données projet'!$B$10,Paramètres!$A$1:$I$89,3,0)*VLOOKUP('Données projet'!$B$10,Paramètres!$A$1:$I$89,5,0)</f>
        <v>269.90184000000016</v>
      </c>
      <c r="AK106" s="13">
        <f t="shared" si="89"/>
        <v>64.82843681760346</v>
      </c>
      <c r="AL106" s="20">
        <f t="shared" si="58"/>
        <v>582.98856545732622</v>
      </c>
      <c r="AM106" s="57">
        <f t="shared" si="59"/>
        <v>866.34628628430301</v>
      </c>
      <c r="AN106" s="57">
        <f ca="1">AVERAGE(OFFSET($AM$3,0,0,'Données projet'!$E$10+1,1))-AVERAGE(OFFSET($H$3,0,0,'Données projet'!$E$10+1,1))</f>
        <v>469.4210143164521</v>
      </c>
      <c r="AO106" s="57">
        <f t="shared" si="90"/>
        <v>308.4508386530556</v>
      </c>
      <c r="AP106" s="15">
        <f>IF(ISNA(VLOOKUP(A106,'Données projet'!$A$61:$I$81,3,0)),0,VLOOKUP(A106,'Données projet'!$A$61:$I$81,3,0))</f>
        <v>8</v>
      </c>
      <c r="AQ106" s="15">
        <f>IF(ISNA(VLOOKUP(A106,'Données projet'!$A$61:$I$81,4,0)),0,VLOOKUP(A106,'Données projet'!$A$61:$I$81,4,0))</f>
        <v>50.51</v>
      </c>
      <c r="AR106" s="16">
        <f>IF(ISNA(VLOOKUP(A106,'Données projet'!$A$61:$I$81,5,0)),0%,VLOOKUP(A106,'Données projet'!$A$61:$I$81,5,0)*VLOOKUP('Données projet'!$B$10,Paramètres!$A$1:$I$89,7,0))</f>
        <v>0.215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32.264484534722278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32.264484534722278</v>
      </c>
      <c r="AY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67.279378407357285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7" t="e">
        <f t="shared" si="62"/>
        <v>#NUM!</v>
      </c>
      <c r="BI106" s="57">
        <f ca="1">AVERAGE(OFFSET($BH$3,0,0,'Données projet'!$E$11+1,1))-AVERAGE(OFFSET($H$3,0,0,'Données projet'!$E$11+1,1))</f>
        <v>344.32981377462971</v>
      </c>
      <c r="BJ106" s="57">
        <f t="shared" si="92"/>
        <v>334.42512656625763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73.616352570380485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73.616352570380485</v>
      </c>
      <c r="BT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67.279378407357285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6.2</v>
      </c>
      <c r="BY106" s="12">
        <f>IF('Données projet'!$A$114&gt;35,BY105+BX106-CG105,IF(A106&lt;'Données projet'!$A$114,$BV$205^A106,IF(A106='Données projet'!$A$114,'Données projet'!$B$114,BY105+BX106-CG105)))</f>
        <v>307.60000000000053</v>
      </c>
      <c r="BZ106" s="13">
        <f>BY106*VLOOKUP('Données projet'!$B$12,Paramètres!$A$1:$I$89,3,0)*VLOOKUP('Données projet'!$B$12,Paramètres!$A$1:$I$89,5,0)</f>
        <v>292.71216000000049</v>
      </c>
      <c r="CA106" s="13">
        <f t="shared" si="93"/>
        <v>69.646472418275522</v>
      </c>
      <c r="CB106" s="20">
        <f t="shared" si="64"/>
        <v>631.10795146183068</v>
      </c>
      <c r="CC106" s="57">
        <f t="shared" si="65"/>
        <v>914.46567228880735</v>
      </c>
      <c r="CD106" s="57">
        <f ca="1">AVERAGE(OFFSET($CC$3,0,0,'Données projet'!$E$12+1,1))-AVERAGE(OFFSET($H$3,0,0,'Données projet'!$E$12+1,1))</f>
        <v>498.77732039282807</v>
      </c>
      <c r="CE106" s="57">
        <f t="shared" si="94"/>
        <v>384.57317421826531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60.888993495296425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60.888993495296425</v>
      </c>
      <c r="CO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67.279378407357285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>
        <f>VLOOKUP(A106,'Données projet'!$A$139:$I$159,2,0)</f>
        <v>298.3</v>
      </c>
      <c r="CR106" s="12">
        <f>VLOOKUP(A106,'Données projet'!$A$139:$I$159,9,0)</f>
        <v>6.7350000000000021</v>
      </c>
      <c r="CS106" s="12">
        <f t="array" ref="CS106">INDEX(CR:CR,MIN(IF(ISNUMBER(CR106:CR302),ROW(CR106:CR302),"")))</f>
        <v>6.7350000000000021</v>
      </c>
      <c r="CT106" s="12">
        <f>IF('Données projet'!$A$140&gt;35,CT105+CS106-DB105,IF(A106&lt;'Données projet'!$A$140,$CQ$205^A106,IF(A106='Données projet'!$A$140,'Données projet'!$B$140,CT105+CS106-DB105)))</f>
        <v>298.30000000000018</v>
      </c>
      <c r="CU106" s="17">
        <f>CT106*VLOOKUP('Données projet'!$B$13,Paramètres!$A$1:$I$89,3,0)*VLOOKUP('Données projet'!$B$13,Paramètres!$A$1:$I$89,5,0)</f>
        <v>200.09964000000011</v>
      </c>
      <c r="CV106" s="13">
        <f t="shared" si="95"/>
        <v>49.76606494676448</v>
      </c>
      <c r="CW106" s="20">
        <f t="shared" si="67"/>
        <v>435.18276944894836</v>
      </c>
      <c r="CX106" s="57">
        <f t="shared" si="68"/>
        <v>718.54049027592509</v>
      </c>
      <c r="CY106" s="57">
        <f ca="1">AVERAGE(OFFSET($CX$3,0,0,'Données projet'!$E$13+1,1))-AVERAGE(OFFSET($H$3,0,0,'Données projet'!$E$13+1,1))</f>
        <v>365.99625753737246</v>
      </c>
      <c r="CZ106" s="57">
        <f t="shared" si="96"/>
        <v>242.84814712692287</v>
      </c>
      <c r="DA106" s="15">
        <f>IF(ISNA(VLOOKUP(A106,'Données projet'!$A$139:$I$159,3,0)),0,VLOOKUP(A106,'Données projet'!$A$139:$I$159,3,0))</f>
        <v>8</v>
      </c>
      <c r="DB106" s="15">
        <f>IF(ISNA(VLOOKUP(A106,'Données projet'!$A$139:$I$159,4,0)),0,VLOOKUP(A106,'Données projet'!$A$139:$I$159,4,0))</f>
        <v>50.51</v>
      </c>
      <c r="DC106" s="16">
        <f>IF(ISNA(VLOOKUP(A106,'Données projet'!$A$139:$I$159,5,0)),0%,VLOOKUP(A106,'Données projet'!$A$139:$I$159,5,0)*VLOOKUP('Données projet'!$B$13,Paramètres!$A$1:$I$89,7,0))</f>
        <v>0.26500000000000001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29.48306345414278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29.48306345414278</v>
      </c>
      <c r="DJ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67.279378407357285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2.2737367544323206E-13</v>
      </c>
      <c r="DP106" s="17">
        <f>DO106*VLOOKUP('Données projet'!$B$14,Paramètres!$A$1:$I$89,3,0)*VLOOKUP('Données projet'!$B$14,Paramètres!$A$1:$I$89,5,0)</f>
        <v>1.4897523215040565E-13</v>
      </c>
      <c r="DQ106" s="13">
        <f t="shared" si="97"/>
        <v>2.136562777003313E-12</v>
      </c>
      <c r="DR106" s="20">
        <f t="shared" si="70"/>
        <v>3.9806453659427267E-12</v>
      </c>
      <c r="DS106" s="57">
        <f t="shared" si="71"/>
        <v>283.35772082698071</v>
      </c>
      <c r="DT106" s="57">
        <f ca="1">AVERAGE(OFFSET($DS$3,0,0,'Données projet'!$E$14+1,1))-AVERAGE(OFFSET($H$3,0,0,'Données projet'!$E$14+1,1))</f>
        <v>313.79279628660527</v>
      </c>
      <c r="DU106" s="57">
        <f t="shared" si="98"/>
        <v>317.45469955216254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71.525111976318897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71.525111976318897</v>
      </c>
      <c r="EE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67.279378407357285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-1.1368683772161603E-13</v>
      </c>
      <c r="EK106" s="17">
        <f>EJ106*VLOOKUP('Données projet'!$B$15,Paramètres!$A$1:$I$89,3,0)*VLOOKUP('Données projet'!$B$15,Paramètres!$A$1:$I$89,5,0)</f>
        <v>-9.7543306765146564E-14</v>
      </c>
      <c r="EL106" s="13" t="e">
        <f t="shared" si="99"/>
        <v>#NUM!</v>
      </c>
      <c r="EM106" s="20" t="e">
        <f t="shared" si="73"/>
        <v>#NUM!</v>
      </c>
      <c r="EN106" s="57" t="e">
        <f t="shared" si="74"/>
        <v>#NUM!</v>
      </c>
      <c r="EO106" s="57">
        <f ca="1">AVERAGE(OFFSET($EN$3,0,0,'Données projet'!$E$15+1,1))-AVERAGE(OFFSET($H$3,0,0,'Données projet'!$E$15+1,1))</f>
        <v>643.04899298561475</v>
      </c>
      <c r="EP106" s="57">
        <f t="shared" si="100"/>
        <v>474.94999304483031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265.11739121365116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265.11739121365116</v>
      </c>
      <c r="EZ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67.279378407357285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>
        <f>FE106*VLOOKUP('Données projet'!$B$16,Paramètres!$A$1:$I$89,3,0)*VLOOKUP('Données projet'!$B$16,Paramètres!$A$1:$I$89,5,0)</f>
        <v>0</v>
      </c>
      <c r="FG106" s="13" t="e">
        <f t="shared" si="101"/>
        <v>#NUM!</v>
      </c>
      <c r="FH106" s="20" t="e">
        <f t="shared" si="76"/>
        <v>#NUM!</v>
      </c>
      <c r="FI106" s="57" t="e">
        <f t="shared" si="77"/>
        <v>#NUM!</v>
      </c>
      <c r="FJ106" s="57">
        <f ca="1">AVERAGE(OFFSET($FI$3,0,0,'Données projet'!$E$16+1,1))-AVERAGE(OFFSET($H$3,0,0,'Données projet'!$E$16+1,1))</f>
        <v>375.34603719604439</v>
      </c>
      <c r="FK106" s="57">
        <f t="shared" si="102"/>
        <v>363.99476973672211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100.38924675109776</v>
      </c>
      <c r="FR106" s="21">
        <f>EXP(-LN(2)/25)*FR105+(1-EXP(-LN(2)/25))/(LN(2)/25)*Calculateur!FM106*Calculateur!FO106*VLOOKUP('Données projet'!$B$16,Paramètres!$A$1:$I$89,3,0)*0.475*44/12</f>
        <v>0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100.38924675109776</v>
      </c>
      <c r="FU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67.279378407357285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-1.1368683772161603E-13</v>
      </c>
      <c r="GA106" s="17">
        <f>FZ106*VLOOKUP('Données projet'!$B$17,Paramètres!$A$1:$I$89,3,0)*VLOOKUP('Données projet'!$B$17,Paramètres!$A$1:$I$89,5,0)</f>
        <v>-6.3550942286383367E-14</v>
      </c>
      <c r="GB106" s="13" t="e">
        <f t="shared" si="103"/>
        <v>#NUM!</v>
      </c>
      <c r="GC106" s="20" t="e">
        <f t="shared" si="79"/>
        <v>#NUM!</v>
      </c>
      <c r="GD106" s="57" t="e">
        <f t="shared" si="80"/>
        <v>#NUM!</v>
      </c>
      <c r="GE106" s="57">
        <f ca="1">AVERAGE(OFFSET($GD$3,0,0,'Données projet'!$E$17+1,1))-AVERAGE(OFFSET($H$3,0,0,'Données projet'!$E$17+1,1))</f>
        <v>414.47327143450701</v>
      </c>
      <c r="GF106" s="57">
        <f t="shared" si="104"/>
        <v>546.83385887302961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114.11838234133745</v>
      </c>
      <c r="GM106" s="21">
        <f>EXP(-LN(2)/25)*GM105+(1-EXP(-LN(2)/25))/(LN(2)/25)*Calculateur!GH106*Calculateur!GJ106*VLOOKUP('Données projet'!$B$17,Paramètres!$A$1:$I$89,3,0)*0.475*44/12</f>
        <v>16.363889429836743</v>
      </c>
      <c r="GN106" s="21">
        <f>EXP(-LN(2)/2)*GN105+(1-EXP(-LN(2)/2))/(LN(2)/2)*GH106*GK106*VLOOKUP('Données projet'!$B$17,Paramètres!$A$1:$I$89,3,0)*0.475*44/12</f>
        <v>1.7510738656567438E-6</v>
      </c>
      <c r="GO106" s="21">
        <f t="shared" si="81"/>
        <v>130.48227352224805</v>
      </c>
      <c r="GP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67.279378407357285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-2.2737367544323206E-13</v>
      </c>
      <c r="GV106" s="17">
        <f>GU106*VLOOKUP('Données projet'!$B$18,Paramètres!$A$1:$I$89,3,0)*VLOOKUP('Données projet'!$B$18,Paramètres!$A$1:$I$89,5,0)</f>
        <v>-1.2414602679200471E-13</v>
      </c>
      <c r="GW106" s="13" t="e">
        <f t="shared" si="105"/>
        <v>#NUM!</v>
      </c>
      <c r="GX106" s="20" t="e">
        <f t="shared" si="82"/>
        <v>#NUM!</v>
      </c>
      <c r="GY106" s="57" t="e">
        <f t="shared" si="83"/>
        <v>#NUM!</v>
      </c>
      <c r="GZ106" s="57">
        <f ca="1">AVERAGE(OFFSET($GY$3,0,0,'Données projet'!$E$18+1,1))-AVERAGE(OFFSET($H$3,0,0,'Données projet'!$E$18+1,1))</f>
        <v>381.00532469288714</v>
      </c>
      <c r="HA106" s="57">
        <f t="shared" si="106"/>
        <v>314.875259641757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>
        <f>EXP(-LN(2)/35)*HG105+(1-EXP(-LN(2)/35))/(LN(2)/35)*HC106*HD106*VLOOKUP('Données projet'!$B$18,Paramètres!$A$1:$I$89,3,0)*0.475*44/12</f>
        <v>192.24908382061454</v>
      </c>
      <c r="HH106" s="21">
        <f>EXP(-LN(2)/25)*HH105+(1-EXP(-LN(2)/25))/(LN(2)/25)*Calculateur!HC106*Calculateur!HE106*VLOOKUP('Données projet'!$B$18,Paramètres!$A$1:$I$89,3,0)*0.475*44/12</f>
        <v>30.360652723480658</v>
      </c>
      <c r="HI106" s="21">
        <f>EXP(-LN(2)/2)*HI105+(1-EXP(-LN(2)/2))/(LN(2)/2)*HC106*HF106*VLOOKUP('Données projet'!$B$18,Paramètres!$A$1:$I$89,3,0)*0.475*44/12</f>
        <v>8.8292154865069854</v>
      </c>
      <c r="HJ106" s="22">
        <f t="shared" si="84"/>
        <v>231.4389520306022</v>
      </c>
    </row>
    <row r="107" spans="1:218" x14ac:dyDescent="0.2">
      <c r="A107" s="10">
        <f t="shared" si="85"/>
        <v>104</v>
      </c>
      <c r="B107" s="71">
        <f>'Scénario référence'!$B$16*5+'Scénario référence'!$B$17*0+'Scénario référence'!$B$18*5</f>
        <v>3.3000000000000003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12.100000000000001</v>
      </c>
      <c r="H107" s="65">
        <f t="shared" si="56"/>
        <v>208.26666666666665</v>
      </c>
      <c r="I107" s="6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67.326575109590976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3.2</v>
      </c>
      <c r="N107" s="13">
        <f>IF('Données projet'!$A$36&gt;35,N106+M107-V106,IF(A107&lt;'Données projet'!$A$36,$K$205^A107,IF(A107='Données projet'!$A$36,'Données projet'!$B$36,N106+M107-V106)))</f>
        <v>214.79999999999993</v>
      </c>
      <c r="O107" s="13">
        <f>N107*VLOOKUP('Données projet'!$B$9,Paramètres!$A$1:$I$89,3,0)*VLOOKUP('Données projet'!$B$9,Paramètres!$A$1:$I$89,5,0)</f>
        <v>217.80719999999994</v>
      </c>
      <c r="P107" s="13">
        <f t="shared" si="87"/>
        <v>53.638013973813976</v>
      </c>
      <c r="Q107" s="20">
        <f t="shared" si="107"/>
        <v>472.76708100439259</v>
      </c>
      <c r="R107" s="57">
        <f t="shared" si="55"/>
        <v>756.29785640622617</v>
      </c>
      <c r="S107" s="57">
        <f ca="1">AVERAGE(OFFSET($R$3,0,0,'Données projet'!$E$9+1,1))-AVERAGE(OFFSET($H$3,0,0,'Données projet'!$E$9+1,1))</f>
        <v>332.70145542047612</v>
      </c>
      <c r="T107" s="57">
        <f t="shared" si="88"/>
        <v>172.22433737900428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23.661806025292851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23.661806025292851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67.326575109590976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6.5199999999999987</v>
      </c>
      <c r="AI107" s="13">
        <f>IF('Données projet'!$A$62&gt;35,AI106+AH107-AQ106,IF(A107&lt;'Données projet'!$A$62,$AF$205^A107,IF(A107='Données projet'!$A$62,'Données projet'!$B$62,AI106+AH107-AQ106)))</f>
        <v>254.31000000000017</v>
      </c>
      <c r="AJ107" s="13">
        <f>AI107*VLOOKUP('Données projet'!$B$10,Paramètres!$A$1:$I$89,3,0)*VLOOKUP('Données projet'!$B$10,Paramètres!$A$1:$I$89,5,0)</f>
        <v>230.09968800000013</v>
      </c>
      <c r="AK107" s="13">
        <f t="shared" si="89"/>
        <v>56.304235863804202</v>
      </c>
      <c r="AL107" s="20">
        <f t="shared" si="58"/>
        <v>498.8201673961259</v>
      </c>
      <c r="AM107" s="57">
        <f t="shared" si="59"/>
        <v>782.35094279795953</v>
      </c>
      <c r="AN107" s="57">
        <f ca="1">AVERAGE(OFFSET($AM$3,0,0,'Données projet'!$E$10+1,1))-AVERAGE(OFFSET($H$3,0,0,'Données projet'!$E$10+1,1))</f>
        <v>469.4210143164521</v>
      </c>
      <c r="AO107" s="57">
        <f t="shared" si="90"/>
        <v>308.4508386530556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31.63179767238876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31.63179767238876</v>
      </c>
      <c r="AY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67.326575109590976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7" t="e">
        <f t="shared" si="62"/>
        <v>#NUM!</v>
      </c>
      <c r="BI107" s="57">
        <f ca="1">AVERAGE(OFFSET($BH$3,0,0,'Données projet'!$E$11+1,1))-AVERAGE(OFFSET($H$3,0,0,'Données projet'!$E$11+1,1))</f>
        <v>344.32981377462971</v>
      </c>
      <c r="BJ107" s="57">
        <f t="shared" si="92"/>
        <v>334.42512656625763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72.172780798016731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72.172780798016731</v>
      </c>
      <c r="BT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67.326575109590976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6.2</v>
      </c>
      <c r="BY107" s="12">
        <f>IF('Données projet'!$A$114&gt;35,BY106+BX107-CG106,IF(A107&lt;'Données projet'!$A$114,$BV$205^A107,IF(A107='Données projet'!$A$114,'Données projet'!$B$114,BY106+BX107-CG106)))</f>
        <v>313.80000000000052</v>
      </c>
      <c r="BZ107" s="13">
        <f>BY107*VLOOKUP('Données projet'!$B$12,Paramètres!$A$1:$I$89,3,0)*VLOOKUP('Données projet'!$B$12,Paramètres!$A$1:$I$89,5,0)</f>
        <v>298.6120800000005</v>
      </c>
      <c r="CA107" s="13">
        <f t="shared" si="93"/>
        <v>70.885423654656421</v>
      </c>
      <c r="CB107" s="20">
        <f t="shared" si="64"/>
        <v>643.54148553186076</v>
      </c>
      <c r="CC107" s="57">
        <f t="shared" si="65"/>
        <v>927.07226093369434</v>
      </c>
      <c r="CD107" s="57">
        <f ca="1">AVERAGE(OFFSET($CC$3,0,0,'Données projet'!$E$12+1,1))-AVERAGE(OFFSET($H$3,0,0,'Données projet'!$E$12+1,1))</f>
        <v>498.77732039282807</v>
      </c>
      <c r="CE107" s="57">
        <f t="shared" si="94"/>
        <v>384.57317421826531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59.694997471472561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59.694997471472561</v>
      </c>
      <c r="CO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67.326575109590976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6.5199999999999987</v>
      </c>
      <c r="CT107" s="12">
        <f>IF('Données projet'!$A$140&gt;35,CT106+CS107-DB106,IF(A107&lt;'Données projet'!$A$140,$CQ$205^A107,IF(A107='Données projet'!$A$140,'Données projet'!$B$140,CT106+CS107-DB106)))</f>
        <v>254.31000000000017</v>
      </c>
      <c r="CU107" s="17">
        <f>CT107*VLOOKUP('Données projet'!$B$13,Paramètres!$A$1:$I$89,3,0)*VLOOKUP('Données projet'!$B$13,Paramètres!$A$1:$I$89,5,0)</f>
        <v>170.59114800000012</v>
      </c>
      <c r="CV107" s="13">
        <f t="shared" si="95"/>
        <v>43.222394312231309</v>
      </c>
      <c r="CW107" s="20">
        <f t="shared" si="67"/>
        <v>372.39191952713639</v>
      </c>
      <c r="CX107" s="57">
        <f t="shared" si="68"/>
        <v>655.92269492897003</v>
      </c>
      <c r="CY107" s="57">
        <f ca="1">AVERAGE(OFFSET($CX$3,0,0,'Données projet'!$E$13+1,1))-AVERAGE(OFFSET($H$3,0,0,'Données projet'!$E$13+1,1))</f>
        <v>365.99625753737246</v>
      </c>
      <c r="CZ107" s="57">
        <f t="shared" si="96"/>
        <v>242.84814712692287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28.904918562700082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28.904918562700082</v>
      </c>
      <c r="DJ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67.326575109590976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2.2737367544323206E-13</v>
      </c>
      <c r="DP107" s="17">
        <f>DO107*VLOOKUP('Données projet'!$B$14,Paramètres!$A$1:$I$89,3,0)*VLOOKUP('Données projet'!$B$14,Paramètres!$A$1:$I$89,5,0)</f>
        <v>1.4897523215040565E-13</v>
      </c>
      <c r="DQ107" s="13">
        <f t="shared" si="97"/>
        <v>2.136562777003313E-12</v>
      </c>
      <c r="DR107" s="20">
        <f t="shared" si="70"/>
        <v>3.9806453659427267E-12</v>
      </c>
      <c r="DS107" s="57">
        <f t="shared" si="71"/>
        <v>283.53077540183756</v>
      </c>
      <c r="DT107" s="57">
        <f ca="1">AVERAGE(OFFSET($DS$3,0,0,'Données projet'!$E$14+1,1))-AVERAGE(OFFSET($H$3,0,0,'Données projet'!$E$14+1,1))</f>
        <v>313.79279628660527</v>
      </c>
      <c r="DU107" s="57">
        <f t="shared" si="98"/>
        <v>317.45469955216254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70.122548156473883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70.122548156473883</v>
      </c>
      <c r="EE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67.326575109590976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-1.1368683772161603E-13</v>
      </c>
      <c r="EK107" s="17">
        <f>EJ107*VLOOKUP('Données projet'!$B$15,Paramètres!$A$1:$I$89,3,0)*VLOOKUP('Données projet'!$B$15,Paramètres!$A$1:$I$89,5,0)</f>
        <v>-9.7543306765146564E-14</v>
      </c>
      <c r="EL107" s="13" t="e">
        <f t="shared" si="99"/>
        <v>#NUM!</v>
      </c>
      <c r="EM107" s="20" t="e">
        <f t="shared" si="73"/>
        <v>#NUM!</v>
      </c>
      <c r="EN107" s="57" t="e">
        <f t="shared" si="74"/>
        <v>#NUM!</v>
      </c>
      <c r="EO107" s="57">
        <f ca="1">AVERAGE(OFFSET($EN$3,0,0,'Données projet'!$E$15+1,1))-AVERAGE(OFFSET($H$3,0,0,'Données projet'!$E$15+1,1))</f>
        <v>643.04899298561475</v>
      </c>
      <c r="EP107" s="57">
        <f t="shared" si="100"/>
        <v>474.94999304483031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259.91860087759301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259.91860087759301</v>
      </c>
      <c r="EZ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67.326575109590976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>
        <f>FE107*VLOOKUP('Données projet'!$B$16,Paramètres!$A$1:$I$89,3,0)*VLOOKUP('Données projet'!$B$16,Paramètres!$A$1:$I$89,5,0)</f>
        <v>0</v>
      </c>
      <c r="FG107" s="13" t="e">
        <f t="shared" si="101"/>
        <v>#NUM!</v>
      </c>
      <c r="FH107" s="20" t="e">
        <f t="shared" si="76"/>
        <v>#NUM!</v>
      </c>
      <c r="FI107" s="57" t="e">
        <f t="shared" si="77"/>
        <v>#NUM!</v>
      </c>
      <c r="FJ107" s="57">
        <f ca="1">AVERAGE(OFFSET($FI$3,0,0,'Données projet'!$E$16+1,1))-AVERAGE(OFFSET($H$3,0,0,'Données projet'!$E$16+1,1))</f>
        <v>375.34603719604439</v>
      </c>
      <c r="FK107" s="57">
        <f t="shared" si="102"/>
        <v>363.99476973672211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98.420674853703147</v>
      </c>
      <c r="FR107" s="21">
        <f>EXP(-LN(2)/25)*FR106+(1-EXP(-LN(2)/25))/(LN(2)/25)*Calculateur!FM107*Calculateur!FO107*VLOOKUP('Données projet'!$B$16,Paramètres!$A$1:$I$89,3,0)*0.475*44/12</f>
        <v>0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98.420674853703147</v>
      </c>
      <c r="FU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67.326575109590976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-1.1368683772161603E-13</v>
      </c>
      <c r="GA107" s="17">
        <f>FZ107*VLOOKUP('Données projet'!$B$17,Paramètres!$A$1:$I$89,3,0)*VLOOKUP('Données projet'!$B$17,Paramètres!$A$1:$I$89,5,0)</f>
        <v>-6.3550942286383367E-14</v>
      </c>
      <c r="GB107" s="13" t="e">
        <f t="shared" si="103"/>
        <v>#NUM!</v>
      </c>
      <c r="GC107" s="20" t="e">
        <f t="shared" si="79"/>
        <v>#NUM!</v>
      </c>
      <c r="GD107" s="57" t="e">
        <f t="shared" si="80"/>
        <v>#NUM!</v>
      </c>
      <c r="GE107" s="57">
        <f ca="1">AVERAGE(OFFSET($GD$3,0,0,'Données projet'!$E$17+1,1))-AVERAGE(OFFSET($H$3,0,0,'Données projet'!$E$17+1,1))</f>
        <v>414.47327143450701</v>
      </c>
      <c r="GF107" s="57">
        <f t="shared" si="104"/>
        <v>546.83385887302961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111.8805904689641</v>
      </c>
      <c r="GM107" s="21">
        <f>EXP(-LN(2)/25)*GM106+(1-EXP(-LN(2)/25))/(LN(2)/25)*Calculateur!GH107*Calculateur!GJ107*VLOOKUP('Données projet'!$B$17,Paramètres!$A$1:$I$89,3,0)*0.475*44/12</f>
        <v>15.916418012838312</v>
      </c>
      <c r="GN107" s="21">
        <f>EXP(-LN(2)/2)*GN106+(1-EXP(-LN(2)/2))/(LN(2)/2)*GH107*GK107*VLOOKUP('Données projet'!$B$17,Paramètres!$A$1:$I$89,3,0)*0.475*44/12</f>
        <v>1.2381962047644251E-6</v>
      </c>
      <c r="GO107" s="21">
        <f t="shared" si="81"/>
        <v>127.79700971999861</v>
      </c>
      <c r="GP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67.326575109590976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-2.2737367544323206E-13</v>
      </c>
      <c r="GV107" s="17">
        <f>GU107*VLOOKUP('Données projet'!$B$18,Paramètres!$A$1:$I$89,3,0)*VLOOKUP('Données projet'!$B$18,Paramètres!$A$1:$I$89,5,0)</f>
        <v>-1.2414602679200471E-13</v>
      </c>
      <c r="GW107" s="13" t="e">
        <f t="shared" si="105"/>
        <v>#NUM!</v>
      </c>
      <c r="GX107" s="20" t="e">
        <f t="shared" si="82"/>
        <v>#NUM!</v>
      </c>
      <c r="GY107" s="57" t="e">
        <f t="shared" si="83"/>
        <v>#NUM!</v>
      </c>
      <c r="GZ107" s="57">
        <f ca="1">AVERAGE(OFFSET($GY$3,0,0,'Données projet'!$E$18+1,1))-AVERAGE(OFFSET($H$3,0,0,'Données projet'!$E$18+1,1))</f>
        <v>381.00532469288714</v>
      </c>
      <c r="HA107" s="57">
        <f t="shared" si="106"/>
        <v>314.875259641757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>
        <f>EXP(-LN(2)/35)*HG106+(1-EXP(-LN(2)/35))/(LN(2)/35)*HC107*HD107*VLOOKUP('Données projet'!$B$18,Paramètres!$A$1:$I$89,3,0)*0.475*44/12</f>
        <v>188.47919654725493</v>
      </c>
      <c r="HH107" s="21">
        <f>EXP(-LN(2)/25)*HH106+(1-EXP(-LN(2)/25))/(LN(2)/25)*Calculateur!HC107*Calculateur!HE107*VLOOKUP('Données projet'!$B$18,Paramètres!$A$1:$I$89,3,0)*0.475*44/12</f>
        <v>29.530439078159745</v>
      </c>
      <c r="HI107" s="21">
        <f>EXP(-LN(2)/2)*HI106+(1-EXP(-LN(2)/2))/(LN(2)/2)*HC107*HF107*VLOOKUP('Données projet'!$B$18,Paramètres!$A$1:$I$89,3,0)*0.475*44/12</f>
        <v>6.2431981430663717</v>
      </c>
      <c r="HJ107" s="22">
        <f t="shared" si="84"/>
        <v>224.25283376848103</v>
      </c>
    </row>
    <row r="108" spans="1:218" x14ac:dyDescent="0.2">
      <c r="A108" s="10">
        <f t="shared" si="85"/>
        <v>105</v>
      </c>
      <c r="B108" s="71">
        <f>'Scénario référence'!$B$16*5+'Scénario référence'!$B$17*0+'Scénario référence'!$B$18*5</f>
        <v>3.3000000000000003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12.100000000000001</v>
      </c>
      <c r="H108" s="65">
        <f t="shared" si="56"/>
        <v>208.26666666666665</v>
      </c>
      <c r="I108" s="6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67.372953054556916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>
        <f>VLOOKUP(A108,'Données projet'!$A$35:$I$55,2,0)</f>
        <v>218</v>
      </c>
      <c r="L108" s="12">
        <f>VLOOKUP(A108,'Données projet'!$A$35:$I$55,9,0)</f>
        <v>3.2</v>
      </c>
      <c r="M108" s="12">
        <f t="array" ref="M108">INDEX(L:L,MIN(IF(ISNUMBER(L108:L304),ROW(L108:L304),"")))</f>
        <v>3.2</v>
      </c>
      <c r="N108" s="13">
        <f>IF('Données projet'!$A$36&gt;35,N107+M108-V107,IF(A108&lt;'Données projet'!$A$36,$K$205^A108,IF(A108='Données projet'!$A$36,'Données projet'!$B$36,N107+M108-V107)))</f>
        <v>217.99999999999991</v>
      </c>
      <c r="O108" s="13">
        <f>N108*VLOOKUP('Données projet'!$B$9,Paramètres!$A$1:$I$89,3,0)*VLOOKUP('Données projet'!$B$9,Paramètres!$A$1:$I$89,5,0)</f>
        <v>221.05199999999994</v>
      </c>
      <c r="P108" s="13">
        <f t="shared" si="87"/>
        <v>54.343469202939204</v>
      </c>
      <c r="Q108" s="20">
        <f t="shared" si="107"/>
        <v>479.64710886178568</v>
      </c>
      <c r="R108" s="57">
        <f t="shared" si="55"/>
        <v>763.34793672849446</v>
      </c>
      <c r="S108" s="57">
        <f ca="1">AVERAGE(OFFSET($R$3,0,0,'Données projet'!$E$9+1,1))-AVERAGE(OFFSET($H$3,0,0,'Données projet'!$E$9+1,1))</f>
        <v>332.70145542047612</v>
      </c>
      <c r="T108" s="57">
        <f t="shared" si="88"/>
        <v>172.22433737900428</v>
      </c>
      <c r="U108" s="15">
        <f>IF(ISNA(VLOOKUP(A108,'Données projet'!$A$35:$I$55,3,0)),0,VLOOKUP(A108,'Données projet'!$A$35:$I$55,3,0))</f>
        <v>17</v>
      </c>
      <c r="V108" s="15">
        <f>IF(ISNA(VLOOKUP(A108,'Données projet'!$A$35:$I$55,4,0)),0,VLOOKUP(A108,'Données projet'!$A$35:$I$55,4,0))</f>
        <v>14</v>
      </c>
      <c r="W108" s="16">
        <f>IF(ISNA(VLOOKUP(A108,'Données projet'!$A$35:$I$55,5,0)),0%,VLOOKUP(A108,'Données projet'!$A$35:$I$55,5,0)*VLOOKUP('Données projet'!$B$9,Paramètres!$A$1:$I$89,7,0))</f>
        <v>0.30099999999999999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27.921482951276243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27.921482951276243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67.372953054556916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6.5199999999999987</v>
      </c>
      <c r="AI108" s="13">
        <f>IF('Données projet'!$A$62&gt;35,AI107+AH108-AQ107,IF(A108&lt;'Données projet'!$A$62,$AF$205^A108,IF(A108='Données projet'!$A$62,'Données projet'!$B$62,AI107+AH108-AQ107)))</f>
        <v>260.83000000000015</v>
      </c>
      <c r="AJ108" s="13">
        <f>AI108*VLOOKUP('Données projet'!$B$10,Paramètres!$A$1:$I$89,3,0)*VLOOKUP('Données projet'!$B$10,Paramètres!$A$1:$I$89,5,0)</f>
        <v>235.99898400000012</v>
      </c>
      <c r="AK108" s="13">
        <f t="shared" si="89"/>
        <v>57.577851946511586</v>
      </c>
      <c r="AL108" s="20">
        <f t="shared" si="58"/>
        <v>511.31298927350787</v>
      </c>
      <c r="AM108" s="57">
        <f t="shared" si="59"/>
        <v>795.01381714021659</v>
      </c>
      <c r="AN108" s="57">
        <f ca="1">AVERAGE(OFFSET($AM$3,0,0,'Données projet'!$E$10+1,1))-AVERAGE(OFFSET($H$3,0,0,'Données projet'!$E$10+1,1))</f>
        <v>469.4210143164521</v>
      </c>
      <c r="AO108" s="57">
        <f t="shared" si="90"/>
        <v>308.4508386530556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31.011517413524722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31.011517413524722</v>
      </c>
      <c r="AY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67.372953054556916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7" t="e">
        <f t="shared" si="62"/>
        <v>#NUM!</v>
      </c>
      <c r="BI108" s="57">
        <f ca="1">AVERAGE(OFFSET($BH$3,0,0,'Données projet'!$E$11+1,1))-AVERAGE(OFFSET($H$3,0,0,'Données projet'!$E$11+1,1))</f>
        <v>344.32981377462971</v>
      </c>
      <c r="BJ108" s="57">
        <f t="shared" si="92"/>
        <v>334.42512656625763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70.757516587617189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70.757516587617189</v>
      </c>
      <c r="BT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67.372953054556916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>
        <f>VLOOKUP(A108,'Données projet'!$A$113:$I$133,2,0)</f>
        <v>320</v>
      </c>
      <c r="BW108" s="12">
        <f>VLOOKUP(A108,'Données projet'!$A$113:$I$133,9,0)</f>
        <v>6.2</v>
      </c>
      <c r="BX108" s="12">
        <f t="array" ref="BX108">INDEX(BW:BW,MIN(IF(ISNUMBER(BW108:BW304),ROW(BW108:BW304),"")))</f>
        <v>6.2</v>
      </c>
      <c r="BY108" s="12">
        <f>IF('Données projet'!$A$114&gt;35,BY107+BX108-CG107,IF(A108&lt;'Données projet'!$A$114,$BV$205^A108,IF(A108='Données projet'!$A$114,'Données projet'!$B$114,BY107+BX108-CG107)))</f>
        <v>320.00000000000051</v>
      </c>
      <c r="BZ108" s="13">
        <f>BY108*VLOOKUP('Données projet'!$B$12,Paramètres!$A$1:$I$89,3,0)*VLOOKUP('Données projet'!$B$12,Paramètres!$A$1:$I$89,5,0)</f>
        <v>304.51200000000046</v>
      </c>
      <c r="CA108" s="13">
        <f t="shared" si="93"/>
        <v>72.121528618302989</v>
      </c>
      <c r="CB108" s="20">
        <f t="shared" si="64"/>
        <v>655.97006234354512</v>
      </c>
      <c r="CC108" s="57">
        <f t="shared" si="65"/>
        <v>939.6708902102539</v>
      </c>
      <c r="CD108" s="57">
        <f ca="1">AVERAGE(OFFSET($CC$3,0,0,'Données projet'!$E$12+1,1))-AVERAGE(OFFSET($H$3,0,0,'Données projet'!$E$12+1,1))</f>
        <v>498.77732039282807</v>
      </c>
      <c r="CE108" s="57">
        <f t="shared" si="94"/>
        <v>384.57317421826531</v>
      </c>
      <c r="CF108" s="15">
        <f>IF(ISNA(VLOOKUP(A108,'Données projet'!$A$113:$I$133,3,0)),0,VLOOKUP(A108,'Données projet'!$A$113:$I$133,3,0))</f>
        <v>17</v>
      </c>
      <c r="CG108" s="15">
        <f>IF(ISNA(VLOOKUP(A108,'Données projet'!$A$113:$I$133,4,0)),0,VLOOKUP(A108,'Données projet'!$A$113:$I$133,4,0))</f>
        <v>29</v>
      </c>
      <c r="CH108" s="16">
        <f>IF(ISNA(VLOOKUP(A108,'Données projet'!$A$113:$I$133,5,0)),0%,VLOOKUP(A108,'Données projet'!$A$113:$I$133,5,0)*VLOOKUP('Données projet'!$B$12,Paramètres!$A$1:$I$89,7,0))</f>
        <v>0.34400000000000003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69.018823938329845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69.018823938329845</v>
      </c>
      <c r="CO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67.372953054556916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6.5199999999999987</v>
      </c>
      <c r="CT108" s="12">
        <f>IF('Données projet'!$A$140&gt;35,CT107+CS108-DB107,IF(A108&lt;'Données projet'!$A$140,$CQ$205^A108,IF(A108='Données projet'!$A$140,'Données projet'!$B$140,CT107+CS108-DB107)))</f>
        <v>260.83000000000015</v>
      </c>
      <c r="CU108" s="17">
        <f>CT108*VLOOKUP('Données projet'!$B$13,Paramètres!$A$1:$I$89,3,0)*VLOOKUP('Données projet'!$B$13,Paramètres!$A$1:$I$89,5,0)</f>
        <v>174.96476400000012</v>
      </c>
      <c r="CV108" s="13">
        <f t="shared" si="95"/>
        <v>44.20009582410929</v>
      </c>
      <c r="CW108" s="20">
        <f t="shared" si="67"/>
        <v>381.7121308603239</v>
      </c>
      <c r="CX108" s="57">
        <f t="shared" si="68"/>
        <v>665.41295872703267</v>
      </c>
      <c r="CY108" s="57">
        <f ca="1">AVERAGE(OFFSET($CX$3,0,0,'Données projet'!$E$13+1,1))-AVERAGE(OFFSET($H$3,0,0,'Données projet'!$E$13+1,1))</f>
        <v>365.99625753737246</v>
      </c>
      <c r="CZ108" s="57">
        <f t="shared" si="96"/>
        <v>242.84814712692287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28.338110739945012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28.338110739945012</v>
      </c>
      <c r="DJ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67.372953054556916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2.2737367544323206E-13</v>
      </c>
      <c r="DP108" s="17">
        <f>DO108*VLOOKUP('Données projet'!$B$14,Paramètres!$A$1:$I$89,3,0)*VLOOKUP('Données projet'!$B$14,Paramètres!$A$1:$I$89,5,0)</f>
        <v>1.4897523215040565E-13</v>
      </c>
      <c r="DQ108" s="13">
        <f t="shared" si="97"/>
        <v>2.136562777003313E-12</v>
      </c>
      <c r="DR108" s="20">
        <f t="shared" si="70"/>
        <v>3.9806453659427267E-12</v>
      </c>
      <c r="DS108" s="57">
        <f t="shared" si="71"/>
        <v>283.7008278667127</v>
      </c>
      <c r="DT108" s="57">
        <f ca="1">AVERAGE(OFFSET($DS$3,0,0,'Données projet'!$E$14+1,1))-AVERAGE(OFFSET($H$3,0,0,'Données projet'!$E$14+1,1))</f>
        <v>313.79279628660527</v>
      </c>
      <c r="DU108" s="57">
        <f t="shared" si="98"/>
        <v>317.45469955216254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68.747487757656572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68.747487757656572</v>
      </c>
      <c r="EE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67.372953054556916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-1.1368683772161603E-13</v>
      </c>
      <c r="EK108" s="17">
        <f>EJ108*VLOOKUP('Données projet'!$B$15,Paramètres!$A$1:$I$89,3,0)*VLOOKUP('Données projet'!$B$15,Paramètres!$A$1:$I$89,5,0)</f>
        <v>-9.7543306765146564E-14</v>
      </c>
      <c r="EL108" s="13" t="e">
        <f t="shared" si="99"/>
        <v>#NUM!</v>
      </c>
      <c r="EM108" s="20" t="e">
        <f t="shared" si="73"/>
        <v>#NUM!</v>
      </c>
      <c r="EN108" s="57" t="e">
        <f t="shared" si="74"/>
        <v>#NUM!</v>
      </c>
      <c r="EO108" s="57">
        <f ca="1">AVERAGE(OFFSET($EN$3,0,0,'Données projet'!$E$15+1,1))-AVERAGE(OFFSET($H$3,0,0,'Données projet'!$E$15+1,1))</f>
        <v>643.04899298561475</v>
      </c>
      <c r="EP108" s="57">
        <f t="shared" si="100"/>
        <v>474.94999304483031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254.82175564907595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254.82175564907595</v>
      </c>
      <c r="EZ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67.372953054556916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>
        <f>FE108*VLOOKUP('Données projet'!$B$16,Paramètres!$A$1:$I$89,3,0)*VLOOKUP('Données projet'!$B$16,Paramètres!$A$1:$I$89,5,0)</f>
        <v>0</v>
      </c>
      <c r="FG108" s="13" t="e">
        <f t="shared" si="101"/>
        <v>#NUM!</v>
      </c>
      <c r="FH108" s="20" t="e">
        <f t="shared" si="76"/>
        <v>#NUM!</v>
      </c>
      <c r="FI108" s="57" t="e">
        <f t="shared" si="77"/>
        <v>#NUM!</v>
      </c>
      <c r="FJ108" s="57">
        <f ca="1">AVERAGE(OFFSET($FI$3,0,0,'Données projet'!$E$16+1,1))-AVERAGE(OFFSET($H$3,0,0,'Données projet'!$E$16+1,1))</f>
        <v>375.34603719604439</v>
      </c>
      <c r="FK108" s="57">
        <f t="shared" si="102"/>
        <v>363.99476973672211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96.490705450506155</v>
      </c>
      <c r="FR108" s="21">
        <f>EXP(-LN(2)/25)*FR107+(1-EXP(-LN(2)/25))/(LN(2)/25)*Calculateur!FM108*Calculateur!FO108*VLOOKUP('Données projet'!$B$16,Paramètres!$A$1:$I$89,3,0)*0.475*44/12</f>
        <v>0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96.490705450506155</v>
      </c>
      <c r="FU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67.372953054556916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-1.1368683772161603E-13</v>
      </c>
      <c r="GA108" s="17">
        <f>FZ108*VLOOKUP('Données projet'!$B$17,Paramètres!$A$1:$I$89,3,0)*VLOOKUP('Données projet'!$B$17,Paramètres!$A$1:$I$89,5,0)</f>
        <v>-6.3550942286383367E-14</v>
      </c>
      <c r="GB108" s="13" t="e">
        <f t="shared" si="103"/>
        <v>#NUM!</v>
      </c>
      <c r="GC108" s="20" t="e">
        <f t="shared" si="79"/>
        <v>#NUM!</v>
      </c>
      <c r="GD108" s="57" t="e">
        <f t="shared" si="80"/>
        <v>#NUM!</v>
      </c>
      <c r="GE108" s="57">
        <f ca="1">AVERAGE(OFFSET($GD$3,0,0,'Données projet'!$E$17+1,1))-AVERAGE(OFFSET($H$3,0,0,'Données projet'!$E$17+1,1))</f>
        <v>414.47327143450701</v>
      </c>
      <c r="GF108" s="57">
        <f t="shared" si="104"/>
        <v>546.83385887302961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109.68668033028972</v>
      </c>
      <c r="GM108" s="21">
        <f>EXP(-LN(2)/25)*GM107+(1-EXP(-LN(2)/25))/(LN(2)/25)*Calculateur!GH108*Calculateur!GJ108*VLOOKUP('Données projet'!$B$17,Paramètres!$A$1:$I$89,3,0)*0.475*44/12</f>
        <v>15.481182725269202</v>
      </c>
      <c r="GN108" s="21">
        <f>EXP(-LN(2)/2)*GN107+(1-EXP(-LN(2)/2))/(LN(2)/2)*GH108*GK108*VLOOKUP('Données projet'!$B$17,Paramètres!$A$1:$I$89,3,0)*0.475*44/12</f>
        <v>8.7553693282837192E-7</v>
      </c>
      <c r="GO108" s="21">
        <f t="shared" si="81"/>
        <v>125.16786393109585</v>
      </c>
      <c r="GP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67.372953054556916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-2.2737367544323206E-13</v>
      </c>
      <c r="GV108" s="17">
        <f>GU108*VLOOKUP('Données projet'!$B$18,Paramètres!$A$1:$I$89,3,0)*VLOOKUP('Données projet'!$B$18,Paramètres!$A$1:$I$89,5,0)</f>
        <v>-1.2414602679200471E-13</v>
      </c>
      <c r="GW108" s="13" t="e">
        <f t="shared" si="105"/>
        <v>#NUM!</v>
      </c>
      <c r="GX108" s="20" t="e">
        <f t="shared" si="82"/>
        <v>#NUM!</v>
      </c>
      <c r="GY108" s="57" t="e">
        <f t="shared" si="83"/>
        <v>#NUM!</v>
      </c>
      <c r="GZ108" s="57">
        <f ca="1">AVERAGE(OFFSET($GY$3,0,0,'Données projet'!$E$18+1,1))-AVERAGE(OFFSET($H$3,0,0,'Données projet'!$E$18+1,1))</f>
        <v>381.00532469288714</v>
      </c>
      <c r="HA108" s="57">
        <f t="shared" si="106"/>
        <v>314.875259641757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>
        <f>EXP(-LN(2)/35)*HG107+(1-EXP(-LN(2)/35))/(LN(2)/35)*HC108*HD108*VLOOKUP('Données projet'!$B$18,Paramètres!$A$1:$I$89,3,0)*0.475*44/12</f>
        <v>184.7832344639217</v>
      </c>
      <c r="HH108" s="21">
        <f>EXP(-LN(2)/25)*HH107+(1-EXP(-LN(2)/25))/(LN(2)/25)*Calculateur!HC108*Calculateur!HE108*VLOOKUP('Données projet'!$B$18,Paramètres!$A$1:$I$89,3,0)*0.475*44/12</f>
        <v>28.722927668629168</v>
      </c>
      <c r="HI108" s="21">
        <f>EXP(-LN(2)/2)*HI107+(1-EXP(-LN(2)/2))/(LN(2)/2)*HC108*HF108*VLOOKUP('Données projet'!$B$18,Paramètres!$A$1:$I$89,3,0)*0.475*44/12</f>
        <v>4.4146077432534927</v>
      </c>
      <c r="HJ108" s="22">
        <f t="shared" si="84"/>
        <v>217.92076987580435</v>
      </c>
    </row>
    <row r="109" spans="1:218" x14ac:dyDescent="0.2">
      <c r="A109" s="10">
        <f t="shared" si="85"/>
        <v>106</v>
      </c>
      <c r="B109" s="71">
        <f>'Scénario référence'!$B$16*5+'Scénario référence'!$B$17*0+'Scénario référence'!$B$18*5</f>
        <v>3.3000000000000003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12.100000000000001</v>
      </c>
      <c r="H109" s="65">
        <f t="shared" si="56"/>
        <v>208.26666666666665</v>
      </c>
      <c r="I109" s="6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67.41852644586325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3</v>
      </c>
      <c r="N109" s="13">
        <f>IF('Données projet'!$A$36&gt;35,N108+M109-V108,IF(A109&lt;'Données projet'!$A$36,$K$205^A109,IF(A109='Données projet'!$A$36,'Données projet'!$B$36,N108+M109-V108)))</f>
        <v>206.99999999999991</v>
      </c>
      <c r="O109" s="13">
        <f>N109*VLOOKUP('Données projet'!$B$9,Paramètres!$A$1:$I$89,3,0)*VLOOKUP('Données projet'!$B$9,Paramètres!$A$1:$I$89,5,0)</f>
        <v>209.89799999999994</v>
      </c>
      <c r="P109" s="13">
        <f t="shared" si="87"/>
        <v>51.913295501810218</v>
      </c>
      <c r="Q109" s="20">
        <f t="shared" si="107"/>
        <v>455.98800633231934</v>
      </c>
      <c r="R109" s="57">
        <f t="shared" si="55"/>
        <v>739.85593663381792</v>
      </c>
      <c r="S109" s="57">
        <f ca="1">AVERAGE(OFFSET($R$3,0,0,'Données projet'!$E$9+1,1))-AVERAGE(OFFSET($H$3,0,0,'Données projet'!$E$9+1,1))</f>
        <v>332.70145542047612</v>
      </c>
      <c r="T109" s="57">
        <f t="shared" si="88"/>
        <v>172.22433737900428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27.373959701024702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27.373959701024702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67.41852644586325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6.5199999999999987</v>
      </c>
      <c r="AI109" s="13">
        <f>IF('Données projet'!$A$62&gt;35,AI108+AH109-AQ108,IF(A109&lt;'Données projet'!$A$62,$AF$205^A109,IF(A109='Données projet'!$A$62,'Données projet'!$B$62,AI108+AH109-AQ108)))</f>
        <v>267.35000000000014</v>
      </c>
      <c r="AJ109" s="13">
        <f>AI109*VLOOKUP('Données projet'!$B$10,Paramètres!$A$1:$I$89,3,0)*VLOOKUP('Données projet'!$B$10,Paramètres!$A$1:$I$89,5,0)</f>
        <v>241.89828000000011</v>
      </c>
      <c r="AK109" s="13">
        <f t="shared" si="89"/>
        <v>58.847767211474299</v>
      </c>
      <c r="AL109" s="20">
        <f t="shared" si="58"/>
        <v>523.79936555998461</v>
      </c>
      <c r="AM109" s="57">
        <f t="shared" si="59"/>
        <v>807.66729586148313</v>
      </c>
      <c r="AN109" s="57">
        <f ca="1">AVERAGE(OFFSET($AM$3,0,0,'Données projet'!$E$10+1,1))-AVERAGE(OFFSET($H$3,0,0,'Données projet'!$E$10+1,1))</f>
        <v>469.4210143164521</v>
      </c>
      <c r="AO109" s="57">
        <f t="shared" si="90"/>
        <v>308.4508386530556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30.403400472203408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30.403400472203408</v>
      </c>
      <c r="AY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67.41852644586325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7" t="e">
        <f t="shared" si="62"/>
        <v>#NUM!</v>
      </c>
      <c r="BI109" s="57">
        <f ca="1">AVERAGE(OFFSET($BH$3,0,0,'Données projet'!$E$11+1,1))-AVERAGE(OFFSET($H$3,0,0,'Données projet'!$E$11+1,1))</f>
        <v>344.32981377462971</v>
      </c>
      <c r="BJ109" s="57">
        <f t="shared" si="92"/>
        <v>334.42512656625763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69.370004845157652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69.370004845157652</v>
      </c>
      <c r="BT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67.41852644586325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6.2</v>
      </c>
      <c r="BY109" s="12">
        <f>IF('Données projet'!$A$114&gt;35,BY108+BX109-CG108,IF(A109&lt;'Données projet'!$A$114,$BV$205^A109,IF(A109='Données projet'!$A$114,'Données projet'!$B$114,BY108+BX109-CG108)))</f>
        <v>297.2000000000005</v>
      </c>
      <c r="BZ109" s="13">
        <f>BY109*VLOOKUP('Données projet'!$B$12,Paramètres!$A$1:$I$89,3,0)*VLOOKUP('Données projet'!$B$12,Paramètres!$A$1:$I$89,5,0)</f>
        <v>282.8155200000005</v>
      </c>
      <c r="CA109" s="13">
        <f t="shared" si="93"/>
        <v>67.561662280207173</v>
      </c>
      <c r="CB109" s="20">
        <f t="shared" si="64"/>
        <v>610.24025913802825</v>
      </c>
      <c r="CC109" s="57">
        <f t="shared" si="65"/>
        <v>894.10818943952677</v>
      </c>
      <c r="CD109" s="57">
        <f ca="1">AVERAGE(OFFSET($CC$3,0,0,'Données projet'!$E$12+1,1))-AVERAGE(OFFSET($H$3,0,0,'Données projet'!$E$12+1,1))</f>
        <v>498.77732039282807</v>
      </c>
      <c r="CE109" s="57">
        <f t="shared" si="94"/>
        <v>384.57317421826531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67.665406898225029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67.665406898225029</v>
      </c>
      <c r="CO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67.41852644586325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6.5199999999999987</v>
      </c>
      <c r="CT109" s="12">
        <f>IF('Données projet'!$A$140&gt;35,CT108+CS109-DB108,IF(A109&lt;'Données projet'!$A$140,$CQ$205^A109,IF(A109='Données projet'!$A$140,'Données projet'!$B$140,CT108+CS109-DB108)))</f>
        <v>267.35000000000014</v>
      </c>
      <c r="CU109" s="17">
        <f>CT109*VLOOKUP('Données projet'!$B$13,Paramètres!$A$1:$I$89,3,0)*VLOOKUP('Données projet'!$B$13,Paramètres!$A$1:$I$89,5,0)</f>
        <v>179.33838000000009</v>
      </c>
      <c r="CV109" s="13">
        <f t="shared" si="95"/>
        <v>45.174956373821956</v>
      </c>
      <c r="CW109" s="20">
        <f t="shared" si="67"/>
        <v>391.02739418440666</v>
      </c>
      <c r="CX109" s="57">
        <f t="shared" si="68"/>
        <v>674.89532448590523</v>
      </c>
      <c r="CY109" s="57">
        <f ca="1">AVERAGE(OFFSET($CX$3,0,0,'Données projet'!$E$13+1,1))-AVERAGE(OFFSET($H$3,0,0,'Données projet'!$E$13+1,1))</f>
        <v>365.99625753737246</v>
      </c>
      <c r="CZ109" s="57">
        <f t="shared" si="96"/>
        <v>242.84814712692287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27.782417672875535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27.782417672875535</v>
      </c>
      <c r="DJ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67.41852644586325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2.2737367544323206E-13</v>
      </c>
      <c r="DP109" s="17">
        <f>DO109*VLOOKUP('Données projet'!$B$14,Paramètres!$A$1:$I$89,3,0)*VLOOKUP('Données projet'!$B$14,Paramètres!$A$1:$I$89,5,0)</f>
        <v>1.4897523215040565E-13</v>
      </c>
      <c r="DQ109" s="13">
        <f t="shared" si="97"/>
        <v>2.136562777003313E-12</v>
      </c>
      <c r="DR109" s="20">
        <f t="shared" si="70"/>
        <v>3.9806453659427267E-12</v>
      </c>
      <c r="DS109" s="57">
        <f t="shared" si="71"/>
        <v>283.86793030150255</v>
      </c>
      <c r="DT109" s="57">
        <f ca="1">AVERAGE(OFFSET($DS$3,0,0,'Données projet'!$E$14+1,1))-AVERAGE(OFFSET($H$3,0,0,'Données projet'!$E$14+1,1))</f>
        <v>313.79279628660527</v>
      </c>
      <c r="DU109" s="57">
        <f t="shared" si="98"/>
        <v>317.45469955216254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67.399391454556039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67.399391454556039</v>
      </c>
      <c r="EE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67.41852644586325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-1.1368683772161603E-13</v>
      </c>
      <c r="EK109" s="17">
        <f>EJ109*VLOOKUP('Données projet'!$B$15,Paramètres!$A$1:$I$89,3,0)*VLOOKUP('Données projet'!$B$15,Paramètres!$A$1:$I$89,5,0)</f>
        <v>-9.7543306765146564E-14</v>
      </c>
      <c r="EL109" s="13" t="e">
        <f t="shared" si="99"/>
        <v>#NUM!</v>
      </c>
      <c r="EM109" s="20" t="e">
        <f t="shared" si="73"/>
        <v>#NUM!</v>
      </c>
      <c r="EN109" s="57" t="e">
        <f t="shared" si="74"/>
        <v>#NUM!</v>
      </c>
      <c r="EO109" s="57">
        <f ca="1">AVERAGE(OFFSET($EN$3,0,0,'Données projet'!$E$15+1,1))-AVERAGE(OFFSET($H$3,0,0,'Données projet'!$E$15+1,1))</f>
        <v>643.04899298561475</v>
      </c>
      <c r="EP109" s="57">
        <f t="shared" si="100"/>
        <v>474.94999304483031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249.8248564467215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249.8248564467215</v>
      </c>
      <c r="EZ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67.41852644586325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>
        <f>FE109*VLOOKUP('Données projet'!$B$16,Paramètres!$A$1:$I$89,3,0)*VLOOKUP('Données projet'!$B$16,Paramètres!$A$1:$I$89,5,0)</f>
        <v>0</v>
      </c>
      <c r="FG109" s="13" t="e">
        <f t="shared" si="101"/>
        <v>#NUM!</v>
      </c>
      <c r="FH109" s="20" t="e">
        <f t="shared" si="76"/>
        <v>#NUM!</v>
      </c>
      <c r="FI109" s="57" t="e">
        <f t="shared" si="77"/>
        <v>#NUM!</v>
      </c>
      <c r="FJ109" s="57">
        <f ca="1">AVERAGE(OFFSET($FI$3,0,0,'Données projet'!$E$16+1,1))-AVERAGE(OFFSET($H$3,0,0,'Données projet'!$E$16+1,1))</f>
        <v>375.34603719604439</v>
      </c>
      <c r="FK109" s="57">
        <f t="shared" si="102"/>
        <v>363.99476973672211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94.598581570140752</v>
      </c>
      <c r="FR109" s="21">
        <f>EXP(-LN(2)/25)*FR108+(1-EXP(-LN(2)/25))/(LN(2)/25)*Calculateur!FM109*Calculateur!FO109*VLOOKUP('Données projet'!$B$16,Paramètres!$A$1:$I$89,3,0)*0.475*44/12</f>
        <v>0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94.598581570140752</v>
      </c>
      <c r="FU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67.41852644586325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-1.1368683772161603E-13</v>
      </c>
      <c r="GA109" s="17">
        <f>FZ109*VLOOKUP('Données projet'!$B$17,Paramètres!$A$1:$I$89,3,0)*VLOOKUP('Données projet'!$B$17,Paramètres!$A$1:$I$89,5,0)</f>
        <v>-6.3550942286383367E-14</v>
      </c>
      <c r="GB109" s="13" t="e">
        <f t="shared" si="103"/>
        <v>#NUM!</v>
      </c>
      <c r="GC109" s="20" t="e">
        <f t="shared" si="79"/>
        <v>#NUM!</v>
      </c>
      <c r="GD109" s="57" t="e">
        <f t="shared" si="80"/>
        <v>#NUM!</v>
      </c>
      <c r="GE109" s="57">
        <f ca="1">AVERAGE(OFFSET($GD$3,0,0,'Données projet'!$E$17+1,1))-AVERAGE(OFFSET($H$3,0,0,'Données projet'!$E$17+1,1))</f>
        <v>414.47327143450701</v>
      </c>
      <c r="GF109" s="57">
        <f t="shared" si="104"/>
        <v>546.83385887302961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107.53579143128169</v>
      </c>
      <c r="GM109" s="21">
        <f>EXP(-LN(2)/25)*GM108+(1-EXP(-LN(2)/25))/(LN(2)/25)*Calculateur!GH109*Calculateur!GJ109*VLOOKUP('Données projet'!$B$17,Paramètres!$A$1:$I$89,3,0)*0.475*44/12</f>
        <v>15.057848969526699</v>
      </c>
      <c r="GN109" s="21">
        <f>EXP(-LN(2)/2)*GN108+(1-EXP(-LN(2)/2))/(LN(2)/2)*GH109*GK109*VLOOKUP('Données projet'!$B$17,Paramètres!$A$1:$I$89,3,0)*0.475*44/12</f>
        <v>6.1909810238221253E-7</v>
      </c>
      <c r="GO109" s="21">
        <f t="shared" si="81"/>
        <v>122.5936410199065</v>
      </c>
      <c r="GP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67.41852644586325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-2.2737367544323206E-13</v>
      </c>
      <c r="GV109" s="17">
        <f>GU109*VLOOKUP('Données projet'!$B$18,Paramètres!$A$1:$I$89,3,0)*VLOOKUP('Données projet'!$B$18,Paramètres!$A$1:$I$89,5,0)</f>
        <v>-1.2414602679200471E-13</v>
      </c>
      <c r="GW109" s="13" t="e">
        <f t="shared" si="105"/>
        <v>#NUM!</v>
      </c>
      <c r="GX109" s="20" t="e">
        <f t="shared" si="82"/>
        <v>#NUM!</v>
      </c>
      <c r="GY109" s="57" t="e">
        <f t="shared" si="83"/>
        <v>#NUM!</v>
      </c>
      <c r="GZ109" s="57">
        <f ca="1">AVERAGE(OFFSET($GY$3,0,0,'Données projet'!$E$18+1,1))-AVERAGE(OFFSET($H$3,0,0,'Données projet'!$E$18+1,1))</f>
        <v>381.00532469288714</v>
      </c>
      <c r="HA109" s="57">
        <f t="shared" si="106"/>
        <v>314.875259641757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>
        <f>EXP(-LN(2)/35)*HG108+(1-EXP(-LN(2)/35))/(LN(2)/35)*HC109*HD109*VLOOKUP('Données projet'!$B$18,Paramètres!$A$1:$I$89,3,0)*0.475*44/12</f>
        <v>181.15974794272836</v>
      </c>
      <c r="HH109" s="21">
        <f>EXP(-LN(2)/25)*HH108+(1-EXP(-LN(2)/25))/(LN(2)/25)*Calculateur!HC109*Calculateur!HE109*VLOOKUP('Données projet'!$B$18,Paramètres!$A$1:$I$89,3,0)*0.475*44/12</f>
        <v>27.937497701057385</v>
      </c>
      <c r="HI109" s="21">
        <f>EXP(-LN(2)/2)*HI108+(1-EXP(-LN(2)/2))/(LN(2)/2)*HC109*HF109*VLOOKUP('Données projet'!$B$18,Paramètres!$A$1:$I$89,3,0)*0.475*44/12</f>
        <v>3.1215990715331858</v>
      </c>
      <c r="HJ109" s="22">
        <f t="shared" si="84"/>
        <v>212.21884471531894</v>
      </c>
    </row>
    <row r="110" spans="1:218" x14ac:dyDescent="0.2">
      <c r="A110" s="10">
        <f t="shared" si="85"/>
        <v>107</v>
      </c>
      <c r="B110" s="71">
        <f>'Scénario référence'!$B$16*5+'Scénario référence'!$B$17*0+'Scénario référence'!$B$18*5</f>
        <v>3.3000000000000003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12.100000000000001</v>
      </c>
      <c r="H110" s="65">
        <f t="shared" si="56"/>
        <v>208.26666666666665</v>
      </c>
      <c r="I110" s="6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67.463309240717265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3</v>
      </c>
      <c r="N110" s="13">
        <f>IF('Données projet'!$A$36&gt;35,N109+M110-V109,IF(A110&lt;'Données projet'!$A$36,$K$205^A110,IF(A110='Données projet'!$A$36,'Données projet'!$B$36,N109+M110-V109)))</f>
        <v>209.99999999999991</v>
      </c>
      <c r="O110" s="13">
        <f>N110*VLOOKUP('Données projet'!$B$9,Paramètres!$A$1:$I$89,3,0)*VLOOKUP('Données projet'!$B$9,Paramètres!$A$1:$I$89,5,0)</f>
        <v>212.93999999999991</v>
      </c>
      <c r="P110" s="13">
        <f t="shared" si="87"/>
        <v>52.577528895212815</v>
      </c>
      <c r="Q110" s="20">
        <f t="shared" si="107"/>
        <v>462.44302949249544</v>
      </c>
      <c r="R110" s="57">
        <f t="shared" si="55"/>
        <v>746.47516337512548</v>
      </c>
      <c r="S110" s="57">
        <f ca="1">AVERAGE(OFFSET($R$3,0,0,'Données projet'!$E$9+1,1))-AVERAGE(OFFSET($H$3,0,0,'Données projet'!$E$9+1,1))</f>
        <v>332.70145542047612</v>
      </c>
      <c r="T110" s="57">
        <f t="shared" si="88"/>
        <v>172.22433737900428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26.837173047754387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26.837173047754387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67.463309240717265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6.5199999999999987</v>
      </c>
      <c r="AI110" s="13">
        <f>IF('Données projet'!$A$62&gt;35,AI109+AH110-AQ109,IF(A110&lt;'Données projet'!$A$62,$AF$205^A110,IF(A110='Données projet'!$A$62,'Données projet'!$B$62,AI109+AH110-AQ109)))</f>
        <v>273.87000000000012</v>
      </c>
      <c r="AJ110" s="13">
        <f>AI110*VLOOKUP('Données projet'!$B$10,Paramètres!$A$1:$I$89,3,0)*VLOOKUP('Données projet'!$B$10,Paramètres!$A$1:$I$89,5,0)</f>
        <v>247.79757600000011</v>
      </c>
      <c r="AK110" s="13">
        <f t="shared" si="89"/>
        <v>60.114082295241111</v>
      </c>
      <c r="AL110" s="20">
        <f t="shared" si="58"/>
        <v>536.27947153087837</v>
      </c>
      <c r="AM110" s="57">
        <f t="shared" si="59"/>
        <v>820.31160541350835</v>
      </c>
      <c r="AN110" s="57">
        <f ca="1">AVERAGE(OFFSET($AM$3,0,0,'Données projet'!$E$10+1,1))-AVERAGE(OFFSET($H$3,0,0,'Données projet'!$E$10+1,1))</f>
        <v>469.4210143164521</v>
      </c>
      <c r="AO110" s="57">
        <f t="shared" si="90"/>
        <v>308.4508386530556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29.807208333186697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29.807208333186697</v>
      </c>
      <c r="AY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67.463309240717265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7" t="e">
        <f t="shared" si="62"/>
        <v>#NUM!</v>
      </c>
      <c r="BI110" s="57">
        <f ca="1">AVERAGE(OFFSET($BH$3,0,0,'Données projet'!$E$11+1,1))-AVERAGE(OFFSET($H$3,0,0,'Données projet'!$E$11+1,1))</f>
        <v>344.32981377462971</v>
      </c>
      <c r="BJ110" s="57">
        <f t="shared" si="92"/>
        <v>334.42512656625763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68.009701361669144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68.009701361669144</v>
      </c>
      <c r="BT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67.463309240717265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6.2</v>
      </c>
      <c r="BY110" s="12">
        <f>IF('Données projet'!$A$114&gt;35,BY109+BX110-CG109,IF(A110&lt;'Données projet'!$A$114,$BV$205^A110,IF(A110='Données projet'!$A$114,'Données projet'!$B$114,BY109+BX110-CG109)))</f>
        <v>303.40000000000049</v>
      </c>
      <c r="BZ110" s="13">
        <f>BY110*VLOOKUP('Données projet'!$B$12,Paramètres!$A$1:$I$89,3,0)*VLOOKUP('Données projet'!$B$12,Paramètres!$A$1:$I$89,5,0)</f>
        <v>288.71544000000046</v>
      </c>
      <c r="CA110" s="13">
        <f t="shared" si="93"/>
        <v>68.805533331599833</v>
      </c>
      <c r="CB110" s="20">
        <f t="shared" si="64"/>
        <v>622.68236188587059</v>
      </c>
      <c r="CC110" s="57">
        <f t="shared" si="65"/>
        <v>906.71449576850057</v>
      </c>
      <c r="CD110" s="57">
        <f ca="1">AVERAGE(OFFSET($CC$3,0,0,'Données projet'!$E$12+1,1))-AVERAGE(OFFSET($H$3,0,0,'Données projet'!$E$12+1,1))</f>
        <v>498.77732039282807</v>
      </c>
      <c r="CE110" s="57">
        <f t="shared" si="94"/>
        <v>384.57317421826531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66.338529540773791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66.338529540773791</v>
      </c>
      <c r="CO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67.463309240717265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6.5199999999999987</v>
      </c>
      <c r="CT110" s="12">
        <f>IF('Données projet'!$A$140&gt;35,CT109+CS110-DB109,IF(A110&lt;'Données projet'!$A$140,$CQ$205^A110,IF(A110='Données projet'!$A$140,'Données projet'!$B$140,CT109+CS110-DB109)))</f>
        <v>273.87000000000012</v>
      </c>
      <c r="CU110" s="17">
        <f>CT110*VLOOKUP('Données projet'!$B$13,Paramètres!$A$1:$I$89,3,0)*VLOOKUP('Données projet'!$B$13,Paramètres!$A$1:$I$89,5,0)</f>
        <v>183.71199600000008</v>
      </c>
      <c r="CV110" s="13">
        <f t="shared" si="95"/>
        <v>46.147053215816065</v>
      </c>
      <c r="CW110" s="20">
        <f t="shared" si="67"/>
        <v>400.33784405087977</v>
      </c>
      <c r="CX110" s="57">
        <f t="shared" si="68"/>
        <v>684.36997793350974</v>
      </c>
      <c r="CY110" s="57">
        <f ca="1">AVERAGE(OFFSET($CX$3,0,0,'Données projet'!$E$13+1,1))-AVERAGE(OFFSET($H$3,0,0,'Données projet'!$E$13+1,1))</f>
        <v>365.99625753737246</v>
      </c>
      <c r="CZ110" s="57">
        <f t="shared" si="96"/>
        <v>242.84814712692287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27.237621407911988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27.237621407911988</v>
      </c>
      <c r="DJ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67.463309240717265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2.2737367544323206E-13</v>
      </c>
      <c r="DP110" s="17">
        <f>DO110*VLOOKUP('Données projet'!$B$14,Paramètres!$A$1:$I$89,3,0)*VLOOKUP('Données projet'!$B$14,Paramètres!$A$1:$I$89,5,0)</f>
        <v>1.4897523215040565E-13</v>
      </c>
      <c r="DQ110" s="13">
        <f t="shared" si="97"/>
        <v>2.136562777003313E-12</v>
      </c>
      <c r="DR110" s="20">
        <f t="shared" si="70"/>
        <v>3.9806453659427267E-12</v>
      </c>
      <c r="DS110" s="57">
        <f t="shared" si="71"/>
        <v>284.03213388263396</v>
      </c>
      <c r="DT110" s="57">
        <f ca="1">AVERAGE(OFFSET($DS$3,0,0,'Données projet'!$E$14+1,1))-AVERAGE(OFFSET($H$3,0,0,'Données projet'!$E$14+1,1))</f>
        <v>313.79279628660527</v>
      </c>
      <c r="DU110" s="57">
        <f t="shared" si="98"/>
        <v>317.45469955216254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66.077730497701751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66.077730497701751</v>
      </c>
      <c r="EE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67.463309240717265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-1.1368683772161603E-13</v>
      </c>
      <c r="EK110" s="17">
        <f>EJ110*VLOOKUP('Données projet'!$B$15,Paramètres!$A$1:$I$89,3,0)*VLOOKUP('Données projet'!$B$15,Paramètres!$A$1:$I$89,5,0)</f>
        <v>-9.7543306765146564E-14</v>
      </c>
      <c r="EL110" s="13" t="e">
        <f t="shared" si="99"/>
        <v>#NUM!</v>
      </c>
      <c r="EM110" s="20" t="e">
        <f t="shared" si="73"/>
        <v>#NUM!</v>
      </c>
      <c r="EN110" s="57" t="e">
        <f t="shared" si="74"/>
        <v>#NUM!</v>
      </c>
      <c r="EO110" s="57">
        <f ca="1">AVERAGE(OFFSET($EN$3,0,0,'Données projet'!$E$15+1,1))-AVERAGE(OFFSET($H$3,0,0,'Données projet'!$E$15+1,1))</f>
        <v>643.04899298561475</v>
      </c>
      <c r="EP110" s="57">
        <f t="shared" si="100"/>
        <v>474.94999304483031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244.92594338991762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244.92594338991762</v>
      </c>
      <c r="EZ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67.463309240717265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>
        <f>FE110*VLOOKUP('Données projet'!$B$16,Paramètres!$A$1:$I$89,3,0)*VLOOKUP('Données projet'!$B$16,Paramètres!$A$1:$I$89,5,0)</f>
        <v>0</v>
      </c>
      <c r="FG110" s="13" t="e">
        <f t="shared" si="101"/>
        <v>#NUM!</v>
      </c>
      <c r="FH110" s="20" t="e">
        <f t="shared" si="76"/>
        <v>#NUM!</v>
      </c>
      <c r="FI110" s="57" t="e">
        <f t="shared" si="77"/>
        <v>#NUM!</v>
      </c>
      <c r="FJ110" s="57">
        <f ca="1">AVERAGE(OFFSET($FI$3,0,0,'Données projet'!$E$16+1,1))-AVERAGE(OFFSET($H$3,0,0,'Données projet'!$E$16+1,1))</f>
        <v>375.34603719604439</v>
      </c>
      <c r="FK110" s="57">
        <f t="shared" si="102"/>
        <v>363.99476973672211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92.743561084987704</v>
      </c>
      <c r="FR110" s="21">
        <f>EXP(-LN(2)/25)*FR109+(1-EXP(-LN(2)/25))/(LN(2)/25)*Calculateur!FM110*Calculateur!FO110*VLOOKUP('Données projet'!$B$16,Paramètres!$A$1:$I$89,3,0)*0.475*44/12</f>
        <v>0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92.743561084987704</v>
      </c>
      <c r="FU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67.463309240717265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-1.1368683772161603E-13</v>
      </c>
      <c r="GA110" s="17">
        <f>FZ110*VLOOKUP('Données projet'!$B$17,Paramètres!$A$1:$I$89,3,0)*VLOOKUP('Données projet'!$B$17,Paramètres!$A$1:$I$89,5,0)</f>
        <v>-6.3550942286383367E-14</v>
      </c>
      <c r="GB110" s="13" t="e">
        <f t="shared" si="103"/>
        <v>#NUM!</v>
      </c>
      <c r="GC110" s="20" t="e">
        <f t="shared" si="79"/>
        <v>#NUM!</v>
      </c>
      <c r="GD110" s="57" t="e">
        <f t="shared" si="80"/>
        <v>#NUM!</v>
      </c>
      <c r="GE110" s="57">
        <f ca="1">AVERAGE(OFFSET($GD$3,0,0,'Données projet'!$E$17+1,1))-AVERAGE(OFFSET($H$3,0,0,'Données projet'!$E$17+1,1))</f>
        <v>414.47327143450701</v>
      </c>
      <c r="GF110" s="57">
        <f t="shared" si="104"/>
        <v>546.83385887302961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105.42708015167052</v>
      </c>
      <c r="GM110" s="21">
        <f>EXP(-LN(2)/25)*GM109+(1-EXP(-LN(2)/25))/(LN(2)/25)*Calculateur!GH110*Calculateur!GJ110*VLOOKUP('Données projet'!$B$17,Paramètres!$A$1:$I$89,3,0)*0.475*44/12</f>
        <v>14.646091297597129</v>
      </c>
      <c r="GN110" s="21">
        <f>EXP(-LN(2)/2)*GN109+(1-EXP(-LN(2)/2))/(LN(2)/2)*GH110*GK110*VLOOKUP('Données projet'!$B$17,Paramètres!$A$1:$I$89,3,0)*0.475*44/12</f>
        <v>4.3776846641418596E-7</v>
      </c>
      <c r="GO110" s="21">
        <f t="shared" si="81"/>
        <v>120.07317188703611</v>
      </c>
      <c r="GP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67.463309240717265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-2.2737367544323206E-13</v>
      </c>
      <c r="GV110" s="17">
        <f>GU110*VLOOKUP('Données projet'!$B$18,Paramètres!$A$1:$I$89,3,0)*VLOOKUP('Données projet'!$B$18,Paramètres!$A$1:$I$89,5,0)</f>
        <v>-1.2414602679200471E-13</v>
      </c>
      <c r="GW110" s="13" t="e">
        <f t="shared" si="105"/>
        <v>#NUM!</v>
      </c>
      <c r="GX110" s="20" t="e">
        <f t="shared" si="82"/>
        <v>#NUM!</v>
      </c>
      <c r="GY110" s="57" t="e">
        <f t="shared" si="83"/>
        <v>#NUM!</v>
      </c>
      <c r="GZ110" s="57">
        <f ca="1">AVERAGE(OFFSET($GY$3,0,0,'Données projet'!$E$18+1,1))-AVERAGE(OFFSET($H$3,0,0,'Données projet'!$E$18+1,1))</f>
        <v>381.00532469288714</v>
      </c>
      <c r="HA110" s="57">
        <f t="shared" si="106"/>
        <v>314.875259641757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>
        <f>EXP(-LN(2)/35)*HG109+(1-EXP(-LN(2)/35))/(LN(2)/35)*HC110*HD110*VLOOKUP('Données projet'!$B$18,Paramètres!$A$1:$I$89,3,0)*0.475*44/12</f>
        <v>177.60731578210707</v>
      </c>
      <c r="HH110" s="21">
        <f>EXP(-LN(2)/25)*HH109+(1-EXP(-LN(2)/25))/(LN(2)/25)*Calculateur!HC110*Calculateur!HE110*VLOOKUP('Données projet'!$B$18,Paramètres!$A$1:$I$89,3,0)*0.475*44/12</f>
        <v>27.17354535725282</v>
      </c>
      <c r="HI110" s="21">
        <f>EXP(-LN(2)/2)*HI109+(1-EXP(-LN(2)/2))/(LN(2)/2)*HC110*HF110*VLOOKUP('Données projet'!$B$18,Paramètres!$A$1:$I$89,3,0)*0.475*44/12</f>
        <v>2.2073038716267463</v>
      </c>
      <c r="HJ110" s="22">
        <f t="shared" si="84"/>
        <v>206.98816501098665</v>
      </c>
    </row>
    <row r="111" spans="1:218" x14ac:dyDescent="0.2">
      <c r="A111" s="10">
        <f t="shared" si="85"/>
        <v>108</v>
      </c>
      <c r="B111" s="71">
        <f>'Scénario référence'!$B$16*5+'Scénario référence'!$B$17*0+'Scénario référence'!$B$18*5</f>
        <v>3.3000000000000003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12.100000000000001</v>
      </c>
      <c r="H111" s="65">
        <f t="shared" si="56"/>
        <v>208.26666666666665</v>
      </c>
      <c r="I111" s="6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67.507315154199887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3</v>
      </c>
      <c r="N111" s="13">
        <f>IF('Données projet'!$A$36&gt;35,N110+M111-V110,IF(A111&lt;'Données projet'!$A$36,$K$205^A111,IF(A111='Données projet'!$A$36,'Données projet'!$B$36,N110+M111-V110)))</f>
        <v>212.99999999999991</v>
      </c>
      <c r="O111" s="13">
        <f>N111*VLOOKUP('Données projet'!$B$9,Paramètres!$A$1:$I$89,3,0)*VLOOKUP('Données projet'!$B$9,Paramètres!$A$1:$I$89,5,0)</f>
        <v>215.98199999999994</v>
      </c>
      <c r="P111" s="13">
        <f t="shared" si="87"/>
        <v>53.240658641505036</v>
      </c>
      <c r="Q111" s="20">
        <f t="shared" si="107"/>
        <v>468.89613046728778</v>
      </c>
      <c r="R111" s="57">
        <f t="shared" si="55"/>
        <v>753.08961936602077</v>
      </c>
      <c r="S111" s="57">
        <f ca="1">AVERAGE(OFFSET($R$3,0,0,'Données projet'!$E$9+1,1))-AVERAGE(OFFSET($H$3,0,0,'Données projet'!$E$9+1,1))</f>
        <v>332.70145542047612</v>
      </c>
      <c r="T111" s="57">
        <f t="shared" si="88"/>
        <v>172.22433737900428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26.310912453347171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26.310912453347171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67.507315154199887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6.5199999999999987</v>
      </c>
      <c r="AI111" s="13">
        <f>IF('Données projet'!$A$62&gt;35,AI110+AH111-AQ110,IF(A111&lt;'Données projet'!$A$62,$AF$205^A111,IF(A111='Données projet'!$A$62,'Données projet'!$B$62,AI110+AH111-AQ110)))</f>
        <v>280.3900000000001</v>
      </c>
      <c r="AJ111" s="13">
        <f>AI111*VLOOKUP('Données projet'!$B$10,Paramètres!$A$1:$I$89,3,0)*VLOOKUP('Données projet'!$B$10,Paramètres!$A$1:$I$89,5,0)</f>
        <v>253.69687200000007</v>
      </c>
      <c r="AK111" s="13">
        <f t="shared" si="89"/>
        <v>61.376892769371267</v>
      </c>
      <c r="AL111" s="20">
        <f t="shared" si="58"/>
        <v>548.75347363998844</v>
      </c>
      <c r="AM111" s="57">
        <f t="shared" si="59"/>
        <v>832.94696253872144</v>
      </c>
      <c r="AN111" s="57">
        <f ca="1">AVERAGE(OFFSET($AM$3,0,0,'Données projet'!$E$10+1,1))-AVERAGE(OFFSET($H$3,0,0,'Données projet'!$E$10+1,1))</f>
        <v>469.4210143164521</v>
      </c>
      <c r="AO111" s="57">
        <f t="shared" si="90"/>
        <v>308.4508386530556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29.222707158374803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29.222707158374803</v>
      </c>
      <c r="AY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67.507315154199887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7" t="e">
        <f t="shared" si="62"/>
        <v>#NUM!</v>
      </c>
      <c r="BI111" s="57">
        <f ca="1">AVERAGE(OFFSET($BH$3,0,0,'Données projet'!$E$11+1,1))-AVERAGE(OFFSET($H$3,0,0,'Données projet'!$E$11+1,1))</f>
        <v>344.32981377462971</v>
      </c>
      <c r="BJ111" s="57">
        <f t="shared" si="92"/>
        <v>334.42512656625763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66.676072599788654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66.676072599788654</v>
      </c>
      <c r="BT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67.507315154199887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6.2</v>
      </c>
      <c r="BY111" s="12">
        <f>IF('Données projet'!$A$114&gt;35,BY110+BX111-CG110,IF(A111&lt;'Données projet'!$A$114,$BV$205^A111,IF(A111='Données projet'!$A$114,'Données projet'!$B$114,BY110+BX111-CG110)))</f>
        <v>309.60000000000048</v>
      </c>
      <c r="BZ111" s="13">
        <f>BY111*VLOOKUP('Données projet'!$B$12,Paramètres!$A$1:$I$89,3,0)*VLOOKUP('Données projet'!$B$12,Paramètres!$A$1:$I$89,5,0)</f>
        <v>294.61536000000046</v>
      </c>
      <c r="CA111" s="13">
        <f t="shared" si="93"/>
        <v>70.046448957652558</v>
      </c>
      <c r="CB111" s="20">
        <f t="shared" si="64"/>
        <v>635.11931726791238</v>
      </c>
      <c r="CC111" s="57">
        <f t="shared" si="65"/>
        <v>919.31280616664526</v>
      </c>
      <c r="CD111" s="57">
        <f ca="1">AVERAGE(OFFSET($CC$3,0,0,'Données projet'!$E$12+1,1))-AVERAGE(OFFSET($H$3,0,0,'Données projet'!$E$12+1,1))</f>
        <v>498.77732039282807</v>
      </c>
      <c r="CE111" s="57">
        <f t="shared" si="94"/>
        <v>384.57317421826531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65.037671438986891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65.037671438986891</v>
      </c>
      <c r="CO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67.507315154199887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6.5199999999999987</v>
      </c>
      <c r="CT111" s="12">
        <f>IF('Données projet'!$A$140&gt;35,CT110+CS111-DB110,IF(A111&lt;'Données projet'!$A$140,$CQ$205^A111,IF(A111='Données projet'!$A$140,'Données projet'!$B$140,CT110+CS111-DB110)))</f>
        <v>280.3900000000001</v>
      </c>
      <c r="CU111" s="17">
        <f>CT111*VLOOKUP('Données projet'!$B$13,Paramètres!$A$1:$I$89,3,0)*VLOOKUP('Données projet'!$B$13,Paramètres!$A$1:$I$89,5,0)</f>
        <v>188.08561200000008</v>
      </c>
      <c r="CV111" s="13">
        <f t="shared" si="95"/>
        <v>47.116459716358911</v>
      </c>
      <c r="CW111" s="20">
        <f t="shared" si="67"/>
        <v>409.6436082393252</v>
      </c>
      <c r="CX111" s="57">
        <f t="shared" si="68"/>
        <v>693.8370971380582</v>
      </c>
      <c r="CY111" s="57">
        <f ca="1">AVERAGE(OFFSET($CX$3,0,0,'Données projet'!$E$13+1,1))-AVERAGE(OFFSET($H$3,0,0,'Données projet'!$E$13+1,1))</f>
        <v>365.99625753737246</v>
      </c>
      <c r="CZ111" s="57">
        <f t="shared" si="96"/>
        <v>242.84814712692287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26.703508265411465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26.703508265411465</v>
      </c>
      <c r="DJ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67.507315154199887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2.2737367544323206E-13</v>
      </c>
      <c r="DP111" s="17">
        <f>DO111*VLOOKUP('Données projet'!$B$14,Paramètres!$A$1:$I$89,3,0)*VLOOKUP('Données projet'!$B$14,Paramètres!$A$1:$I$89,5,0)</f>
        <v>1.4897523215040565E-13</v>
      </c>
      <c r="DQ111" s="13">
        <f t="shared" si="97"/>
        <v>2.136562777003313E-12</v>
      </c>
      <c r="DR111" s="20">
        <f t="shared" si="70"/>
        <v>3.9806453659427267E-12</v>
      </c>
      <c r="DS111" s="57">
        <f t="shared" si="71"/>
        <v>284.19348889873692</v>
      </c>
      <c r="DT111" s="57">
        <f ca="1">AVERAGE(OFFSET($DS$3,0,0,'Données projet'!$E$14+1,1))-AVERAGE(OFFSET($H$3,0,0,'Données projet'!$E$14+1,1))</f>
        <v>313.79279628660527</v>
      </c>
      <c r="DU111" s="57">
        <f t="shared" si="98"/>
        <v>317.45469955216254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64.781986506077786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64.781986506077786</v>
      </c>
      <c r="EE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67.507315154199887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-1.1368683772161603E-13</v>
      </c>
      <c r="EK111" s="17">
        <f>EJ111*VLOOKUP('Données projet'!$B$15,Paramètres!$A$1:$I$89,3,0)*VLOOKUP('Données projet'!$B$15,Paramètres!$A$1:$I$89,5,0)</f>
        <v>-9.7543306765146564E-14</v>
      </c>
      <c r="EL111" s="13" t="e">
        <f t="shared" si="99"/>
        <v>#NUM!</v>
      </c>
      <c r="EM111" s="20" t="e">
        <f t="shared" si="73"/>
        <v>#NUM!</v>
      </c>
      <c r="EN111" s="57" t="e">
        <f t="shared" si="74"/>
        <v>#NUM!</v>
      </c>
      <c r="EO111" s="57">
        <f ca="1">AVERAGE(OFFSET($EN$3,0,0,'Données projet'!$E$15+1,1))-AVERAGE(OFFSET($H$3,0,0,'Données projet'!$E$15+1,1))</f>
        <v>643.04899298561475</v>
      </c>
      <c r="EP111" s="57">
        <f t="shared" si="100"/>
        <v>474.94999304483031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240.12309503011576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240.12309503011576</v>
      </c>
      <c r="EZ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67.507315154199887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>
        <f>FE111*VLOOKUP('Données projet'!$B$16,Paramètres!$A$1:$I$89,3,0)*VLOOKUP('Données projet'!$B$16,Paramètres!$A$1:$I$89,5,0)</f>
        <v>0</v>
      </c>
      <c r="FG111" s="13" t="e">
        <f t="shared" si="101"/>
        <v>#NUM!</v>
      </c>
      <c r="FH111" s="20" t="e">
        <f t="shared" si="76"/>
        <v>#NUM!</v>
      </c>
      <c r="FI111" s="57" t="e">
        <f t="shared" si="77"/>
        <v>#NUM!</v>
      </c>
      <c r="FJ111" s="57">
        <f ca="1">AVERAGE(OFFSET($FI$3,0,0,'Données projet'!$E$16+1,1))-AVERAGE(OFFSET($H$3,0,0,'Données projet'!$E$16+1,1))</f>
        <v>375.34603719604439</v>
      </c>
      <c r="FK111" s="57">
        <f t="shared" si="102"/>
        <v>363.99476973672211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90.92491642009773</v>
      </c>
      <c r="FR111" s="21">
        <f>EXP(-LN(2)/25)*FR110+(1-EXP(-LN(2)/25))/(LN(2)/25)*Calculateur!FM111*Calculateur!FO111*VLOOKUP('Données projet'!$B$16,Paramètres!$A$1:$I$89,3,0)*0.475*44/12</f>
        <v>0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90.92491642009773</v>
      </c>
      <c r="FU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67.507315154199887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-1.1368683772161603E-13</v>
      </c>
      <c r="GA111" s="17">
        <f>FZ111*VLOOKUP('Données projet'!$B$17,Paramètres!$A$1:$I$89,3,0)*VLOOKUP('Données projet'!$B$17,Paramètres!$A$1:$I$89,5,0)</f>
        <v>-6.3550942286383367E-14</v>
      </c>
      <c r="GB111" s="13" t="e">
        <f t="shared" si="103"/>
        <v>#NUM!</v>
      </c>
      <c r="GC111" s="20" t="e">
        <f t="shared" si="79"/>
        <v>#NUM!</v>
      </c>
      <c r="GD111" s="57" t="e">
        <f t="shared" si="80"/>
        <v>#NUM!</v>
      </c>
      <c r="GE111" s="57">
        <f ca="1">AVERAGE(OFFSET($GD$3,0,0,'Données projet'!$E$17+1,1))-AVERAGE(OFFSET($H$3,0,0,'Données projet'!$E$17+1,1))</f>
        <v>414.47327143450701</v>
      </c>
      <c r="GF111" s="57">
        <f t="shared" si="104"/>
        <v>546.83385887302961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103.35971941406565</v>
      </c>
      <c r="GM111" s="21">
        <f>EXP(-LN(2)/25)*GM110+(1-EXP(-LN(2)/25))/(LN(2)/25)*Calculateur!GH111*Calculateur!GJ111*VLOOKUP('Données projet'!$B$17,Paramètres!$A$1:$I$89,3,0)*0.475*44/12</f>
        <v>14.245593160859869</v>
      </c>
      <c r="GN111" s="21">
        <f>EXP(-LN(2)/2)*GN110+(1-EXP(-LN(2)/2))/(LN(2)/2)*GH111*GK111*VLOOKUP('Données projet'!$B$17,Paramètres!$A$1:$I$89,3,0)*0.475*44/12</f>
        <v>3.0954905119110626E-7</v>
      </c>
      <c r="GO111" s="21">
        <f t="shared" si="81"/>
        <v>117.60531288447457</v>
      </c>
      <c r="GP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67.507315154199887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-2.2737367544323206E-13</v>
      </c>
      <c r="GV111" s="17">
        <f>GU111*VLOOKUP('Données projet'!$B$18,Paramètres!$A$1:$I$89,3,0)*VLOOKUP('Données projet'!$B$18,Paramètres!$A$1:$I$89,5,0)</f>
        <v>-1.2414602679200471E-13</v>
      </c>
      <c r="GW111" s="13" t="e">
        <f t="shared" si="105"/>
        <v>#NUM!</v>
      </c>
      <c r="GX111" s="20" t="e">
        <f t="shared" si="82"/>
        <v>#NUM!</v>
      </c>
      <c r="GY111" s="57" t="e">
        <f t="shared" si="83"/>
        <v>#NUM!</v>
      </c>
      <c r="GZ111" s="57">
        <f ca="1">AVERAGE(OFFSET($GY$3,0,0,'Données projet'!$E$18+1,1))-AVERAGE(OFFSET($H$3,0,0,'Données projet'!$E$18+1,1))</f>
        <v>381.00532469288714</v>
      </c>
      <c r="HA111" s="57">
        <f t="shared" si="106"/>
        <v>314.875259641757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>
        <f>EXP(-LN(2)/35)*HG110+(1-EXP(-LN(2)/35))/(LN(2)/35)*HC111*HD111*VLOOKUP('Données projet'!$B$18,Paramètres!$A$1:$I$89,3,0)*0.475*44/12</f>
        <v>174.12454464938591</v>
      </c>
      <c r="HH111" s="21">
        <f>EXP(-LN(2)/25)*HH110+(1-EXP(-LN(2)/25))/(LN(2)/25)*Calculateur!HC111*Calculateur!HE111*VLOOKUP('Données projet'!$B$18,Paramètres!$A$1:$I$89,3,0)*0.475*44/12</f>
        <v>26.430483330464096</v>
      </c>
      <c r="HI111" s="21">
        <f>EXP(-LN(2)/2)*HI110+(1-EXP(-LN(2)/2))/(LN(2)/2)*HC111*HF111*VLOOKUP('Données projet'!$B$18,Paramètres!$A$1:$I$89,3,0)*0.475*44/12</f>
        <v>1.5607995357665929</v>
      </c>
      <c r="HJ111" s="22">
        <f t="shared" si="84"/>
        <v>202.11582751561659</v>
      </c>
    </row>
    <row r="112" spans="1:218" x14ac:dyDescent="0.2">
      <c r="A112" s="10">
        <f t="shared" si="85"/>
        <v>109</v>
      </c>
      <c r="B112" s="71">
        <f>'Scénario référence'!$B$16*5+'Scénario référence'!$B$17*0+'Scénario référence'!$B$18*5</f>
        <v>3.3000000000000003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12.100000000000001</v>
      </c>
      <c r="H112" s="65">
        <f t="shared" si="56"/>
        <v>208.26666666666665</v>
      </c>
      <c r="I112" s="6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67.550557663466066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3</v>
      </c>
      <c r="N112" s="13">
        <f>IF('Données projet'!$A$36&gt;35,N111+M112-V111,IF(A112&lt;'Données projet'!$A$36,$K$205^A112,IF(A112='Données projet'!$A$36,'Données projet'!$B$36,N111+M112-V111)))</f>
        <v>215.99999999999991</v>
      </c>
      <c r="O112" s="13">
        <f>N112*VLOOKUP('Données projet'!$B$9,Paramètres!$A$1:$I$89,3,0)*VLOOKUP('Données projet'!$B$9,Paramètres!$A$1:$I$89,5,0)</f>
        <v>219.02399999999992</v>
      </c>
      <c r="P112" s="13">
        <f t="shared" si="87"/>
        <v>53.902702081308306</v>
      </c>
      <c r="Q112" s="20">
        <f t="shared" si="107"/>
        <v>475.34733945827844</v>
      </c>
      <c r="R112" s="57">
        <f t="shared" si="55"/>
        <v>759.69938422432074</v>
      </c>
      <c r="S112" s="57">
        <f ca="1">AVERAGE(OFFSET($R$3,0,0,'Données projet'!$E$9+1,1))-AVERAGE(OFFSET($H$3,0,0,'Données projet'!$E$9+1,1))</f>
        <v>332.70145542047612</v>
      </c>
      <c r="T112" s="57">
        <f t="shared" si="88"/>
        <v>172.22433737900428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25.794971508209013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25.794971508209013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67.550557663466066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6.5199999999999987</v>
      </c>
      <c r="AI112" s="13">
        <f>IF('Données projet'!$A$62&gt;35,AI111+AH112-AQ111,IF(A112&lt;'Données projet'!$A$62,$AF$205^A112,IF(A112='Données projet'!$A$62,'Données projet'!$B$62,AI111+AH112-AQ111)))</f>
        <v>286.91000000000008</v>
      </c>
      <c r="AJ112" s="13">
        <f>AI112*VLOOKUP('Données projet'!$B$10,Paramètres!$A$1:$I$89,3,0)*VLOOKUP('Données projet'!$B$10,Paramètres!$A$1:$I$89,5,0)</f>
        <v>259.59616800000009</v>
      </c>
      <c r="AK112" s="13">
        <f t="shared" si="89"/>
        <v>62.636289507113787</v>
      </c>
      <c r="AL112" s="20">
        <f t="shared" si="58"/>
        <v>561.22153015822335</v>
      </c>
      <c r="AM112" s="57">
        <f t="shared" si="59"/>
        <v>845.57357492426559</v>
      </c>
      <c r="AN112" s="57">
        <f ca="1">AVERAGE(OFFSET($AM$3,0,0,'Données projet'!$E$10+1,1))-AVERAGE(OFFSET($H$3,0,0,'Données projet'!$E$10+1,1))</f>
        <v>469.4210143164521</v>
      </c>
      <c r="AO112" s="57">
        <f t="shared" si="90"/>
        <v>308.4508386530556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28.649667695090457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28.649667695090457</v>
      </c>
      <c r="AY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67.550557663466066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7" t="e">
        <f t="shared" si="62"/>
        <v>#NUM!</v>
      </c>
      <c r="BI112" s="57">
        <f ca="1">AVERAGE(OFFSET($BH$3,0,0,'Données projet'!$E$11+1,1))-AVERAGE(OFFSET($H$3,0,0,'Données projet'!$E$11+1,1))</f>
        <v>344.32981377462971</v>
      </c>
      <c r="BJ112" s="57">
        <f t="shared" si="92"/>
        <v>334.42512656625763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65.368595484495415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65.368595484495415</v>
      </c>
      <c r="BT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67.550557663466066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6.2</v>
      </c>
      <c r="BY112" s="12">
        <f>IF('Données projet'!$A$114&gt;35,BY111+BX112-CG111,IF(A112&lt;'Données projet'!$A$114,$BV$205^A112,IF(A112='Données projet'!$A$114,'Données projet'!$B$114,BY111+BX112-CG111)))</f>
        <v>315.80000000000047</v>
      </c>
      <c r="BZ112" s="13">
        <f>BY112*VLOOKUP('Données projet'!$B$12,Paramètres!$A$1:$I$89,3,0)*VLOOKUP('Données projet'!$B$12,Paramètres!$A$1:$I$89,5,0)</f>
        <v>300.51528000000047</v>
      </c>
      <c r="CA112" s="13">
        <f t="shared" si="93"/>
        <v>71.284475164313605</v>
      </c>
      <c r="CB112" s="20">
        <f t="shared" si="64"/>
        <v>647.55124024451368</v>
      </c>
      <c r="CC112" s="57">
        <f t="shared" si="65"/>
        <v>931.90328501055592</v>
      </c>
      <c r="CD112" s="57">
        <f ca="1">AVERAGE(OFFSET($CC$3,0,0,'Données projet'!$E$12+1,1))-AVERAGE(OFFSET($H$3,0,0,'Données projet'!$E$12+1,1))</f>
        <v>498.77732039282807</v>
      </c>
      <c r="CE112" s="57">
        <f t="shared" si="94"/>
        <v>384.57317421826531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63.762322371130942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63.762322371130942</v>
      </c>
      <c r="CO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67.550557663466066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6.5199999999999987</v>
      </c>
      <c r="CT112" s="12">
        <f>IF('Données projet'!$A$140&gt;35,CT111+CS112-DB111,IF(A112&lt;'Données projet'!$A$140,$CQ$205^A112,IF(A112='Données projet'!$A$140,'Données projet'!$B$140,CT111+CS112-DB111)))</f>
        <v>286.91000000000008</v>
      </c>
      <c r="CU112" s="17">
        <f>CT112*VLOOKUP('Données projet'!$B$13,Paramètres!$A$1:$I$89,3,0)*VLOOKUP('Données projet'!$B$13,Paramètres!$A$1:$I$89,5,0)</f>
        <v>192.45922800000005</v>
      </c>
      <c r="CV112" s="13">
        <f t="shared" si="95"/>
        <v>48.083245635022557</v>
      </c>
      <c r="CW112" s="20">
        <f t="shared" si="67"/>
        <v>418.94480824766441</v>
      </c>
      <c r="CX112" s="57">
        <f t="shared" si="68"/>
        <v>703.2968530137066</v>
      </c>
      <c r="CY112" s="57">
        <f ca="1">AVERAGE(OFFSET($CX$3,0,0,'Données projet'!$E$13+1,1))-AVERAGE(OFFSET($H$3,0,0,'Données projet'!$E$13+1,1))</f>
        <v>365.99625753737246</v>
      </c>
      <c r="CZ112" s="57">
        <f t="shared" si="96"/>
        <v>242.84814712692287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26.179868755858529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26.179868755858529</v>
      </c>
      <c r="DJ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67.550557663466066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2.2737367544323206E-13</v>
      </c>
      <c r="DP112" s="17">
        <f>DO112*VLOOKUP('Données projet'!$B$14,Paramètres!$A$1:$I$89,3,0)*VLOOKUP('Données projet'!$B$14,Paramètres!$A$1:$I$89,5,0)</f>
        <v>1.4897523215040565E-13</v>
      </c>
      <c r="DQ112" s="13">
        <f t="shared" si="97"/>
        <v>2.136562777003313E-12</v>
      </c>
      <c r="DR112" s="20">
        <f t="shared" si="70"/>
        <v>3.9806453659427267E-12</v>
      </c>
      <c r="DS112" s="57">
        <f t="shared" si="71"/>
        <v>284.35204476604622</v>
      </c>
      <c r="DT112" s="57">
        <f ca="1">AVERAGE(OFFSET($DS$3,0,0,'Données projet'!$E$14+1,1))-AVERAGE(OFFSET($H$3,0,0,'Données projet'!$E$14+1,1))</f>
        <v>313.79279628660527</v>
      </c>
      <c r="DU112" s="57">
        <f t="shared" si="98"/>
        <v>317.45469955216254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63.51165126380377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63.51165126380377</v>
      </c>
      <c r="EE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67.550557663466066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-1.1368683772161603E-13</v>
      </c>
      <c r="EK112" s="17">
        <f>EJ112*VLOOKUP('Données projet'!$B$15,Paramètres!$A$1:$I$89,3,0)*VLOOKUP('Données projet'!$B$15,Paramètres!$A$1:$I$89,5,0)</f>
        <v>-9.7543306765146564E-14</v>
      </c>
      <c r="EL112" s="13" t="e">
        <f t="shared" si="99"/>
        <v>#NUM!</v>
      </c>
      <c r="EM112" s="20" t="e">
        <f t="shared" si="73"/>
        <v>#NUM!</v>
      </c>
      <c r="EN112" s="57" t="e">
        <f t="shared" si="74"/>
        <v>#NUM!</v>
      </c>
      <c r="EO112" s="57">
        <f ca="1">AVERAGE(OFFSET($EN$3,0,0,'Données projet'!$E$15+1,1))-AVERAGE(OFFSET($H$3,0,0,'Données projet'!$E$15+1,1))</f>
        <v>643.04899298561475</v>
      </c>
      <c r="EP112" s="57">
        <f t="shared" si="100"/>
        <v>474.94999304483031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235.41442759720138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235.41442759720138</v>
      </c>
      <c r="EZ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67.550557663466066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>
        <f>FE112*VLOOKUP('Données projet'!$B$16,Paramètres!$A$1:$I$89,3,0)*VLOOKUP('Données projet'!$B$16,Paramètres!$A$1:$I$89,5,0)</f>
        <v>0</v>
      </c>
      <c r="FG112" s="13" t="e">
        <f t="shared" si="101"/>
        <v>#NUM!</v>
      </c>
      <c r="FH112" s="20" t="e">
        <f t="shared" si="76"/>
        <v>#NUM!</v>
      </c>
      <c r="FI112" s="57" t="e">
        <f t="shared" si="77"/>
        <v>#NUM!</v>
      </c>
      <c r="FJ112" s="57">
        <f ca="1">AVERAGE(OFFSET($FI$3,0,0,'Données projet'!$E$16+1,1))-AVERAGE(OFFSET($H$3,0,0,'Données projet'!$E$16+1,1))</f>
        <v>375.34603719604439</v>
      </c>
      <c r="FK112" s="57">
        <f t="shared" si="102"/>
        <v>363.99476973672211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89.141934267822535</v>
      </c>
      <c r="FR112" s="21">
        <f>EXP(-LN(2)/25)*FR111+(1-EXP(-LN(2)/25))/(LN(2)/25)*Calculateur!FM112*Calculateur!FO112*VLOOKUP('Données projet'!$B$16,Paramètres!$A$1:$I$89,3,0)*0.475*44/12</f>
        <v>0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89.141934267822535</v>
      </c>
      <c r="FU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67.550557663466066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-1.1368683772161603E-13</v>
      </c>
      <c r="GA112" s="17">
        <f>FZ112*VLOOKUP('Données projet'!$B$17,Paramètres!$A$1:$I$89,3,0)*VLOOKUP('Données projet'!$B$17,Paramètres!$A$1:$I$89,5,0)</f>
        <v>-6.3550942286383367E-14</v>
      </c>
      <c r="GB112" s="13" t="e">
        <f t="shared" si="103"/>
        <v>#NUM!</v>
      </c>
      <c r="GC112" s="20" t="e">
        <f t="shared" si="79"/>
        <v>#NUM!</v>
      </c>
      <c r="GD112" s="57" t="e">
        <f t="shared" si="80"/>
        <v>#NUM!</v>
      </c>
      <c r="GE112" s="57">
        <f ca="1">AVERAGE(OFFSET($GD$3,0,0,'Données projet'!$E$17+1,1))-AVERAGE(OFFSET($H$3,0,0,'Données projet'!$E$17+1,1))</f>
        <v>414.47327143450701</v>
      </c>
      <c r="GF112" s="57">
        <f t="shared" si="104"/>
        <v>546.83385887302961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101.33289835955966</v>
      </c>
      <c r="GM112" s="21">
        <f>EXP(-LN(2)/25)*GM111+(1-EXP(-LN(2)/25))/(LN(2)/25)*Calculateur!GH112*Calculateur!GJ112*VLOOKUP('Données projet'!$B$17,Paramètres!$A$1:$I$89,3,0)*0.475*44/12</f>
        <v>13.85604666673297</v>
      </c>
      <c r="GN112" s="21">
        <f>EXP(-LN(2)/2)*GN111+(1-EXP(-LN(2)/2))/(LN(2)/2)*GH112*GK112*VLOOKUP('Données projet'!$B$17,Paramètres!$A$1:$I$89,3,0)*0.475*44/12</f>
        <v>2.1888423320709298E-7</v>
      </c>
      <c r="GO112" s="21">
        <f t="shared" si="81"/>
        <v>115.18894524517687</v>
      </c>
      <c r="GP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67.550557663466066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-2.2737367544323206E-13</v>
      </c>
      <c r="GV112" s="17">
        <f>GU112*VLOOKUP('Données projet'!$B$18,Paramètres!$A$1:$I$89,3,0)*VLOOKUP('Données projet'!$B$18,Paramètres!$A$1:$I$89,5,0)</f>
        <v>-1.2414602679200471E-13</v>
      </c>
      <c r="GW112" s="13" t="e">
        <f t="shared" si="105"/>
        <v>#NUM!</v>
      </c>
      <c r="GX112" s="20" t="e">
        <f t="shared" si="82"/>
        <v>#NUM!</v>
      </c>
      <c r="GY112" s="57" t="e">
        <f t="shared" si="83"/>
        <v>#NUM!</v>
      </c>
      <c r="GZ112" s="57">
        <f ca="1">AVERAGE(OFFSET($GY$3,0,0,'Données projet'!$E$18+1,1))-AVERAGE(OFFSET($H$3,0,0,'Données projet'!$E$18+1,1))</f>
        <v>381.00532469288714</v>
      </c>
      <c r="HA112" s="57">
        <f t="shared" si="106"/>
        <v>314.875259641757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>
        <f>EXP(-LN(2)/35)*HG111+(1-EXP(-LN(2)/35))/(LN(2)/35)*HC112*HD112*VLOOKUP('Données projet'!$B$18,Paramètres!$A$1:$I$89,3,0)*0.475*44/12</f>
        <v>170.71006853429677</v>
      </c>
      <c r="HH112" s="21">
        <f>EXP(-LN(2)/25)*HH111+(1-EXP(-LN(2)/25))/(LN(2)/25)*Calculateur!HC112*Calculateur!HE112*VLOOKUP('Données projet'!$B$18,Paramètres!$A$1:$I$89,3,0)*0.475*44/12</f>
        <v>25.707740373873843</v>
      </c>
      <c r="HI112" s="21">
        <f>EXP(-LN(2)/2)*HI111+(1-EXP(-LN(2)/2))/(LN(2)/2)*HC112*HF112*VLOOKUP('Données projet'!$B$18,Paramètres!$A$1:$I$89,3,0)*0.475*44/12</f>
        <v>1.1036519358133732</v>
      </c>
      <c r="HJ112" s="22">
        <f t="shared" si="84"/>
        <v>197.52146084398396</v>
      </c>
    </row>
    <row r="113" spans="1:218" x14ac:dyDescent="0.2">
      <c r="A113" s="10">
        <f t="shared" si="85"/>
        <v>110</v>
      </c>
      <c r="B113" s="71">
        <f>'Scénario référence'!$B$16*5+'Scénario référence'!$B$17*0+'Scénario référence'!$B$18*5</f>
        <v>3.3000000000000003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12.100000000000001</v>
      </c>
      <c r="H113" s="65">
        <f t="shared" si="56"/>
        <v>208.26666666666665</v>
      </c>
      <c r="I113" s="6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67.593050011872251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219</v>
      </c>
      <c r="L113" s="12">
        <f>VLOOKUP(A113,'Données projet'!$A$35:$I$55,9,0)</f>
        <v>3</v>
      </c>
      <c r="M113" s="12">
        <f t="array" ref="M113">INDEX(L:L,MIN(IF(ISNUMBER(L113:L309),ROW(L113:L309),"")))</f>
        <v>3</v>
      </c>
      <c r="N113" s="13">
        <f>IF('Données projet'!$A$36&gt;35,N112+M113-V112,IF(A113&lt;'Données projet'!$A$36,$K$205^A113,IF(A113='Données projet'!$A$36,'Données projet'!$B$36,N112+M113-V112)))</f>
        <v>218.99999999999991</v>
      </c>
      <c r="O113" s="13">
        <f>N113*VLOOKUP('Données projet'!$B$9,Paramètres!$A$1:$I$89,3,0)*VLOOKUP('Données projet'!$B$9,Paramètres!$A$1:$I$89,5,0)</f>
        <v>222.06599999999992</v>
      </c>
      <c r="P113" s="13">
        <f t="shared" si="87"/>
        <v>54.563676045889338</v>
      </c>
      <c r="Q113" s="20">
        <f t="shared" si="107"/>
        <v>481.79668577992373</v>
      </c>
      <c r="R113" s="57">
        <f t="shared" si="55"/>
        <v>766.30453582345535</v>
      </c>
      <c r="S113" s="57">
        <f ca="1">AVERAGE(OFFSET($R$3,0,0,'Données projet'!$E$9+1,1))-AVERAGE(OFFSET($H$3,0,0,'Données projet'!$E$9+1,1))</f>
        <v>332.70145542047612</v>
      </c>
      <c r="T113" s="57">
        <f t="shared" si="88"/>
        <v>172.22433737900428</v>
      </c>
      <c r="U113" s="15">
        <f>IF(ISNA(VLOOKUP(A113,'Données projet'!$A$35:$I$55,3,0)),0,VLOOKUP(A113,'Données projet'!$A$35:$I$55,3,0))</f>
        <v>18</v>
      </c>
      <c r="V113" s="15">
        <f>IF(ISNA(VLOOKUP(A113,'Données projet'!$A$35:$I$55,4,0)),0,VLOOKUP(A113,'Données projet'!$A$35:$I$55,4,0))</f>
        <v>13</v>
      </c>
      <c r="W113" s="16">
        <f>IF(ISNA(VLOOKUP(A113,'Données projet'!$A$35:$I$55,5,0)),0%,VLOOKUP(A113,'Données projet'!$A$35:$I$55,5,0)*VLOOKUP('Données projet'!$B$9,Paramètres!$A$1:$I$89,7,0))</f>
        <v>0.30099999999999999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29.675413323756121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29.675413323756121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67.593050011872251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6.5199999999999987</v>
      </c>
      <c r="AI113" s="13">
        <f>IF('Données projet'!$A$62&gt;35,AI112+AH113-AQ112,IF(A113&lt;'Données projet'!$A$62,$AF$205^A113,IF(A113='Données projet'!$A$62,'Données projet'!$B$62,AI112+AH113-AQ112)))</f>
        <v>293.43000000000006</v>
      </c>
      <c r="AJ113" s="13">
        <f>AI113*VLOOKUP('Données projet'!$B$10,Paramètres!$A$1:$I$89,3,0)*VLOOKUP('Données projet'!$B$10,Paramètres!$A$1:$I$89,5,0)</f>
        <v>265.49546400000008</v>
      </c>
      <c r="AK113" s="13">
        <f t="shared" si="89"/>
        <v>63.892359015816595</v>
      </c>
      <c r="AL113" s="20">
        <f t="shared" si="58"/>
        <v>573.68379175254745</v>
      </c>
      <c r="AM113" s="57">
        <f t="shared" si="59"/>
        <v>858.19164179607901</v>
      </c>
      <c r="AN113" s="57">
        <f ca="1">AVERAGE(OFFSET($AM$3,0,0,'Données projet'!$E$10+1,1))-AVERAGE(OFFSET($H$3,0,0,'Données projet'!$E$10+1,1))</f>
        <v>469.4210143164521</v>
      </c>
      <c r="AO113" s="57">
        <f t="shared" si="90"/>
        <v>308.4508386530556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28.087865186161558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28.087865186161558</v>
      </c>
      <c r="AY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67.593050011872251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7" t="e">
        <f t="shared" si="62"/>
        <v>#NUM!</v>
      </c>
      <c r="BI113" s="57">
        <f ca="1">AVERAGE(OFFSET($BH$3,0,0,'Données projet'!$E$11+1,1))-AVERAGE(OFFSET($H$3,0,0,'Données projet'!$E$11+1,1))</f>
        <v>344.32981377462971</v>
      </c>
      <c r="BJ113" s="57">
        <f t="shared" si="92"/>
        <v>334.42512656625763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64.086757197950774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64.086757197950774</v>
      </c>
      <c r="BT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67.593050011872251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>
        <f>VLOOKUP(A113,'Données projet'!$A$113:$I$133,2,0)</f>
        <v>322</v>
      </c>
      <c r="BW113" s="12">
        <f>VLOOKUP(A113,'Données projet'!$A$113:$I$133,9,0)</f>
        <v>6.2</v>
      </c>
      <c r="BX113" s="12">
        <f t="array" ref="BX113">INDEX(BW:BW,MIN(IF(ISNUMBER(BW113:BW309),ROW(BW113:BW309),"")))</f>
        <v>6.2</v>
      </c>
      <c r="BY113" s="12">
        <f>IF('Données projet'!$A$114&gt;35,BY112+BX113-CG112,IF(A113&lt;'Données projet'!$A$114,$BV$205^A113,IF(A113='Données projet'!$A$114,'Données projet'!$B$114,BY112+BX113-CG112)))</f>
        <v>322.00000000000045</v>
      </c>
      <c r="BZ113" s="13">
        <f>BY113*VLOOKUP('Données projet'!$B$12,Paramètres!$A$1:$I$89,3,0)*VLOOKUP('Données projet'!$B$12,Paramètres!$A$1:$I$89,5,0)</f>
        <v>306.41520000000043</v>
      </c>
      <c r="CA113" s="13">
        <f t="shared" si="93"/>
        <v>72.519675217547729</v>
      </c>
      <c r="CB113" s="20">
        <f t="shared" si="64"/>
        <v>659.9782410038963</v>
      </c>
      <c r="CC113" s="57">
        <f t="shared" si="65"/>
        <v>944.48609104742786</v>
      </c>
      <c r="CD113" s="57">
        <f ca="1">AVERAGE(OFFSET($CC$3,0,0,'Données projet'!$E$12+1,1))-AVERAGE(OFFSET($H$3,0,0,'Données projet'!$E$12+1,1))</f>
        <v>498.77732039282807</v>
      </c>
      <c r="CE113" s="57">
        <f t="shared" si="94"/>
        <v>384.57317421826531</v>
      </c>
      <c r="CF113" s="15">
        <f>IF(ISNA(VLOOKUP(A113,'Données projet'!$A$113:$I$133,3,0)),0,VLOOKUP(A113,'Données projet'!$A$113:$I$133,3,0))</f>
        <v>18</v>
      </c>
      <c r="CG113" s="15">
        <f>IF(ISNA(VLOOKUP(A113,'Données projet'!$A$113:$I$133,4,0)),0,VLOOKUP(A113,'Données projet'!$A$113:$I$133,4,0))</f>
        <v>27</v>
      </c>
      <c r="CH113" s="16">
        <f>IF(ISNA(VLOOKUP(A113,'Données projet'!$A$113:$I$133,5,0)),0%,VLOOKUP(A113,'Données projet'!$A$113:$I$133,5,0)*VLOOKUP('Données projet'!$B$12,Paramètres!$A$1:$I$89,7,0))</f>
        <v>0.34400000000000003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72.28263873567262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72.28263873567262</v>
      </c>
      <c r="CO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67.593050011872251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6.5199999999999987</v>
      </c>
      <c r="CT113" s="12">
        <f>IF('Données projet'!$A$140&gt;35,CT112+CS113-DB112,IF(A113&lt;'Données projet'!$A$140,$CQ$205^A113,IF(A113='Données projet'!$A$140,'Données projet'!$B$140,CT112+CS113-DB112)))</f>
        <v>293.43000000000006</v>
      </c>
      <c r="CU113" s="17">
        <f>CT113*VLOOKUP('Données projet'!$B$13,Paramètres!$A$1:$I$89,3,0)*VLOOKUP('Données projet'!$B$13,Paramètres!$A$1:$I$89,5,0)</f>
        <v>196.83284400000005</v>
      </c>
      <c r="CV113" s="13">
        <f t="shared" si="95"/>
        <v>49.047477379860503</v>
      </c>
      <c r="CW113" s="20">
        <f t="shared" si="67"/>
        <v>428.24155973659043</v>
      </c>
      <c r="CX113" s="57">
        <f t="shared" si="68"/>
        <v>712.74940978012205</v>
      </c>
      <c r="CY113" s="57">
        <f ca="1">AVERAGE(OFFSET($CX$3,0,0,'Données projet'!$E$13+1,1))-AVERAGE(OFFSET($H$3,0,0,'Données projet'!$E$13+1,1))</f>
        <v>365.99625753737246</v>
      </c>
      <c r="CZ113" s="57">
        <f t="shared" si="96"/>
        <v>242.84814712692287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25.666497497699361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25.666497497699361</v>
      </c>
      <c r="DJ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67.593050011872251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2.2737367544323206E-13</v>
      </c>
      <c r="DP113" s="17">
        <f>DO113*VLOOKUP('Données projet'!$B$14,Paramètres!$A$1:$I$89,3,0)*VLOOKUP('Données projet'!$B$14,Paramètres!$A$1:$I$89,5,0)</f>
        <v>1.4897523215040565E-13</v>
      </c>
      <c r="DQ113" s="13">
        <f t="shared" si="97"/>
        <v>2.136562777003313E-12</v>
      </c>
      <c r="DR113" s="20">
        <f t="shared" si="70"/>
        <v>3.9806453659427267E-12</v>
      </c>
      <c r="DS113" s="57">
        <f t="shared" si="71"/>
        <v>284.5078500435356</v>
      </c>
      <c r="DT113" s="57">
        <f ca="1">AVERAGE(OFFSET($DS$3,0,0,'Données projet'!$E$14+1,1))-AVERAGE(OFFSET($H$3,0,0,'Données projet'!$E$14+1,1))</f>
        <v>313.79279628660527</v>
      </c>
      <c r="DU113" s="57">
        <f t="shared" si="98"/>
        <v>317.45469955216254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62.266226520802761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62.266226520802761</v>
      </c>
      <c r="EE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67.593050011872251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-1.1368683772161603E-13</v>
      </c>
      <c r="EK113" s="17">
        <f>EJ113*VLOOKUP('Données projet'!$B$15,Paramètres!$A$1:$I$89,3,0)*VLOOKUP('Données projet'!$B$15,Paramètres!$A$1:$I$89,5,0)</f>
        <v>-9.7543306765146564E-14</v>
      </c>
      <c r="EL113" s="13" t="e">
        <f t="shared" si="99"/>
        <v>#NUM!</v>
      </c>
      <c r="EM113" s="20" t="e">
        <f t="shared" si="73"/>
        <v>#NUM!</v>
      </c>
      <c r="EN113" s="57" t="e">
        <f t="shared" si="74"/>
        <v>#NUM!</v>
      </c>
      <c r="EO113" s="57">
        <f ca="1">AVERAGE(OFFSET($EN$3,0,0,'Données projet'!$E$15+1,1))-AVERAGE(OFFSET($H$3,0,0,'Données projet'!$E$15+1,1))</f>
        <v>643.04899298561475</v>
      </c>
      <c r="EP113" s="57">
        <f t="shared" si="100"/>
        <v>474.94999304483031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230.7980942606429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230.7980942606429</v>
      </c>
      <c r="EZ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67.593050011872251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>
        <f>FE113*VLOOKUP('Données projet'!$B$16,Paramètres!$A$1:$I$89,3,0)*VLOOKUP('Données projet'!$B$16,Paramètres!$A$1:$I$89,5,0)</f>
        <v>0</v>
      </c>
      <c r="FG113" s="13" t="e">
        <f t="shared" si="101"/>
        <v>#NUM!</v>
      </c>
      <c r="FH113" s="20" t="e">
        <f t="shared" si="76"/>
        <v>#NUM!</v>
      </c>
      <c r="FI113" s="57" t="e">
        <f t="shared" si="77"/>
        <v>#NUM!</v>
      </c>
      <c r="FJ113" s="57">
        <f ca="1">AVERAGE(OFFSET($FI$3,0,0,'Données projet'!$E$16+1,1))-AVERAGE(OFFSET($H$3,0,0,'Données projet'!$E$16+1,1))</f>
        <v>375.34603719604439</v>
      </c>
      <c r="FK113" s="57">
        <f t="shared" si="102"/>
        <v>363.99476973672211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87.393915308041727</v>
      </c>
      <c r="FR113" s="21">
        <f>EXP(-LN(2)/25)*FR112+(1-EXP(-LN(2)/25))/(LN(2)/25)*Calculateur!FM113*Calculateur!FO113*VLOOKUP('Données projet'!$B$16,Paramètres!$A$1:$I$89,3,0)*0.475*44/12</f>
        <v>0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87.393915308041727</v>
      </c>
      <c r="FU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67.593050011872251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-1.1368683772161603E-13</v>
      </c>
      <c r="GA113" s="17">
        <f>FZ113*VLOOKUP('Données projet'!$B$17,Paramètres!$A$1:$I$89,3,0)*VLOOKUP('Données projet'!$B$17,Paramètres!$A$1:$I$89,5,0)</f>
        <v>-6.3550942286383367E-14</v>
      </c>
      <c r="GB113" s="13" t="e">
        <f t="shared" si="103"/>
        <v>#NUM!</v>
      </c>
      <c r="GC113" s="20" t="e">
        <f t="shared" si="79"/>
        <v>#NUM!</v>
      </c>
      <c r="GD113" s="57" t="e">
        <f t="shared" si="80"/>
        <v>#NUM!</v>
      </c>
      <c r="GE113" s="57">
        <f ca="1">AVERAGE(OFFSET($GD$3,0,0,'Données projet'!$E$17+1,1))-AVERAGE(OFFSET($H$3,0,0,'Données projet'!$E$17+1,1))</f>
        <v>414.47327143450701</v>
      </c>
      <c r="GF113" s="57">
        <f t="shared" si="104"/>
        <v>546.83385887302961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99.345822029693764</v>
      </c>
      <c r="GM113" s="21">
        <f>EXP(-LN(2)/25)*GM112+(1-EXP(-LN(2)/25))/(LN(2)/25)*Calculateur!GH113*Calculateur!GJ113*VLOOKUP('Données projet'!$B$17,Paramètres!$A$1:$I$89,3,0)*0.475*44/12</f>
        <v>13.477152341973332</v>
      </c>
      <c r="GN113" s="21">
        <f>EXP(-LN(2)/2)*GN112+(1-EXP(-LN(2)/2))/(LN(2)/2)*GH113*GK113*VLOOKUP('Données projet'!$B$17,Paramètres!$A$1:$I$89,3,0)*0.475*44/12</f>
        <v>1.5477452559555313E-7</v>
      </c>
      <c r="GO113" s="21">
        <f t="shared" si="81"/>
        <v>112.82297452644163</v>
      </c>
      <c r="GP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67.593050011872251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-2.2737367544323206E-13</v>
      </c>
      <c r="GV113" s="17">
        <f>GU113*VLOOKUP('Données projet'!$B$18,Paramètres!$A$1:$I$89,3,0)*VLOOKUP('Données projet'!$B$18,Paramètres!$A$1:$I$89,5,0)</f>
        <v>-1.2414602679200471E-13</v>
      </c>
      <c r="GW113" s="13" t="e">
        <f t="shared" si="105"/>
        <v>#NUM!</v>
      </c>
      <c r="GX113" s="20" t="e">
        <f t="shared" si="82"/>
        <v>#NUM!</v>
      </c>
      <c r="GY113" s="57" t="e">
        <f t="shared" si="83"/>
        <v>#NUM!</v>
      </c>
      <c r="GZ113" s="57">
        <f ca="1">AVERAGE(OFFSET($GY$3,0,0,'Données projet'!$E$18+1,1))-AVERAGE(OFFSET($H$3,0,0,'Données projet'!$E$18+1,1))</f>
        <v>381.00532469288714</v>
      </c>
      <c r="HA113" s="57">
        <f t="shared" si="106"/>
        <v>314.875259641757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>
        <f>EXP(-LN(2)/35)*HG112+(1-EXP(-LN(2)/35))/(LN(2)/35)*HC113*HD113*VLOOKUP('Données projet'!$B$18,Paramètres!$A$1:$I$89,3,0)*0.475*44/12</f>
        <v>167.36254821319974</v>
      </c>
      <c r="HH113" s="21">
        <f>EXP(-LN(2)/25)*HH112+(1-EXP(-LN(2)/25))/(LN(2)/25)*Calculateur!HC113*Calculateur!HE113*VLOOKUP('Données projet'!$B$18,Paramètres!$A$1:$I$89,3,0)*0.475*44/12</f>
        <v>25.004760861438953</v>
      </c>
      <c r="HI113" s="21">
        <f>EXP(-LN(2)/2)*HI112+(1-EXP(-LN(2)/2))/(LN(2)/2)*HC113*HF113*VLOOKUP('Données projet'!$B$18,Paramètres!$A$1:$I$89,3,0)*0.475*44/12</f>
        <v>0.78039976788329646</v>
      </c>
      <c r="HJ113" s="22">
        <f t="shared" si="84"/>
        <v>193.14770884252198</v>
      </c>
    </row>
    <row r="114" spans="1:218" x14ac:dyDescent="0.2">
      <c r="A114" s="10">
        <f t="shared" si="85"/>
        <v>111</v>
      </c>
      <c r="B114" s="71">
        <f>'Scénario référence'!$B$16*5+'Scénario référence'!$B$17*0+'Scénario référence'!$B$18*5</f>
        <v>3.3000000000000003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12.100000000000001</v>
      </c>
      <c r="H114" s="65">
        <f t="shared" si="56"/>
        <v>208.26666666666665</v>
      </c>
      <c r="I114" s="6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67.634805213032251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2.6</v>
      </c>
      <c r="N114" s="13">
        <f>IF('Données projet'!$A$36&gt;35,N113+M114-V113,IF(A114&lt;'Données projet'!$A$36,$K$205^A114,IF(A114='Données projet'!$A$36,'Données projet'!$B$36,N113+M114-V113)))</f>
        <v>208.59999999999991</v>
      </c>
      <c r="O114" s="13">
        <f>N114*VLOOKUP('Données projet'!$B$9,Paramètres!$A$1:$I$89,3,0)*VLOOKUP('Données projet'!$B$9,Paramètres!$A$1:$I$89,5,0)</f>
        <v>211.52039999999991</v>
      </c>
      <c r="P114" s="13">
        <f t="shared" si="87"/>
        <v>52.267691729071096</v>
      </c>
      <c r="Q114" s="20">
        <f t="shared" si="107"/>
        <v>459.43092642813195</v>
      </c>
      <c r="R114" s="57">
        <f t="shared" si="55"/>
        <v>744.0918788759169</v>
      </c>
      <c r="S114" s="57">
        <f ca="1">AVERAGE(OFFSET($R$3,0,0,'Données projet'!$E$9+1,1))-AVERAGE(OFFSET($H$3,0,0,'Données projet'!$E$9+1,1))</f>
        <v>332.70145542047612</v>
      </c>
      <c r="T114" s="57">
        <f t="shared" si="88"/>
        <v>172.22433737900428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29.093496568692142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29.093496568692142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67.634805213032251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6.5199999999999987</v>
      </c>
      <c r="AI114" s="13">
        <f>IF('Données projet'!$A$62&gt;35,AI113+AH114-AQ113,IF(A114&lt;'Données projet'!$A$62,$AF$205^A114,IF(A114='Données projet'!$A$62,'Données projet'!$B$62,AI113+AH114-AQ113)))</f>
        <v>299.95000000000005</v>
      </c>
      <c r="AJ114" s="13">
        <f>AI114*VLOOKUP('Données projet'!$B$10,Paramètres!$A$1:$I$89,3,0)*VLOOKUP('Données projet'!$B$10,Paramètres!$A$1:$I$89,5,0)</f>
        <v>271.39476000000002</v>
      </c>
      <c r="AK114" s="13">
        <f t="shared" si="89"/>
        <v>65.145183738957968</v>
      </c>
      <c r="AL114" s="20">
        <f t="shared" si="58"/>
        <v>586.1404020120184</v>
      </c>
      <c r="AM114" s="57">
        <f t="shared" si="59"/>
        <v>870.80135445980341</v>
      </c>
      <c r="AN114" s="57">
        <f ca="1">AVERAGE(OFFSET($AM$3,0,0,'Données projet'!$E$10+1,1))-AVERAGE(OFFSET($H$3,0,0,'Données projet'!$E$10+1,1))</f>
        <v>469.4210143164521</v>
      </c>
      <c r="AO114" s="57">
        <f t="shared" si="90"/>
        <v>308.4508386530556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27.53707928176706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27.53707928176706</v>
      </c>
      <c r="AY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67.634805213032251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7" t="e">
        <f t="shared" si="62"/>
        <v>#NUM!</v>
      </c>
      <c r="BI114" s="57">
        <f ca="1">AVERAGE(OFFSET($BH$3,0,0,'Données projet'!$E$11+1,1))-AVERAGE(OFFSET($H$3,0,0,'Données projet'!$E$11+1,1))</f>
        <v>344.32981377462971</v>
      </c>
      <c r="BJ114" s="57">
        <f t="shared" si="92"/>
        <v>334.42512656625763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62.830054978361126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62.830054978361126</v>
      </c>
      <c r="BT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67.634805213032251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5.6</v>
      </c>
      <c r="BY114" s="12">
        <f>IF('Données projet'!$A$114&gt;35,BY113+BX114-CG113,IF(A114&lt;'Données projet'!$A$114,$BV$205^A114,IF(A114='Données projet'!$A$114,'Données projet'!$B$114,BY113+BX114-CG113)))</f>
        <v>300.60000000000048</v>
      </c>
      <c r="BZ114" s="13">
        <f>BY114*VLOOKUP('Données projet'!$B$12,Paramètres!$A$1:$I$89,3,0)*VLOOKUP('Données projet'!$B$12,Paramètres!$A$1:$I$89,5,0)</f>
        <v>286.05096000000049</v>
      </c>
      <c r="CA114" s="13">
        <f t="shared" si="93"/>
        <v>68.244155143176698</v>
      </c>
      <c r="CB114" s="20">
        <f t="shared" si="64"/>
        <v>617.06399220770038</v>
      </c>
      <c r="CC114" s="57">
        <f t="shared" si="65"/>
        <v>901.72494465548539</v>
      </c>
      <c r="CD114" s="57">
        <f ca="1">AVERAGE(OFFSET($CC$3,0,0,'Données projet'!$E$12+1,1))-AVERAGE(OFFSET($H$3,0,0,'Données projet'!$E$12+1,1))</f>
        <v>498.77732039282807</v>
      </c>
      <c r="CE114" s="57">
        <f t="shared" si="94"/>
        <v>384.57317421826531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70.865220278122379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70.865220278122379</v>
      </c>
      <c r="CO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67.634805213032251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6.5199999999999987</v>
      </c>
      <c r="CT114" s="12">
        <f>IF('Données projet'!$A$140&gt;35,CT113+CS114-DB113,IF(A114&lt;'Données projet'!$A$140,$CQ$205^A114,IF(A114='Données projet'!$A$140,'Données projet'!$B$140,CT113+CS114-DB113)))</f>
        <v>299.95000000000005</v>
      </c>
      <c r="CU114" s="17">
        <f>CT114*VLOOKUP('Données projet'!$B$13,Paramètres!$A$1:$I$89,3,0)*VLOOKUP('Données projet'!$B$13,Paramètres!$A$1:$I$89,5,0)</f>
        <v>201.20646000000005</v>
      </c>
      <c r="CV114" s="13">
        <f t="shared" si="95"/>
        <v>50.009218239264378</v>
      </c>
      <c r="CW114" s="20">
        <f t="shared" si="67"/>
        <v>437.53397293338554</v>
      </c>
      <c r="CX114" s="57">
        <f t="shared" si="68"/>
        <v>722.19492538117049</v>
      </c>
      <c r="CY114" s="57">
        <f ca="1">AVERAGE(OFFSET($CX$3,0,0,'Données projet'!$E$13+1,1))-AVERAGE(OFFSET($H$3,0,0,'Données projet'!$E$13+1,1))</f>
        <v>365.99625753737246</v>
      </c>
      <c r="CZ114" s="57">
        <f t="shared" si="96"/>
        <v>242.84814712692287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25.163193136787147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25.163193136787147</v>
      </c>
      <c r="DJ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67.634805213032251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2.2737367544323206E-13</v>
      </c>
      <c r="DP114" s="17">
        <f>DO114*VLOOKUP('Données projet'!$B$14,Paramètres!$A$1:$I$89,3,0)*VLOOKUP('Données projet'!$B$14,Paramètres!$A$1:$I$89,5,0)</f>
        <v>1.4897523215040565E-13</v>
      </c>
      <c r="DQ114" s="13">
        <f t="shared" si="97"/>
        <v>2.136562777003313E-12</v>
      </c>
      <c r="DR114" s="20">
        <f t="shared" si="70"/>
        <v>3.9806453659427267E-12</v>
      </c>
      <c r="DS114" s="57">
        <f t="shared" si="71"/>
        <v>284.66095244778893</v>
      </c>
      <c r="DT114" s="57">
        <f ca="1">AVERAGE(OFFSET($DS$3,0,0,'Données projet'!$E$14+1,1))-AVERAGE(OFFSET($H$3,0,0,'Données projet'!$E$14+1,1))</f>
        <v>313.79279628660527</v>
      </c>
      <c r="DU114" s="57">
        <f t="shared" si="98"/>
        <v>317.45469955216254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61.045223797377915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61.045223797377915</v>
      </c>
      <c r="EE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67.634805213032251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-1.1368683772161603E-13</v>
      </c>
      <c r="EK114" s="17">
        <f>EJ114*VLOOKUP('Données projet'!$B$15,Paramètres!$A$1:$I$89,3,0)*VLOOKUP('Données projet'!$B$15,Paramètres!$A$1:$I$89,5,0)</f>
        <v>-9.7543306765146564E-14</v>
      </c>
      <c r="EL114" s="13" t="e">
        <f t="shared" si="99"/>
        <v>#NUM!</v>
      </c>
      <c r="EM114" s="20" t="e">
        <f t="shared" si="73"/>
        <v>#NUM!</v>
      </c>
      <c r="EN114" s="57" t="e">
        <f t="shared" si="74"/>
        <v>#NUM!</v>
      </c>
      <c r="EO114" s="57">
        <f ca="1">AVERAGE(OFFSET($EN$3,0,0,'Données projet'!$E$15+1,1))-AVERAGE(OFFSET($H$3,0,0,'Données projet'!$E$15+1,1))</f>
        <v>643.04899298561475</v>
      </c>
      <c r="EP114" s="57">
        <f t="shared" si="100"/>
        <v>474.94999304483031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226.27228440512903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226.27228440512903</v>
      </c>
      <c r="EZ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67.634805213032251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>
        <f>FE114*VLOOKUP('Données projet'!$B$16,Paramètres!$A$1:$I$89,3,0)*VLOOKUP('Données projet'!$B$16,Paramètres!$A$1:$I$89,5,0)</f>
        <v>0</v>
      </c>
      <c r="FG114" s="13" t="e">
        <f t="shared" si="101"/>
        <v>#NUM!</v>
      </c>
      <c r="FH114" s="20" t="e">
        <f t="shared" si="76"/>
        <v>#NUM!</v>
      </c>
      <c r="FI114" s="57" t="e">
        <f t="shared" si="77"/>
        <v>#NUM!</v>
      </c>
      <c r="FJ114" s="57">
        <f ca="1">AVERAGE(OFFSET($FI$3,0,0,'Données projet'!$E$16+1,1))-AVERAGE(OFFSET($H$3,0,0,'Données projet'!$E$16+1,1))</f>
        <v>375.34603719604439</v>
      </c>
      <c r="FK114" s="57">
        <f t="shared" si="102"/>
        <v>363.99476973672211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85.680173933875935</v>
      </c>
      <c r="FR114" s="21">
        <f>EXP(-LN(2)/25)*FR113+(1-EXP(-LN(2)/25))/(LN(2)/25)*Calculateur!FM114*Calculateur!FO114*VLOOKUP('Données projet'!$B$16,Paramètres!$A$1:$I$89,3,0)*0.475*44/12</f>
        <v>0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85.680173933875935</v>
      </c>
      <c r="FU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67.634805213032251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-1.1368683772161603E-13</v>
      </c>
      <c r="GA114" s="17">
        <f>FZ114*VLOOKUP('Données projet'!$B$17,Paramètres!$A$1:$I$89,3,0)*VLOOKUP('Données projet'!$B$17,Paramètres!$A$1:$I$89,5,0)</f>
        <v>-6.3550942286383367E-14</v>
      </c>
      <c r="GB114" s="13" t="e">
        <f t="shared" si="103"/>
        <v>#NUM!</v>
      </c>
      <c r="GC114" s="20" t="e">
        <f t="shared" si="79"/>
        <v>#NUM!</v>
      </c>
      <c r="GD114" s="57" t="e">
        <f t="shared" si="80"/>
        <v>#NUM!</v>
      </c>
      <c r="GE114" s="57">
        <f ca="1">AVERAGE(OFFSET($GD$3,0,0,'Données projet'!$E$17+1,1))-AVERAGE(OFFSET($H$3,0,0,'Données projet'!$E$17+1,1))</f>
        <v>414.47327143450701</v>
      </c>
      <c r="GF114" s="57">
        <f t="shared" si="104"/>
        <v>546.83385887302961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97.397711054659652</v>
      </c>
      <c r="GM114" s="21">
        <f>EXP(-LN(2)/25)*GM113+(1-EXP(-LN(2)/25))/(LN(2)/25)*Calculateur!GH114*Calculateur!GJ114*VLOOKUP('Données projet'!$B$17,Paramètres!$A$1:$I$89,3,0)*0.475*44/12</f>
        <v>13.108618902449432</v>
      </c>
      <c r="GN114" s="21">
        <f>EXP(-LN(2)/2)*GN113+(1-EXP(-LN(2)/2))/(LN(2)/2)*GH114*GK114*VLOOKUP('Données projet'!$B$17,Paramètres!$A$1:$I$89,3,0)*0.475*44/12</f>
        <v>1.0944211660354649E-7</v>
      </c>
      <c r="GO114" s="21">
        <f t="shared" si="81"/>
        <v>110.5063300665512</v>
      </c>
      <c r="GP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67.634805213032251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-2.2737367544323206E-13</v>
      </c>
      <c r="GV114" s="17">
        <f>GU114*VLOOKUP('Données projet'!$B$18,Paramètres!$A$1:$I$89,3,0)*VLOOKUP('Données projet'!$B$18,Paramètres!$A$1:$I$89,5,0)</f>
        <v>-1.2414602679200471E-13</v>
      </c>
      <c r="GW114" s="13" t="e">
        <f t="shared" si="105"/>
        <v>#NUM!</v>
      </c>
      <c r="GX114" s="20" t="e">
        <f t="shared" si="82"/>
        <v>#NUM!</v>
      </c>
      <c r="GY114" s="57" t="e">
        <f t="shared" si="83"/>
        <v>#NUM!</v>
      </c>
      <c r="GZ114" s="57">
        <f ca="1">AVERAGE(OFFSET($GY$3,0,0,'Données projet'!$E$18+1,1))-AVERAGE(OFFSET($H$3,0,0,'Données projet'!$E$18+1,1))</f>
        <v>381.00532469288714</v>
      </c>
      <c r="HA114" s="57">
        <f t="shared" si="106"/>
        <v>314.875259641757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>
        <f>EXP(-LN(2)/35)*HG113+(1-EXP(-LN(2)/35))/(LN(2)/35)*HC114*HD114*VLOOKUP('Données projet'!$B$18,Paramètres!$A$1:$I$89,3,0)*0.475*44/12</f>
        <v>164.08067072381363</v>
      </c>
      <c r="HH114" s="21">
        <f>EXP(-LN(2)/25)*HH113+(1-EXP(-LN(2)/25))/(LN(2)/25)*Calculateur!HC114*Calculateur!HE114*VLOOKUP('Données projet'!$B$18,Paramètres!$A$1:$I$89,3,0)*0.475*44/12</f>
        <v>24.321004360739682</v>
      </c>
      <c r="HI114" s="21">
        <f>EXP(-LN(2)/2)*HI113+(1-EXP(-LN(2)/2))/(LN(2)/2)*HC114*HF114*VLOOKUP('Données projet'!$B$18,Paramètres!$A$1:$I$89,3,0)*0.475*44/12</f>
        <v>0.55182596790668659</v>
      </c>
      <c r="HJ114" s="22">
        <f t="shared" si="84"/>
        <v>188.95350105246001</v>
      </c>
    </row>
    <row r="115" spans="1:218" x14ac:dyDescent="0.2">
      <c r="A115" s="10">
        <f t="shared" si="85"/>
        <v>112</v>
      </c>
      <c r="B115" s="71">
        <f>'Scénario référence'!$B$16*5+'Scénario référence'!$B$17*0+'Scénario référence'!$B$18*5</f>
        <v>3.3000000000000003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12.100000000000001</v>
      </c>
      <c r="H115" s="65">
        <f t="shared" si="56"/>
        <v>208.26666666666665</v>
      </c>
      <c r="I115" s="6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67.675836054802758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2.6</v>
      </c>
      <c r="N115" s="13">
        <f>IF('Données projet'!$A$36&gt;35,N114+M115-V114,IF(A115&lt;'Données projet'!$A$36,$K$205^A115,IF(A115='Données projet'!$A$36,'Données projet'!$B$36,N114+M115-V114)))</f>
        <v>211.1999999999999</v>
      </c>
      <c r="O115" s="13">
        <f>N115*VLOOKUP('Données projet'!$B$9,Paramètres!$A$1:$I$89,3,0)*VLOOKUP('Données projet'!$B$9,Paramètres!$A$1:$I$89,5,0)</f>
        <v>214.15679999999992</v>
      </c>
      <c r="P115" s="13">
        <f t="shared" si="87"/>
        <v>52.842912248636644</v>
      </c>
      <c r="Q115" s="20">
        <f t="shared" si="107"/>
        <v>465.02449883304195</v>
      </c>
      <c r="R115" s="57">
        <f t="shared" si="55"/>
        <v>749.83589770065203</v>
      </c>
      <c r="S115" s="57">
        <f ca="1">AVERAGE(OFFSET($R$3,0,0,'Données projet'!$E$9+1,1))-AVERAGE(OFFSET($H$3,0,0,'Données projet'!$E$9+1,1))</f>
        <v>332.70145542047612</v>
      </c>
      <c r="T115" s="57">
        <f t="shared" si="88"/>
        <v>172.22433737900428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28.522990846260797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28.522990846260797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67.675836054802758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6.5199999999999987</v>
      </c>
      <c r="AI115" s="13">
        <f>IF('Données projet'!$A$62&gt;35,AI114+AH115-AQ114,IF(A115&lt;'Données projet'!$A$62,$AF$205^A115,IF(A115='Données projet'!$A$62,'Données projet'!$B$62,AI114+AH115-AQ114)))</f>
        <v>306.47000000000003</v>
      </c>
      <c r="AJ115" s="13">
        <f>AI115*VLOOKUP('Données projet'!$B$10,Paramètres!$A$1:$I$89,3,0)*VLOOKUP('Données projet'!$B$10,Paramètres!$A$1:$I$89,5,0)</f>
        <v>277.29405600000001</v>
      </c>
      <c r="AK115" s="13">
        <f t="shared" si="89"/>
        <v>66.394842331176392</v>
      </c>
      <c r="AL115" s="20">
        <f t="shared" si="58"/>
        <v>598.59149792679887</v>
      </c>
      <c r="AM115" s="57">
        <f t="shared" si="59"/>
        <v>883.40289679440889</v>
      </c>
      <c r="AN115" s="57">
        <f ca="1">AVERAGE(OFFSET($AM$3,0,0,'Données projet'!$E$10+1,1))-AVERAGE(OFFSET($H$3,0,0,'Données projet'!$E$10+1,1))</f>
        <v>469.4210143164521</v>
      </c>
      <c r="AO115" s="57">
        <f t="shared" si="90"/>
        <v>308.4508386530556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26.997093953011507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26.997093953011507</v>
      </c>
      <c r="AY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67.675836054802758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7" t="e">
        <f t="shared" si="62"/>
        <v>#NUM!</v>
      </c>
      <c r="BI115" s="57">
        <f ca="1">AVERAGE(OFFSET($BH$3,0,0,'Données projet'!$E$11+1,1))-AVERAGE(OFFSET($H$3,0,0,'Données projet'!$E$11+1,1))</f>
        <v>344.32981377462971</v>
      </c>
      <c r="BJ115" s="57">
        <f t="shared" si="92"/>
        <v>334.42512656625763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61.59799592278496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61.59799592278496</v>
      </c>
      <c r="BT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67.675836054802758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5.6</v>
      </c>
      <c r="BY115" s="12">
        <f>IF('Données projet'!$A$114&gt;35,BY114+BX115-CG114,IF(A115&lt;'Données projet'!$A$114,$BV$205^A115,IF(A115='Données projet'!$A$114,'Données projet'!$B$114,BY114+BX115-CG114)))</f>
        <v>306.2000000000005</v>
      </c>
      <c r="BZ115" s="13">
        <f>BY115*VLOOKUP('Données projet'!$B$12,Paramètres!$A$1:$I$89,3,0)*VLOOKUP('Données projet'!$B$12,Paramètres!$A$1:$I$89,5,0)</f>
        <v>291.37992000000048</v>
      </c>
      <c r="CA115" s="13">
        <f t="shared" si="93"/>
        <v>69.366308788027851</v>
      </c>
      <c r="CB115" s="20">
        <f t="shared" si="64"/>
        <v>628.29968180581602</v>
      </c>
      <c r="CC115" s="57">
        <f t="shared" si="65"/>
        <v>913.11108067342616</v>
      </c>
      <c r="CD115" s="57">
        <f ca="1">AVERAGE(OFFSET($CC$3,0,0,'Données projet'!$E$12+1,1))-AVERAGE(OFFSET($H$3,0,0,'Données projet'!$E$12+1,1))</f>
        <v>498.77732039282807</v>
      </c>
      <c r="CE115" s="57">
        <f t="shared" si="94"/>
        <v>384.57317421826531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69.475596531984806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69.475596531984806</v>
      </c>
      <c r="CO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67.675836054802758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6.5199999999999987</v>
      </c>
      <c r="CT115" s="12">
        <f>IF('Données projet'!$A$140&gt;35,CT114+CS115-DB114,IF(A115&lt;'Données projet'!$A$140,$CQ$205^A115,IF(A115='Données projet'!$A$140,'Données projet'!$B$140,CT114+CS115-DB114)))</f>
        <v>306.47000000000003</v>
      </c>
      <c r="CU115" s="17">
        <f>CT115*VLOOKUP('Données projet'!$B$13,Paramètres!$A$1:$I$89,3,0)*VLOOKUP('Données projet'!$B$13,Paramètres!$A$1:$I$89,5,0)</f>
        <v>205.58007600000002</v>
      </c>
      <c r="CV115" s="13">
        <f t="shared" si="95"/>
        <v>50.968528593092486</v>
      </c>
      <c r="CW115" s="20">
        <f t="shared" si="67"/>
        <v>446.82215299963605</v>
      </c>
      <c r="CX115" s="57">
        <f t="shared" si="68"/>
        <v>731.63355186724607</v>
      </c>
      <c r="CY115" s="57">
        <f ca="1">AVERAGE(OFFSET($CX$3,0,0,'Données projet'!$E$13+1,1))-AVERAGE(OFFSET($H$3,0,0,'Données projet'!$E$13+1,1))</f>
        <v>365.99625753737246</v>
      </c>
      <c r="CZ115" s="57">
        <f t="shared" si="96"/>
        <v>242.84814712692287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24.669758267407072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24.669758267407072</v>
      </c>
      <c r="DJ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67.675836054802758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2.2737367544323206E-13</v>
      </c>
      <c r="DP115" s="17">
        <f>DO115*VLOOKUP('Données projet'!$B$14,Paramètres!$A$1:$I$89,3,0)*VLOOKUP('Données projet'!$B$14,Paramètres!$A$1:$I$89,5,0)</f>
        <v>1.4897523215040565E-13</v>
      </c>
      <c r="DQ115" s="13">
        <f t="shared" si="97"/>
        <v>2.136562777003313E-12</v>
      </c>
      <c r="DR115" s="20">
        <f t="shared" si="70"/>
        <v>3.9806453659427267E-12</v>
      </c>
      <c r="DS115" s="57">
        <f t="shared" si="71"/>
        <v>284.81139886761406</v>
      </c>
      <c r="DT115" s="57">
        <f ca="1">AVERAGE(OFFSET($DS$3,0,0,'Données projet'!$E$14+1,1))-AVERAGE(OFFSET($H$3,0,0,'Données projet'!$E$14+1,1))</f>
        <v>313.79279628660527</v>
      </c>
      <c r="DU115" s="57">
        <f t="shared" si="98"/>
        <v>317.45469955216254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59.848164192621304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59.848164192621304</v>
      </c>
      <c r="EE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67.675836054802758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-1.1368683772161603E-13</v>
      </c>
      <c r="EK115" s="17">
        <f>EJ115*VLOOKUP('Données projet'!$B$15,Paramètres!$A$1:$I$89,3,0)*VLOOKUP('Données projet'!$B$15,Paramètres!$A$1:$I$89,5,0)</f>
        <v>-9.7543306765146564E-14</v>
      </c>
      <c r="EL115" s="13" t="e">
        <f t="shared" si="99"/>
        <v>#NUM!</v>
      </c>
      <c r="EM115" s="20" t="e">
        <f t="shared" si="73"/>
        <v>#NUM!</v>
      </c>
      <c r="EN115" s="57" t="e">
        <f t="shared" si="74"/>
        <v>#NUM!</v>
      </c>
      <c r="EO115" s="57">
        <f ca="1">AVERAGE(OFFSET($EN$3,0,0,'Données projet'!$E$15+1,1))-AVERAGE(OFFSET($H$3,0,0,'Données projet'!$E$15+1,1))</f>
        <v>643.04899298561475</v>
      </c>
      <c r="EP115" s="57">
        <f t="shared" si="100"/>
        <v>474.94999304483031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221.83522292041033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221.83522292041033</v>
      </c>
      <c r="EZ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67.675836054802758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>
        <f>FE115*VLOOKUP('Données projet'!$B$16,Paramètres!$A$1:$I$89,3,0)*VLOOKUP('Données projet'!$B$16,Paramètres!$A$1:$I$89,5,0)</f>
        <v>0</v>
      </c>
      <c r="FG115" s="13" t="e">
        <f t="shared" si="101"/>
        <v>#NUM!</v>
      </c>
      <c r="FH115" s="20" t="e">
        <f t="shared" si="76"/>
        <v>#NUM!</v>
      </c>
      <c r="FI115" s="57" t="e">
        <f t="shared" si="77"/>
        <v>#NUM!</v>
      </c>
      <c r="FJ115" s="57">
        <f ca="1">AVERAGE(OFFSET($FI$3,0,0,'Données projet'!$E$16+1,1))-AVERAGE(OFFSET($H$3,0,0,'Données projet'!$E$16+1,1))</f>
        <v>375.34603719604439</v>
      </c>
      <c r="FK115" s="57">
        <f t="shared" si="102"/>
        <v>363.99476973672211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84.000037982778508</v>
      </c>
      <c r="FR115" s="21">
        <f>EXP(-LN(2)/25)*FR114+(1-EXP(-LN(2)/25))/(LN(2)/25)*Calculateur!FM115*Calculateur!FO115*VLOOKUP('Données projet'!$B$16,Paramètres!$A$1:$I$89,3,0)*0.475*44/12</f>
        <v>0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84.000037982778508</v>
      </c>
      <c r="FU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67.675836054802758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-1.1368683772161603E-13</v>
      </c>
      <c r="GA115" s="17">
        <f>FZ115*VLOOKUP('Données projet'!$B$17,Paramètres!$A$1:$I$89,3,0)*VLOOKUP('Données projet'!$B$17,Paramètres!$A$1:$I$89,5,0)</f>
        <v>-6.3550942286383367E-14</v>
      </c>
      <c r="GB115" s="13" t="e">
        <f t="shared" si="103"/>
        <v>#NUM!</v>
      </c>
      <c r="GC115" s="20" t="e">
        <f t="shared" si="79"/>
        <v>#NUM!</v>
      </c>
      <c r="GD115" s="57" t="e">
        <f t="shared" si="80"/>
        <v>#NUM!</v>
      </c>
      <c r="GE115" s="57">
        <f ca="1">AVERAGE(OFFSET($GD$3,0,0,'Données projet'!$E$17+1,1))-AVERAGE(OFFSET($H$3,0,0,'Données projet'!$E$17+1,1))</f>
        <v>414.47327143450701</v>
      </c>
      <c r="GF115" s="57">
        <f t="shared" si="104"/>
        <v>546.83385887302961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95.487801347615587</v>
      </c>
      <c r="GM115" s="21">
        <f>EXP(-LN(2)/25)*GM114+(1-EXP(-LN(2)/25))/(LN(2)/25)*Calculateur!GH115*Calculateur!GJ115*VLOOKUP('Données projet'!$B$17,Paramètres!$A$1:$I$89,3,0)*0.475*44/12</f>
        <v>12.750163029209645</v>
      </c>
      <c r="GN115" s="21">
        <f>EXP(-LN(2)/2)*GN114+(1-EXP(-LN(2)/2))/(LN(2)/2)*GH115*GK115*VLOOKUP('Données projet'!$B$17,Paramètres!$A$1:$I$89,3,0)*0.475*44/12</f>
        <v>7.7387262797776566E-8</v>
      </c>
      <c r="GO115" s="21">
        <f t="shared" si="81"/>
        <v>108.23796445421249</v>
      </c>
      <c r="GP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67.675836054802758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-2.2737367544323206E-13</v>
      </c>
      <c r="GV115" s="17">
        <f>GU115*VLOOKUP('Données projet'!$B$18,Paramètres!$A$1:$I$89,3,0)*VLOOKUP('Données projet'!$B$18,Paramètres!$A$1:$I$89,5,0)</f>
        <v>-1.2414602679200471E-13</v>
      </c>
      <c r="GW115" s="13" t="e">
        <f t="shared" si="105"/>
        <v>#NUM!</v>
      </c>
      <c r="GX115" s="20" t="e">
        <f t="shared" si="82"/>
        <v>#NUM!</v>
      </c>
      <c r="GY115" s="57" t="e">
        <f t="shared" si="83"/>
        <v>#NUM!</v>
      </c>
      <c r="GZ115" s="57">
        <f ca="1">AVERAGE(OFFSET($GY$3,0,0,'Données projet'!$E$18+1,1))-AVERAGE(OFFSET($H$3,0,0,'Données projet'!$E$18+1,1))</f>
        <v>381.00532469288714</v>
      </c>
      <c r="HA115" s="57">
        <f t="shared" si="106"/>
        <v>314.875259641757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>
        <f>EXP(-LN(2)/35)*HG114+(1-EXP(-LN(2)/35))/(LN(2)/35)*HC115*HD115*VLOOKUP('Données projet'!$B$18,Paramètres!$A$1:$I$89,3,0)*0.475*44/12</f>
        <v>160.86314885024677</v>
      </c>
      <c r="HH115" s="21">
        <f>EXP(-LN(2)/25)*HH114+(1-EXP(-LN(2)/25))/(LN(2)/25)*Calculateur!HC115*Calculateur!HE115*VLOOKUP('Données projet'!$B$18,Paramètres!$A$1:$I$89,3,0)*0.475*44/12</f>
        <v>23.655945217509224</v>
      </c>
      <c r="HI115" s="21">
        <f>EXP(-LN(2)/2)*HI114+(1-EXP(-LN(2)/2))/(LN(2)/2)*HC115*HF115*VLOOKUP('Données projet'!$B$18,Paramètres!$A$1:$I$89,3,0)*0.475*44/12</f>
        <v>0.39019988394164823</v>
      </c>
      <c r="HJ115" s="22">
        <f t="shared" si="84"/>
        <v>184.90929395169763</v>
      </c>
    </row>
    <row r="116" spans="1:218" x14ac:dyDescent="0.2">
      <c r="A116" s="10">
        <f t="shared" si="85"/>
        <v>113</v>
      </c>
      <c r="B116" s="71">
        <f>'Scénario référence'!$B$16*5+'Scénario référence'!$B$17*0+'Scénario référence'!$B$18*5</f>
        <v>3.3000000000000003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12.100000000000001</v>
      </c>
      <c r="H116" s="65">
        <f t="shared" si="56"/>
        <v>208.26666666666665</v>
      </c>
      <c r="I116" s="6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67.716155103199782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2.6</v>
      </c>
      <c r="N116" s="13">
        <f>IF('Données projet'!$A$36&gt;35,N115+M116-V115,IF(A116&lt;'Données projet'!$A$36,$K$205^A116,IF(A116='Données projet'!$A$36,'Données projet'!$B$36,N115+M116-V115)))</f>
        <v>213.7999999999999</v>
      </c>
      <c r="O116" s="13">
        <f>N116*VLOOKUP('Données projet'!$B$9,Paramètres!$A$1:$I$89,3,0)*VLOOKUP('Données projet'!$B$9,Paramètres!$A$1:$I$89,5,0)</f>
        <v>216.79319999999993</v>
      </c>
      <c r="P116" s="13">
        <f t="shared" si="87"/>
        <v>53.417309071627834</v>
      </c>
      <c r="Q116" s="20">
        <f t="shared" si="107"/>
        <v>470.61663663308497</v>
      </c>
      <c r="R116" s="57">
        <f t="shared" si="55"/>
        <v>755.57587201148419</v>
      </c>
      <c r="S116" s="57">
        <f ca="1">AVERAGE(OFFSET($R$3,0,0,'Données projet'!$E$9+1,1))-AVERAGE(OFFSET($H$3,0,0,'Données projet'!$E$9+1,1))</f>
        <v>332.70145542047612</v>
      </c>
      <c r="T116" s="57">
        <f t="shared" si="88"/>
        <v>172.22433737900428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27.963672393072198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27.963672393072198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67.716155103199782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>
        <f>VLOOKUP(A116,'Données projet'!$A$61:$I$81,2,0)</f>
        <v>312.99</v>
      </c>
      <c r="AG116" s="12">
        <f>VLOOKUP(A116,'Données projet'!$A$61:$I$81,9,0)</f>
        <v>6.5199999999999987</v>
      </c>
      <c r="AH116" s="12">
        <f t="array" ref="AH116">INDEX(AG:AG,MIN(IF(ISNUMBER(AG116:AG312),ROW(AG116:AG312),"")))</f>
        <v>6.5199999999999987</v>
      </c>
      <c r="AI116" s="13">
        <f>IF('Données projet'!$A$62&gt;35,AI115+AH116-AQ115,IF(A116&lt;'Données projet'!$A$62,$AF$205^A116,IF(A116='Données projet'!$A$62,'Données projet'!$B$62,AI115+AH116-AQ115)))</f>
        <v>312.99</v>
      </c>
      <c r="AJ116" s="13">
        <f>AI116*VLOOKUP('Données projet'!$B$10,Paramètres!$A$1:$I$89,3,0)*VLOOKUP('Données projet'!$B$10,Paramètres!$A$1:$I$89,5,0)</f>
        <v>283.193352</v>
      </c>
      <c r="AK116" s="13">
        <f t="shared" si="89"/>
        <v>67.641409909234866</v>
      </c>
      <c r="AL116" s="20">
        <f t="shared" si="58"/>
        <v>611.03721032525073</v>
      </c>
      <c r="AM116" s="57">
        <f t="shared" si="59"/>
        <v>895.9964457036499</v>
      </c>
      <c r="AN116" s="57">
        <f ca="1">AVERAGE(OFFSET($AM$3,0,0,'Données projet'!$E$10+1,1))-AVERAGE(OFFSET($H$3,0,0,'Données projet'!$E$10+1,1))</f>
        <v>469.4210143164521</v>
      </c>
      <c r="AO116" s="57">
        <f t="shared" si="90"/>
        <v>308.4508386530556</v>
      </c>
      <c r="AP116" s="15">
        <f>IF(ISNA(VLOOKUP(A116,'Données projet'!$A$61:$I$81,3,0)),0,VLOOKUP(A116,'Données projet'!$A$61:$I$81,3,0))</f>
        <v>9</v>
      </c>
      <c r="AQ116" s="15">
        <f>IF(ISNA(VLOOKUP(A116,'Données projet'!$A$61:$I$81,4,0)),0,VLOOKUP(A116,'Données projet'!$A$61:$I$81,4,0))</f>
        <v>40.479999999999997</v>
      </c>
      <c r="AR116" s="16">
        <f>IF(ISNA(VLOOKUP(A116,'Données projet'!$A$61:$I$81,5,0)),0%,VLOOKUP(A116,'Données projet'!$A$61:$I$81,5,0)*VLOOKUP('Données projet'!$B$10,Paramètres!$A$1:$I$89,7,0))</f>
        <v>0.215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35.172895656704704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35.172895656704704</v>
      </c>
      <c r="AY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67.716155103199782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7" t="e">
        <f t="shared" si="62"/>
        <v>#NUM!</v>
      </c>
      <c r="BI116" s="57">
        <f ca="1">AVERAGE(OFFSET($BH$3,0,0,'Données projet'!$E$11+1,1))-AVERAGE(OFFSET($H$3,0,0,'Données projet'!$E$11+1,1))</f>
        <v>344.32981377462971</v>
      </c>
      <c r="BJ116" s="57">
        <f t="shared" si="92"/>
        <v>334.42512656625763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60.390096793806826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60.390096793806826</v>
      </c>
      <c r="BT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67.716155103199782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5.6</v>
      </c>
      <c r="BY116" s="12">
        <f>IF('Données projet'!$A$114&gt;35,BY115+BX116-CG115,IF(A116&lt;'Données projet'!$A$114,$BV$205^A116,IF(A116='Données projet'!$A$114,'Données projet'!$B$114,BY115+BX116-CG115)))</f>
        <v>311.80000000000052</v>
      </c>
      <c r="BZ116" s="13">
        <f>BY116*VLOOKUP('Données projet'!$B$12,Paramètres!$A$1:$I$89,3,0)*VLOOKUP('Données projet'!$B$12,Paramètres!$A$1:$I$89,5,0)</f>
        <v>296.70888000000053</v>
      </c>
      <c r="CA116" s="13">
        <f t="shared" si="93"/>
        <v>70.486075987173351</v>
      </c>
      <c r="CB116" s="20">
        <f t="shared" si="64"/>
        <v>639.53121501099452</v>
      </c>
      <c r="CC116" s="57">
        <f t="shared" si="65"/>
        <v>924.4904503893938</v>
      </c>
      <c r="CD116" s="57">
        <f ca="1">AVERAGE(OFFSET($CC$3,0,0,'Données projet'!$E$12+1,1))-AVERAGE(OFFSET($H$3,0,0,'Données projet'!$E$12+1,1))</f>
        <v>498.77732039282807</v>
      </c>
      <c r="CE116" s="57">
        <f t="shared" si="94"/>
        <v>384.57317421826531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68.113222459922198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68.113222459922198</v>
      </c>
      <c r="CO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67.716155103199782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>
        <f>VLOOKUP(A116,'Données projet'!$A$139:$I$159,2,0)</f>
        <v>312.99</v>
      </c>
      <c r="CR116" s="12">
        <f>VLOOKUP(A116,'Données projet'!$A$139:$I$159,9,0)</f>
        <v>6.5199999999999987</v>
      </c>
      <c r="CS116" s="12">
        <f t="array" ref="CS116">INDEX(CR:CR,MIN(IF(ISNUMBER(CR116:CR312),ROW(CR116:CR312),"")))</f>
        <v>6.5199999999999987</v>
      </c>
      <c r="CT116" s="12">
        <f>IF('Données projet'!$A$140&gt;35,CT115+CS116-DB115,IF(A116&lt;'Données projet'!$A$140,$CQ$205^A116,IF(A116='Données projet'!$A$140,'Données projet'!$B$140,CT115+CS116-DB115)))</f>
        <v>312.99</v>
      </c>
      <c r="CU116" s="17">
        <f>CT116*VLOOKUP('Données projet'!$B$13,Paramètres!$A$1:$I$89,3,0)*VLOOKUP('Données projet'!$B$13,Paramètres!$A$1:$I$89,5,0)</f>
        <v>209.95369200000002</v>
      </c>
      <c r="CV116" s="13">
        <f t="shared" si="95"/>
        <v>51.925466105325491</v>
      </c>
      <c r="CW116" s="20">
        <f t="shared" si="67"/>
        <v>456.10620036677528</v>
      </c>
      <c r="CX116" s="57">
        <f t="shared" si="68"/>
        <v>741.06543574517445</v>
      </c>
      <c r="CY116" s="57">
        <f ca="1">AVERAGE(OFFSET($CX$3,0,0,'Données projet'!$E$13+1,1))-AVERAGE(OFFSET($H$3,0,0,'Données projet'!$E$13+1,1))</f>
        <v>365.99625753737246</v>
      </c>
      <c r="CZ116" s="57">
        <f t="shared" si="96"/>
        <v>242.84814712692287</v>
      </c>
      <c r="DA116" s="15">
        <f>IF(ISNA(VLOOKUP(A116,'Données projet'!$A$139:$I$159,3,0)),0,VLOOKUP(A116,'Données projet'!$A$139:$I$159,3,0))</f>
        <v>9</v>
      </c>
      <c r="DB116" s="15">
        <f>IF(ISNA(VLOOKUP(A116,'Données projet'!$A$139:$I$159,4,0)),0,VLOOKUP(A116,'Données projet'!$A$139:$I$159,4,0))</f>
        <v>40.479999999999997</v>
      </c>
      <c r="DC116" s="16">
        <f>IF(ISNA(VLOOKUP(A116,'Données projet'!$A$139:$I$159,5,0)),0%,VLOOKUP(A116,'Données projet'!$A$139:$I$159,5,0)*VLOOKUP('Données projet'!$B$13,Paramètres!$A$1:$I$89,7,0))</f>
        <v>0.26500000000000001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32.140749479402579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32.140749479402579</v>
      </c>
      <c r="DJ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67.716155103199782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2.2737367544323206E-13</v>
      </c>
      <c r="DP116" s="17">
        <f>DO116*VLOOKUP('Données projet'!$B$14,Paramètres!$A$1:$I$89,3,0)*VLOOKUP('Données projet'!$B$14,Paramètres!$A$1:$I$89,5,0)</f>
        <v>1.4897523215040565E-13</v>
      </c>
      <c r="DQ116" s="13">
        <f t="shared" si="97"/>
        <v>2.136562777003313E-12</v>
      </c>
      <c r="DR116" s="20">
        <f t="shared" si="70"/>
        <v>3.9806453659427267E-12</v>
      </c>
      <c r="DS116" s="57">
        <f t="shared" si="71"/>
        <v>284.95923537840321</v>
      </c>
      <c r="DT116" s="57">
        <f ca="1">AVERAGE(OFFSET($DS$3,0,0,'Données projet'!$E$14+1,1))-AVERAGE(OFFSET($H$3,0,0,'Données projet'!$E$14+1,1))</f>
        <v>313.79279628660527</v>
      </c>
      <c r="DU116" s="57">
        <f t="shared" si="98"/>
        <v>317.45469955216254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58.674578196579709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58.674578196579709</v>
      </c>
      <c r="EE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67.716155103199782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-1.1368683772161603E-13</v>
      </c>
      <c r="EK116" s="17">
        <f>EJ116*VLOOKUP('Données projet'!$B$15,Paramètres!$A$1:$I$89,3,0)*VLOOKUP('Données projet'!$B$15,Paramètres!$A$1:$I$89,5,0)</f>
        <v>-9.7543306765146564E-14</v>
      </c>
      <c r="EL116" s="13" t="e">
        <f t="shared" si="99"/>
        <v>#NUM!</v>
      </c>
      <c r="EM116" s="20" t="e">
        <f t="shared" si="73"/>
        <v>#NUM!</v>
      </c>
      <c r="EN116" s="57" t="e">
        <f t="shared" si="74"/>
        <v>#NUM!</v>
      </c>
      <c r="EO116" s="57">
        <f ca="1">AVERAGE(OFFSET($EN$3,0,0,'Données projet'!$E$15+1,1))-AVERAGE(OFFSET($H$3,0,0,'Données projet'!$E$15+1,1))</f>
        <v>643.04899298561475</v>
      </c>
      <c r="EP116" s="57">
        <f t="shared" si="100"/>
        <v>474.94999304483031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217.48516950506669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217.48516950506669</v>
      </c>
      <c r="EZ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67.716155103199782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>
        <f>FE116*VLOOKUP('Données projet'!$B$16,Paramètres!$A$1:$I$89,3,0)*VLOOKUP('Données projet'!$B$16,Paramètres!$A$1:$I$89,5,0)</f>
        <v>0</v>
      </c>
      <c r="FG116" s="13" t="e">
        <f t="shared" si="101"/>
        <v>#NUM!</v>
      </c>
      <c r="FH116" s="20" t="e">
        <f t="shared" si="76"/>
        <v>#NUM!</v>
      </c>
      <c r="FI116" s="57" t="e">
        <f t="shared" si="77"/>
        <v>#NUM!</v>
      </c>
      <c r="FJ116" s="57">
        <f ca="1">AVERAGE(OFFSET($FI$3,0,0,'Données projet'!$E$16+1,1))-AVERAGE(OFFSET($H$3,0,0,'Données projet'!$E$16+1,1))</f>
        <v>375.34603719604439</v>
      </c>
      <c r="FK116" s="57">
        <f t="shared" si="102"/>
        <v>363.99476973672211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82.352848472900362</v>
      </c>
      <c r="FR116" s="21">
        <f>EXP(-LN(2)/25)*FR115+(1-EXP(-LN(2)/25))/(LN(2)/25)*Calculateur!FM116*Calculateur!FO116*VLOOKUP('Données projet'!$B$16,Paramètres!$A$1:$I$89,3,0)*0.475*44/12</f>
        <v>0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82.352848472900362</v>
      </c>
      <c r="FU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67.716155103199782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-1.1368683772161603E-13</v>
      </c>
      <c r="GA116" s="17">
        <f>FZ116*VLOOKUP('Données projet'!$B$17,Paramètres!$A$1:$I$89,3,0)*VLOOKUP('Données projet'!$B$17,Paramètres!$A$1:$I$89,5,0)</f>
        <v>-6.3550942286383367E-14</v>
      </c>
      <c r="GB116" s="13" t="e">
        <f t="shared" si="103"/>
        <v>#NUM!</v>
      </c>
      <c r="GC116" s="20" t="e">
        <f t="shared" si="79"/>
        <v>#NUM!</v>
      </c>
      <c r="GD116" s="57" t="e">
        <f t="shared" si="80"/>
        <v>#NUM!</v>
      </c>
      <c r="GE116" s="57">
        <f ca="1">AVERAGE(OFFSET($GD$3,0,0,'Données projet'!$E$17+1,1))-AVERAGE(OFFSET($H$3,0,0,'Données projet'!$E$17+1,1))</f>
        <v>414.47327143450701</v>
      </c>
      <c r="GF116" s="57">
        <f t="shared" si="104"/>
        <v>546.83385887302961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93.615343804996769</v>
      </c>
      <c r="GM116" s="21">
        <f>EXP(-LN(2)/25)*GM115+(1-EXP(-LN(2)/25))/(LN(2)/25)*Calculateur!GH116*Calculateur!GJ116*VLOOKUP('Données projet'!$B$17,Paramètres!$A$1:$I$89,3,0)*0.475*44/12</f>
        <v>12.401509150673974</v>
      </c>
      <c r="GN116" s="21">
        <f>EXP(-LN(2)/2)*GN115+(1-EXP(-LN(2)/2))/(LN(2)/2)*GH116*GK116*VLOOKUP('Données projet'!$B$17,Paramètres!$A$1:$I$89,3,0)*0.475*44/12</f>
        <v>5.4721058301773245E-8</v>
      </c>
      <c r="GO116" s="21">
        <f t="shared" si="81"/>
        <v>106.0168530103918</v>
      </c>
      <c r="GP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67.716155103199782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-2.2737367544323206E-13</v>
      </c>
      <c r="GV116" s="17">
        <f>GU116*VLOOKUP('Données projet'!$B$18,Paramètres!$A$1:$I$89,3,0)*VLOOKUP('Données projet'!$B$18,Paramètres!$A$1:$I$89,5,0)</f>
        <v>-1.2414602679200471E-13</v>
      </c>
      <c r="GW116" s="13" t="e">
        <f t="shared" si="105"/>
        <v>#NUM!</v>
      </c>
      <c r="GX116" s="20" t="e">
        <f t="shared" si="82"/>
        <v>#NUM!</v>
      </c>
      <c r="GY116" s="57" t="e">
        <f t="shared" si="83"/>
        <v>#NUM!</v>
      </c>
      <c r="GZ116" s="57">
        <f ca="1">AVERAGE(OFFSET($GY$3,0,0,'Données projet'!$E$18+1,1))-AVERAGE(OFFSET($H$3,0,0,'Données projet'!$E$18+1,1))</f>
        <v>381.00532469288714</v>
      </c>
      <c r="HA116" s="57">
        <f t="shared" si="106"/>
        <v>314.875259641757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>
        <f>EXP(-LN(2)/35)*HG115+(1-EXP(-LN(2)/35))/(LN(2)/35)*HC116*HD116*VLOOKUP('Données projet'!$B$18,Paramètres!$A$1:$I$89,3,0)*0.475*44/12</f>
        <v>157.70872061812599</v>
      </c>
      <c r="HH116" s="21">
        <f>EXP(-LN(2)/25)*HH115+(1-EXP(-LN(2)/25))/(LN(2)/25)*Calculateur!HC116*Calculateur!HE116*VLOOKUP('Données projet'!$B$18,Paramètres!$A$1:$I$89,3,0)*0.475*44/12</f>
        <v>23.009072151524343</v>
      </c>
      <c r="HI116" s="21">
        <f>EXP(-LN(2)/2)*HI115+(1-EXP(-LN(2)/2))/(LN(2)/2)*HC116*HF116*VLOOKUP('Données projet'!$B$18,Paramètres!$A$1:$I$89,3,0)*0.475*44/12</f>
        <v>0.27591298395334329</v>
      </c>
      <c r="HJ116" s="22">
        <f t="shared" si="84"/>
        <v>180.99370575360368</v>
      </c>
    </row>
    <row r="117" spans="1:218" x14ac:dyDescent="0.2">
      <c r="A117" s="10">
        <f t="shared" si="85"/>
        <v>114</v>
      </c>
      <c r="B117" s="71">
        <f>'Scénario référence'!$B$16*5+'Scénario référence'!$B$17*0+'Scénario référence'!$B$18*5</f>
        <v>3.3000000000000003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12.100000000000001</v>
      </c>
      <c r="H117" s="65">
        <f t="shared" si="56"/>
        <v>208.26666666666665</v>
      </c>
      <c r="I117" s="6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67.755774706246996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2.6</v>
      </c>
      <c r="N117" s="13">
        <f>IF('Données projet'!$A$36&gt;35,N116+M117-V116,IF(A117&lt;'Données projet'!$A$36,$K$205^A117,IF(A117='Données projet'!$A$36,'Données projet'!$B$36,N116+M117-V116)))</f>
        <v>216.39999999999989</v>
      </c>
      <c r="O117" s="13">
        <f>N117*VLOOKUP('Données projet'!$B$9,Paramètres!$A$1:$I$89,3,0)*VLOOKUP('Données projet'!$B$9,Paramètres!$A$1:$I$89,5,0)</f>
        <v>219.42959999999991</v>
      </c>
      <c r="P117" s="13">
        <f t="shared" si="87"/>
        <v>53.990893373543535</v>
      </c>
      <c r="Q117" s="20">
        <f t="shared" si="107"/>
        <v>476.20735929225475</v>
      </c>
      <c r="R117" s="57">
        <f t="shared" si="55"/>
        <v>761.31186654849375</v>
      </c>
      <c r="S117" s="57">
        <f ca="1">AVERAGE(OFFSET($R$3,0,0,'Données projet'!$E$9+1,1))-AVERAGE(OFFSET($H$3,0,0,'Données projet'!$E$9+1,1))</f>
        <v>332.70145542047612</v>
      </c>
      <c r="T117" s="57">
        <f t="shared" si="88"/>
        <v>172.22433737900428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27.415321833600057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27.415321833600057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67.755774706246996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6.7941666666666691</v>
      </c>
      <c r="AI117" s="13">
        <f>IF('Données projet'!$A$62&gt;35,AI116+AH117-AQ116,IF(A117&lt;'Données projet'!$A$62,$AF$205^A117,IF(A117='Données projet'!$A$62,'Données projet'!$B$62,AI116+AH117-AQ116)))</f>
        <v>279.30416666666667</v>
      </c>
      <c r="AJ117" s="13">
        <f>AI117*VLOOKUP('Données projet'!$B$10,Paramètres!$A$1:$I$89,3,0)*VLOOKUP('Données projet'!$B$10,Paramètres!$A$1:$I$89,5,0)</f>
        <v>252.71440999999999</v>
      </c>
      <c r="AK117" s="13">
        <f t="shared" si="89"/>
        <v>61.166825075391685</v>
      </c>
      <c r="AL117" s="20">
        <f t="shared" si="58"/>
        <v>546.67648442297389</v>
      </c>
      <c r="AM117" s="57">
        <f t="shared" si="59"/>
        <v>831.78099167921289</v>
      </c>
      <c r="AN117" s="57">
        <f ca="1">AVERAGE(OFFSET($AM$3,0,0,'Données projet'!$E$10+1,1))-AVERAGE(OFFSET($H$3,0,0,'Données projet'!$E$10+1,1))</f>
        <v>469.4210143164521</v>
      </c>
      <c r="AO117" s="57">
        <f t="shared" si="90"/>
        <v>308.4508386530556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34.483176626224733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34.483176626224733</v>
      </c>
      <c r="AY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67.755774706246996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7" t="e">
        <f t="shared" si="62"/>
        <v>#NUM!</v>
      </c>
      <c r="BI117" s="57">
        <f ca="1">AVERAGE(OFFSET($BH$3,0,0,'Données projet'!$E$11+1,1))-AVERAGE(OFFSET($H$3,0,0,'Données projet'!$E$11+1,1))</f>
        <v>344.32981377462971</v>
      </c>
      <c r="BJ117" s="57">
        <f t="shared" si="92"/>
        <v>334.42512656625763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59.205883830002229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59.205883830002229</v>
      </c>
      <c r="BT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67.755774706246996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5.6</v>
      </c>
      <c r="BY117" s="12">
        <f>IF('Données projet'!$A$114&gt;35,BY116+BX117-CG116,IF(A117&lt;'Données projet'!$A$114,$BV$205^A117,IF(A117='Données projet'!$A$114,'Données projet'!$B$114,BY116+BX117-CG116)))</f>
        <v>317.40000000000055</v>
      </c>
      <c r="BZ117" s="13">
        <f>BY117*VLOOKUP('Données projet'!$B$12,Paramètres!$A$1:$I$89,3,0)*VLOOKUP('Données projet'!$B$12,Paramètres!$A$1:$I$89,5,0)</f>
        <v>302.03784000000053</v>
      </c>
      <c r="CA117" s="13">
        <f t="shared" si="93"/>
        <v>71.603504545962807</v>
      </c>
      <c r="CB117" s="20">
        <f t="shared" si="64"/>
        <v>650.75867508421936</v>
      </c>
      <c r="CC117" s="57">
        <f t="shared" si="65"/>
        <v>935.86318234045837</v>
      </c>
      <c r="CD117" s="57">
        <f ca="1">AVERAGE(OFFSET($CC$3,0,0,'Données projet'!$E$12+1,1))-AVERAGE(OFFSET($H$3,0,0,'Données projet'!$E$12+1,1))</f>
        <v>498.77732039282807</v>
      </c>
      <c r="CE117" s="57">
        <f t="shared" si="94"/>
        <v>384.57317421826531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66.777563712446607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66.777563712446607</v>
      </c>
      <c r="CO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67.755774706246996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6.7941666666666691</v>
      </c>
      <c r="CT117" s="12">
        <f>IF('Données projet'!$A$140&gt;35,CT116+CS117-DB116,IF(A117&lt;'Données projet'!$A$140,$CQ$205^A117,IF(A117='Données projet'!$A$140,'Données projet'!$B$140,CT116+CS117-DB116)))</f>
        <v>279.30416666666667</v>
      </c>
      <c r="CU117" s="17">
        <f>CT117*VLOOKUP('Données projet'!$B$13,Paramètres!$A$1:$I$89,3,0)*VLOOKUP('Données projet'!$B$13,Paramètres!$A$1:$I$89,5,0)</f>
        <v>187.357235</v>
      </c>
      <c r="CV117" s="13">
        <f t="shared" si="95"/>
        <v>46.955199580915284</v>
      </c>
      <c r="CW117" s="20">
        <f t="shared" si="67"/>
        <v>408.0941568950941</v>
      </c>
      <c r="CX117" s="57">
        <f t="shared" si="68"/>
        <v>693.19866415133311</v>
      </c>
      <c r="CY117" s="57">
        <f ca="1">AVERAGE(OFFSET($CX$3,0,0,'Données projet'!$E$13+1,1))-AVERAGE(OFFSET($H$3,0,0,'Données projet'!$E$13+1,1))</f>
        <v>365.99625753737246</v>
      </c>
      <c r="CZ117" s="57">
        <f t="shared" si="96"/>
        <v>242.84814712692287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31.51048898603295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31.51048898603295</v>
      </c>
      <c r="DJ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67.755774706246996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2.2737367544323206E-13</v>
      </c>
      <c r="DP117" s="17">
        <f>DO117*VLOOKUP('Données projet'!$B$14,Paramètres!$A$1:$I$89,3,0)*VLOOKUP('Données projet'!$B$14,Paramètres!$A$1:$I$89,5,0)</f>
        <v>1.4897523215040565E-13</v>
      </c>
      <c r="DQ117" s="13">
        <f t="shared" si="97"/>
        <v>2.136562777003313E-12</v>
      </c>
      <c r="DR117" s="20">
        <f t="shared" si="70"/>
        <v>3.9806453659427267E-12</v>
      </c>
      <c r="DS117" s="57">
        <f t="shared" si="71"/>
        <v>285.10450725624298</v>
      </c>
      <c r="DT117" s="57">
        <f ca="1">AVERAGE(OFFSET($DS$3,0,0,'Données projet'!$E$14+1,1))-AVERAGE(OFFSET($H$3,0,0,'Données projet'!$E$14+1,1))</f>
        <v>313.79279628660527</v>
      </c>
      <c r="DU117" s="57">
        <f t="shared" si="98"/>
        <v>317.45469955216254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57.524005506103713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57.524005506103713</v>
      </c>
      <c r="EE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67.755774706246996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-1.1368683772161603E-13</v>
      </c>
      <c r="EK117" s="17">
        <f>EJ117*VLOOKUP('Données projet'!$B$15,Paramètres!$A$1:$I$89,3,0)*VLOOKUP('Données projet'!$B$15,Paramètres!$A$1:$I$89,5,0)</f>
        <v>-9.7543306765146564E-14</v>
      </c>
      <c r="EL117" s="13" t="e">
        <f t="shared" si="99"/>
        <v>#NUM!</v>
      </c>
      <c r="EM117" s="20" t="e">
        <f t="shared" si="73"/>
        <v>#NUM!</v>
      </c>
      <c r="EN117" s="57" t="e">
        <f t="shared" si="74"/>
        <v>#NUM!</v>
      </c>
      <c r="EO117" s="57">
        <f ca="1">AVERAGE(OFFSET($EN$3,0,0,'Données projet'!$E$15+1,1))-AVERAGE(OFFSET($H$3,0,0,'Données projet'!$E$15+1,1))</f>
        <v>643.04899298561475</v>
      </c>
      <c r="EP117" s="57">
        <f t="shared" si="100"/>
        <v>474.94999304483031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213.22041798392735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213.22041798392735</v>
      </c>
      <c r="EZ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67.755774706246996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>
        <f>FE117*VLOOKUP('Données projet'!$B$16,Paramètres!$A$1:$I$89,3,0)*VLOOKUP('Données projet'!$B$16,Paramètres!$A$1:$I$89,5,0)</f>
        <v>0</v>
      </c>
      <c r="FG117" s="13" t="e">
        <f t="shared" si="101"/>
        <v>#NUM!</v>
      </c>
      <c r="FH117" s="20" t="e">
        <f t="shared" si="76"/>
        <v>#NUM!</v>
      </c>
      <c r="FI117" s="57" t="e">
        <f t="shared" si="77"/>
        <v>#NUM!</v>
      </c>
      <c r="FJ117" s="57">
        <f ca="1">AVERAGE(OFFSET($FI$3,0,0,'Données projet'!$E$16+1,1))-AVERAGE(OFFSET($H$3,0,0,'Données projet'!$E$16+1,1))</f>
        <v>375.34603719604439</v>
      </c>
      <c r="FK117" s="57">
        <f t="shared" si="102"/>
        <v>363.99476973672211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80.737959344624528</v>
      </c>
      <c r="FR117" s="21">
        <f>EXP(-LN(2)/25)*FR116+(1-EXP(-LN(2)/25))/(LN(2)/25)*Calculateur!FM117*Calculateur!FO117*VLOOKUP('Données projet'!$B$16,Paramètres!$A$1:$I$89,3,0)*0.475*44/12</f>
        <v>0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80.737959344624528</v>
      </c>
      <c r="FU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67.755774706246996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-1.1368683772161603E-13</v>
      </c>
      <c r="GA117" s="17">
        <f>FZ117*VLOOKUP('Données projet'!$B$17,Paramètres!$A$1:$I$89,3,0)*VLOOKUP('Données projet'!$B$17,Paramètres!$A$1:$I$89,5,0)</f>
        <v>-6.3550942286383367E-14</v>
      </c>
      <c r="GB117" s="13" t="e">
        <f t="shared" si="103"/>
        <v>#NUM!</v>
      </c>
      <c r="GC117" s="20" t="e">
        <f t="shared" si="79"/>
        <v>#NUM!</v>
      </c>
      <c r="GD117" s="57" t="e">
        <f t="shared" si="80"/>
        <v>#NUM!</v>
      </c>
      <c r="GE117" s="57">
        <f ca="1">AVERAGE(OFFSET($GD$3,0,0,'Données projet'!$E$17+1,1))-AVERAGE(OFFSET($H$3,0,0,'Données projet'!$E$17+1,1))</f>
        <v>414.47327143450701</v>
      </c>
      <c r="GF117" s="57">
        <f t="shared" si="104"/>
        <v>546.83385887302961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91.779604012702379</v>
      </c>
      <c r="GM117" s="21">
        <f>EXP(-LN(2)/25)*GM116+(1-EXP(-LN(2)/25))/(LN(2)/25)*Calculateur!GH117*Calculateur!GJ117*VLOOKUP('Données projet'!$B$17,Paramètres!$A$1:$I$89,3,0)*0.475*44/12</f>
        <v>12.062389230781772</v>
      </c>
      <c r="GN117" s="21">
        <f>EXP(-LN(2)/2)*GN116+(1-EXP(-LN(2)/2))/(LN(2)/2)*GH117*GK117*VLOOKUP('Données projet'!$B$17,Paramètres!$A$1:$I$89,3,0)*0.475*44/12</f>
        <v>3.8693631398888283E-8</v>
      </c>
      <c r="GO117" s="21">
        <f t="shared" si="81"/>
        <v>103.84199328217778</v>
      </c>
      <c r="GP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67.755774706246996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-2.2737367544323206E-13</v>
      </c>
      <c r="GV117" s="17">
        <f>GU117*VLOOKUP('Données projet'!$B$18,Paramètres!$A$1:$I$89,3,0)*VLOOKUP('Données projet'!$B$18,Paramètres!$A$1:$I$89,5,0)</f>
        <v>-1.2414602679200471E-13</v>
      </c>
      <c r="GW117" s="13" t="e">
        <f t="shared" si="105"/>
        <v>#NUM!</v>
      </c>
      <c r="GX117" s="20" t="e">
        <f t="shared" si="82"/>
        <v>#NUM!</v>
      </c>
      <c r="GY117" s="57" t="e">
        <f t="shared" si="83"/>
        <v>#NUM!</v>
      </c>
      <c r="GZ117" s="57">
        <f ca="1">AVERAGE(OFFSET($GY$3,0,0,'Données projet'!$E$18+1,1))-AVERAGE(OFFSET($H$3,0,0,'Données projet'!$E$18+1,1))</f>
        <v>381.00532469288714</v>
      </c>
      <c r="HA117" s="57">
        <f t="shared" si="106"/>
        <v>314.875259641757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>
        <f>EXP(-LN(2)/35)*HG116+(1-EXP(-LN(2)/35))/(LN(2)/35)*HC117*HD117*VLOOKUP('Données projet'!$B$18,Paramètres!$A$1:$I$89,3,0)*0.475*44/12</f>
        <v>154.61614879962588</v>
      </c>
      <c r="HH117" s="21">
        <f>EXP(-LN(2)/25)*HH116+(1-EXP(-LN(2)/25))/(LN(2)/25)*Calculateur!HC117*Calculateur!HE117*VLOOKUP('Données projet'!$B$18,Paramètres!$A$1:$I$89,3,0)*0.475*44/12</f>
        <v>22.379887863546394</v>
      </c>
      <c r="HI117" s="21">
        <f>EXP(-LN(2)/2)*HI116+(1-EXP(-LN(2)/2))/(LN(2)/2)*HC117*HF117*VLOOKUP('Données projet'!$B$18,Paramètres!$A$1:$I$89,3,0)*0.475*44/12</f>
        <v>0.19509994197082411</v>
      </c>
      <c r="HJ117" s="22">
        <f t="shared" si="84"/>
        <v>177.1911366051431</v>
      </c>
    </row>
    <row r="118" spans="1:218" x14ac:dyDescent="0.2">
      <c r="A118" s="10">
        <f t="shared" si="85"/>
        <v>115</v>
      </c>
      <c r="B118" s="71">
        <f>'Scénario référence'!$B$16*5+'Scénario référence'!$B$17*0+'Scénario référence'!$B$18*5</f>
        <v>3.3000000000000003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12.100000000000001</v>
      </c>
      <c r="H118" s="65">
        <f t="shared" si="56"/>
        <v>208.26666666666665</v>
      </c>
      <c r="I118" s="6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67.794706997757501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>
        <f>VLOOKUP(A118,'Données projet'!$A$35:$I$55,2,0)</f>
        <v>219</v>
      </c>
      <c r="L118" s="12">
        <f>VLOOKUP(A118,'Données projet'!$A$35:$I$55,9,0)</f>
        <v>2.6</v>
      </c>
      <c r="M118" s="12">
        <f t="array" ref="M118">INDEX(L:L,MIN(IF(ISNUMBER(L118:L314),ROW(L118:L314),"")))</f>
        <v>2.6</v>
      </c>
      <c r="N118" s="13">
        <f>IF('Données projet'!$A$36&gt;35,N117+M118-V117,IF(A118&lt;'Données projet'!$A$36,$K$205^A118,IF(A118='Données projet'!$A$36,'Données projet'!$B$36,N117+M118-V117)))</f>
        <v>218.99999999999989</v>
      </c>
      <c r="O118" s="13">
        <f>N118*VLOOKUP('Données projet'!$B$9,Paramètres!$A$1:$I$89,3,0)*VLOOKUP('Données projet'!$B$9,Paramètres!$A$1:$I$89,5,0)</f>
        <v>222.06599999999992</v>
      </c>
      <c r="P118" s="13">
        <f t="shared" si="87"/>
        <v>54.563676045889338</v>
      </c>
      <c r="Q118" s="20">
        <f t="shared" si="107"/>
        <v>481.79668577992373</v>
      </c>
      <c r="R118" s="57">
        <f t="shared" si="55"/>
        <v>767.04394477170126</v>
      </c>
      <c r="S118" s="57">
        <f ca="1">AVERAGE(OFFSET($R$3,0,0,'Données projet'!$E$9+1,1))-AVERAGE(OFFSET($H$3,0,0,'Données projet'!$E$9+1,1))</f>
        <v>332.70145542047612</v>
      </c>
      <c r="T118" s="57">
        <f t="shared" si="88"/>
        <v>172.22433737900428</v>
      </c>
      <c r="U118" s="15">
        <f>IF(ISNA(VLOOKUP(A118,'Données projet'!$A$35:$I$55,3,0)),0,VLOOKUP(A118,'Données projet'!$A$35:$I$55,3,0))</f>
        <v>19</v>
      </c>
      <c r="V118" s="15">
        <f>IF(ISNA(VLOOKUP(A118,'Données projet'!$A$35:$I$55,4,0)),0,VLOOKUP(A118,'Données projet'!$A$35:$I$55,4,0))</f>
        <v>13</v>
      </c>
      <c r="W118" s="16">
        <f>IF(ISNA(VLOOKUP(A118,'Données projet'!$A$35:$I$55,5,0)),0%,VLOOKUP(A118,'Données projet'!$A$35:$I$55,5,0)*VLOOKUP('Données projet'!$B$9,Paramètres!$A$1:$I$89,7,0))</f>
        <v>0.30099999999999999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31.263989567582357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31.263989567582357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67.794706997757501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6.7941666666666691</v>
      </c>
      <c r="AI118" s="13">
        <f>IF('Données projet'!$A$62&gt;35,AI117+AH118-AQ117,IF(A118&lt;'Données projet'!$A$62,$AF$205^A118,IF(A118='Données projet'!$A$62,'Données projet'!$B$62,AI117+AH118-AQ117)))</f>
        <v>286.09833333333336</v>
      </c>
      <c r="AJ118" s="13">
        <f>AI118*VLOOKUP('Données projet'!$B$10,Paramètres!$A$1:$I$89,3,0)*VLOOKUP('Données projet'!$B$10,Paramètres!$A$1:$I$89,5,0)</f>
        <v>258.86177200000003</v>
      </c>
      <c r="AK118" s="13">
        <f t="shared" si="89"/>
        <v>62.479691824726856</v>
      </c>
      <c r="AL118" s="20">
        <f t="shared" si="58"/>
        <v>559.66971616139926</v>
      </c>
      <c r="AM118" s="57">
        <f t="shared" si="59"/>
        <v>844.91697515317674</v>
      </c>
      <c r="AN118" s="57">
        <f ca="1">AVERAGE(OFFSET($AM$3,0,0,'Données projet'!$E$10+1,1))-AVERAGE(OFFSET($H$3,0,0,'Données projet'!$E$10+1,1))</f>
        <v>469.4210143164521</v>
      </c>
      <c r="AO118" s="57">
        <f t="shared" si="90"/>
        <v>308.4508386530556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33.806982565245406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33.806982565245406</v>
      </c>
      <c r="AY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67.794706997757501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7" t="e">
        <f t="shared" si="62"/>
        <v>#NUM!</v>
      </c>
      <c r="BI118" s="57">
        <f ca="1">AVERAGE(OFFSET($BH$3,0,0,'Données projet'!$E$11+1,1))-AVERAGE(OFFSET($H$3,0,0,'Données projet'!$E$11+1,1))</f>
        <v>344.32981377462971</v>
      </c>
      <c r="BJ118" s="57">
        <f t="shared" si="92"/>
        <v>334.42512656625763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58.044892560119258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58.044892560119258</v>
      </c>
      <c r="BT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67.794706997757501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>
        <f>VLOOKUP(A118,'Données projet'!$A$113:$I$133,2,0)</f>
        <v>323</v>
      </c>
      <c r="BW118" s="12">
        <f>VLOOKUP(A118,'Données projet'!$A$113:$I$133,9,0)</f>
        <v>5.6</v>
      </c>
      <c r="BX118" s="12">
        <f t="array" ref="BX118">INDEX(BW:BW,MIN(IF(ISNUMBER(BW118:BW314),ROW(BW118:BW314),"")))</f>
        <v>5.6</v>
      </c>
      <c r="BY118" s="12">
        <f>IF('Données projet'!$A$114&gt;35,BY117+BX118-CG117,IF(A118&lt;'Données projet'!$A$114,$BV$205^A118,IF(A118='Données projet'!$A$114,'Données projet'!$B$114,BY117+BX118-CG117)))</f>
        <v>323.00000000000057</v>
      </c>
      <c r="BZ118" s="13">
        <f>BY118*VLOOKUP('Données projet'!$B$12,Paramètres!$A$1:$I$89,3,0)*VLOOKUP('Données projet'!$B$12,Paramètres!$A$1:$I$89,5,0)</f>
        <v>307.36680000000052</v>
      </c>
      <c r="CA118" s="13">
        <f t="shared" si="93"/>
        <v>72.718640486230299</v>
      </c>
      <c r="CB118" s="20">
        <f t="shared" si="64"/>
        <v>661.98214218018541</v>
      </c>
      <c r="CC118" s="57">
        <f t="shared" si="65"/>
        <v>947.22940117196299</v>
      </c>
      <c r="CD118" s="57">
        <f ca="1">AVERAGE(OFFSET($CC$3,0,0,'Données projet'!$E$12+1,1))-AVERAGE(OFFSET($H$3,0,0,'Données projet'!$E$12+1,1))</f>
        <v>498.77732039282807</v>
      </c>
      <c r="CE118" s="57">
        <f t="shared" si="94"/>
        <v>384.57317421826531</v>
      </c>
      <c r="CF118" s="15">
        <f>IF(ISNA(VLOOKUP(A118,'Données projet'!$A$113:$I$133,3,0)),0,VLOOKUP(A118,'Données projet'!$A$113:$I$133,3,0))</f>
        <v>19</v>
      </c>
      <c r="CG118" s="15">
        <f>IF(ISNA(VLOOKUP(A118,'Données projet'!$A$113:$I$133,4,0)),0,VLOOKUP(A118,'Données projet'!$A$113:$I$133,4,0))</f>
        <v>26</v>
      </c>
      <c r="CH118" s="16">
        <f>IF(ISNA(VLOOKUP(A118,'Données projet'!$A$113:$I$133,5,0)),0%,VLOOKUP(A118,'Données projet'!$A$113:$I$133,5,0)*VLOOKUP('Données projet'!$B$12,Paramètres!$A$1:$I$89,7,0))</f>
        <v>0.34400000000000003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74.876876862472443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74.876876862472443</v>
      </c>
      <c r="CO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67.794706997757501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6.7941666666666691</v>
      </c>
      <c r="CT118" s="12">
        <f>IF('Données projet'!$A$140&gt;35,CT117+CS118-DB117,IF(A118&lt;'Données projet'!$A$140,$CQ$205^A118,IF(A118='Données projet'!$A$140,'Données projet'!$B$140,CT117+CS118-DB117)))</f>
        <v>286.09833333333336</v>
      </c>
      <c r="CU118" s="17">
        <f>CT118*VLOOKUP('Données projet'!$B$13,Paramètres!$A$1:$I$89,3,0)*VLOOKUP('Données projet'!$B$13,Paramètres!$A$1:$I$89,5,0)</f>
        <v>191.91476200000002</v>
      </c>
      <c r="CV118" s="13">
        <f t="shared" si="95"/>
        <v>47.963032179095684</v>
      </c>
      <c r="CW118" s="20">
        <f t="shared" si="67"/>
        <v>417.78715819525837</v>
      </c>
      <c r="CX118" s="57">
        <f t="shared" si="68"/>
        <v>703.03441718703584</v>
      </c>
      <c r="CY118" s="57">
        <f ca="1">AVERAGE(OFFSET($CX$3,0,0,'Données projet'!$E$13+1,1))-AVERAGE(OFFSET($H$3,0,0,'Données projet'!$E$13+1,1))</f>
        <v>365.99625753737246</v>
      </c>
      <c r="CZ118" s="57">
        <f t="shared" si="96"/>
        <v>242.84814712692287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30.892587516517356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30.892587516517356</v>
      </c>
      <c r="DJ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67.794706997757501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2.2737367544323206E-13</v>
      </c>
      <c r="DP118" s="17">
        <f>DO118*VLOOKUP('Données projet'!$B$14,Paramètres!$A$1:$I$89,3,0)*VLOOKUP('Données projet'!$B$14,Paramètres!$A$1:$I$89,5,0)</f>
        <v>1.4897523215040565E-13</v>
      </c>
      <c r="DQ118" s="13">
        <f t="shared" si="97"/>
        <v>2.136562777003313E-12</v>
      </c>
      <c r="DR118" s="20">
        <f t="shared" si="70"/>
        <v>3.9806453659427267E-12</v>
      </c>
      <c r="DS118" s="57">
        <f t="shared" si="71"/>
        <v>285.24725899178151</v>
      </c>
      <c r="DT118" s="57">
        <f ca="1">AVERAGE(OFFSET($DS$3,0,0,'Données projet'!$E$14+1,1))-AVERAGE(OFFSET($H$3,0,0,'Données projet'!$E$14+1,1))</f>
        <v>313.79279628660527</v>
      </c>
      <c r="DU118" s="57">
        <f t="shared" si="98"/>
        <v>317.45469955216254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56.395994844307907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56.395994844307907</v>
      </c>
      <c r="EE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67.794706997757501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-1.1368683772161603E-13</v>
      </c>
      <c r="EK118" s="17">
        <f>EJ118*VLOOKUP('Données projet'!$B$15,Paramètres!$A$1:$I$89,3,0)*VLOOKUP('Données projet'!$B$15,Paramètres!$A$1:$I$89,5,0)</f>
        <v>-9.7543306765146564E-14</v>
      </c>
      <c r="EL118" s="13" t="e">
        <f t="shared" si="99"/>
        <v>#NUM!</v>
      </c>
      <c r="EM118" s="20" t="e">
        <f t="shared" si="73"/>
        <v>#NUM!</v>
      </c>
      <c r="EN118" s="57" t="e">
        <f t="shared" si="74"/>
        <v>#NUM!</v>
      </c>
      <c r="EO118" s="57">
        <f ca="1">AVERAGE(OFFSET($EN$3,0,0,'Données projet'!$E$15+1,1))-AVERAGE(OFFSET($H$3,0,0,'Données projet'!$E$15+1,1))</f>
        <v>643.04899298561475</v>
      </c>
      <c r="EP118" s="57">
        <f t="shared" si="100"/>
        <v>474.94999304483031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209.03929563887598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209.03929563887598</v>
      </c>
      <c r="EZ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67.794706997757501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>
        <f>FE118*VLOOKUP('Données projet'!$B$16,Paramètres!$A$1:$I$89,3,0)*VLOOKUP('Données projet'!$B$16,Paramètres!$A$1:$I$89,5,0)</f>
        <v>0</v>
      </c>
      <c r="FG118" s="13" t="e">
        <f t="shared" si="101"/>
        <v>#NUM!</v>
      </c>
      <c r="FH118" s="20" t="e">
        <f t="shared" si="76"/>
        <v>#NUM!</v>
      </c>
      <c r="FI118" s="57" t="e">
        <f t="shared" si="77"/>
        <v>#NUM!</v>
      </c>
      <c r="FJ118" s="57">
        <f ca="1">AVERAGE(OFFSET($FI$3,0,0,'Données projet'!$E$16+1,1))-AVERAGE(OFFSET($H$3,0,0,'Données projet'!$E$16+1,1))</f>
        <v>375.34603719604439</v>
      </c>
      <c r="FK118" s="57">
        <f t="shared" si="102"/>
        <v>363.99476973672211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79.154737207169077</v>
      </c>
      <c r="FR118" s="21">
        <f>EXP(-LN(2)/25)*FR117+(1-EXP(-LN(2)/25))/(LN(2)/25)*Calculateur!FM118*Calculateur!FO118*VLOOKUP('Données projet'!$B$16,Paramètres!$A$1:$I$89,3,0)*0.475*44/12</f>
        <v>0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79.154737207169077</v>
      </c>
      <c r="FU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67.794706997757501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-1.1368683772161603E-13</v>
      </c>
      <c r="GA118" s="17">
        <f>FZ118*VLOOKUP('Données projet'!$B$17,Paramètres!$A$1:$I$89,3,0)*VLOOKUP('Données projet'!$B$17,Paramètres!$A$1:$I$89,5,0)</f>
        <v>-6.3550942286383367E-14</v>
      </c>
      <c r="GB118" s="13" t="e">
        <f t="shared" si="103"/>
        <v>#NUM!</v>
      </c>
      <c r="GC118" s="20" t="e">
        <f t="shared" si="79"/>
        <v>#NUM!</v>
      </c>
      <c r="GD118" s="57" t="e">
        <f t="shared" si="80"/>
        <v>#NUM!</v>
      </c>
      <c r="GE118" s="57">
        <f ca="1">AVERAGE(OFFSET($GD$3,0,0,'Données projet'!$E$17+1,1))-AVERAGE(OFFSET($H$3,0,0,'Données projet'!$E$17+1,1))</f>
        <v>414.47327143450701</v>
      </c>
      <c r="GF118" s="57">
        <f t="shared" si="104"/>
        <v>546.83385887302961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89.979861958044168</v>
      </c>
      <c r="GM118" s="21">
        <f>EXP(-LN(2)/25)*GM117+(1-EXP(-LN(2)/25))/(LN(2)/25)*Calculateur!GH118*Calculateur!GJ118*VLOOKUP('Données projet'!$B$17,Paramètres!$A$1:$I$89,3,0)*0.475*44/12</f>
        <v>11.732542562932563</v>
      </c>
      <c r="GN118" s="21">
        <f>EXP(-LN(2)/2)*GN117+(1-EXP(-LN(2)/2))/(LN(2)/2)*GH118*GK118*VLOOKUP('Données projet'!$B$17,Paramètres!$A$1:$I$89,3,0)*0.475*44/12</f>
        <v>2.7360529150886622E-8</v>
      </c>
      <c r="GO118" s="21">
        <f t="shared" si="81"/>
        <v>101.71240454833726</v>
      </c>
      <c r="GP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67.794706997757501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-2.2737367544323206E-13</v>
      </c>
      <c r="GV118" s="17">
        <f>GU118*VLOOKUP('Données projet'!$B$18,Paramètres!$A$1:$I$89,3,0)*VLOOKUP('Données projet'!$B$18,Paramètres!$A$1:$I$89,5,0)</f>
        <v>-1.2414602679200471E-13</v>
      </c>
      <c r="GW118" s="13" t="e">
        <f t="shared" si="105"/>
        <v>#NUM!</v>
      </c>
      <c r="GX118" s="20" t="e">
        <f t="shared" si="82"/>
        <v>#NUM!</v>
      </c>
      <c r="GY118" s="57" t="e">
        <f t="shared" si="83"/>
        <v>#NUM!</v>
      </c>
      <c r="GZ118" s="57">
        <f ca="1">AVERAGE(OFFSET($GY$3,0,0,'Données projet'!$E$18+1,1))-AVERAGE(OFFSET($H$3,0,0,'Données projet'!$E$18+1,1))</f>
        <v>381.00532469288714</v>
      </c>
      <c r="HA118" s="57">
        <f t="shared" si="106"/>
        <v>314.875259641757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>
        <f>EXP(-LN(2)/35)*HG117+(1-EXP(-LN(2)/35))/(LN(2)/35)*HC118*HD118*VLOOKUP('Données projet'!$B$18,Paramètres!$A$1:$I$89,3,0)*0.475*44/12</f>
        <v>151.58422042820399</v>
      </c>
      <c r="HH118" s="21">
        <f>EXP(-LN(2)/25)*HH117+(1-EXP(-LN(2)/25))/(LN(2)/25)*Calculateur!HC118*Calculateur!HE118*VLOOKUP('Données projet'!$B$18,Paramètres!$A$1:$I$89,3,0)*0.475*44/12</f>
        <v>21.767908653010565</v>
      </c>
      <c r="HI118" s="21">
        <f>EXP(-LN(2)/2)*HI117+(1-EXP(-LN(2)/2))/(LN(2)/2)*HC118*HF118*VLOOKUP('Données projet'!$B$18,Paramètres!$A$1:$I$89,3,0)*0.475*44/12</f>
        <v>0.13795649197667165</v>
      </c>
      <c r="HJ118" s="22">
        <f t="shared" si="84"/>
        <v>173.49008557319124</v>
      </c>
    </row>
    <row r="119" spans="1:218" x14ac:dyDescent="0.2">
      <c r="A119" s="10">
        <f t="shared" si="85"/>
        <v>116</v>
      </c>
      <c r="B119" s="71">
        <f>'Scénario référence'!$B$16*5+'Scénario référence'!$B$17*0+'Scénario référence'!$B$18*5</f>
        <v>3.3000000000000003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12.100000000000001</v>
      </c>
      <c r="H119" s="65">
        <f t="shared" si="56"/>
        <v>208.26666666666665</v>
      </c>
      <c r="I119" s="6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67.832963901049865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3</v>
      </c>
      <c r="N119" s="13">
        <f>IF('Données projet'!$A$36&gt;35,N118+M119-V118,IF(A119&lt;'Données projet'!$A$36,$K$205^A119,IF(A119='Données projet'!$A$36,'Données projet'!$B$36,N118+M119-V118)))</f>
        <v>208.99999999999989</v>
      </c>
      <c r="O119" s="13">
        <f>N119*VLOOKUP('Données projet'!$B$9,Paramètres!$A$1:$I$89,3,0)*VLOOKUP('Données projet'!$B$9,Paramètres!$A$1:$I$89,5,0)</f>
        <v>211.9259999999999</v>
      </c>
      <c r="P119" s="13">
        <f t="shared" si="87"/>
        <v>52.356241262970116</v>
      </c>
      <c r="Q119" s="20">
        <f t="shared" si="107"/>
        <v>460.29157019967283</v>
      </c>
      <c r="R119" s="57">
        <f t="shared" si="55"/>
        <v>745.67910450352235</v>
      </c>
      <c r="S119" s="57">
        <f ca="1">AVERAGE(OFFSET($R$3,0,0,'Données projet'!$E$9+1,1))-AVERAGE(OFFSET($H$3,0,0,'Données projet'!$E$9+1,1))</f>
        <v>332.70145542047612</v>
      </c>
      <c r="T119" s="57">
        <f t="shared" si="88"/>
        <v>172.22433737900428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30.65092180131278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30.65092180131278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67.832963901049865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6.7941666666666691</v>
      </c>
      <c r="AI119" s="13">
        <f>IF('Données projet'!$A$62&gt;35,AI118+AH119-AQ118,IF(A119&lt;'Données projet'!$A$62,$AF$205^A119,IF(A119='Données projet'!$A$62,'Données projet'!$B$62,AI118+AH119-AQ118)))</f>
        <v>292.89250000000004</v>
      </c>
      <c r="AJ119" s="13">
        <f>AI119*VLOOKUP('Données projet'!$B$10,Paramètres!$A$1:$I$89,3,0)*VLOOKUP('Données projet'!$B$10,Paramètres!$A$1:$I$89,5,0)</f>
        <v>265.00913400000002</v>
      </c>
      <c r="AK119" s="13">
        <f t="shared" si="89"/>
        <v>63.788934162258975</v>
      </c>
      <c r="AL119" s="20">
        <f t="shared" si="58"/>
        <v>572.65663538260094</v>
      </c>
      <c r="AM119" s="57">
        <f t="shared" si="59"/>
        <v>858.04416968645046</v>
      </c>
      <c r="AN119" s="57">
        <f ca="1">AVERAGE(OFFSET($AM$3,0,0,'Données projet'!$E$10+1,1))-AVERAGE(OFFSET($H$3,0,0,'Données projet'!$E$10+1,1))</f>
        <v>469.4210143164521</v>
      </c>
      <c r="AO119" s="57">
        <f t="shared" si="90"/>
        <v>308.4508386530556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33.144048257364233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33.144048257364233</v>
      </c>
      <c r="AY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67.832963901049865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7" t="e">
        <f t="shared" si="62"/>
        <v>#NUM!</v>
      </c>
      <c r="BI119" s="57">
        <f ca="1">AVERAGE(OFFSET($BH$3,0,0,'Données projet'!$E$11+1,1))-AVERAGE(OFFSET($H$3,0,0,'Données projet'!$E$11+1,1))</f>
        <v>344.32981377462971</v>
      </c>
      <c r="BJ119" s="57">
        <f t="shared" si="92"/>
        <v>334.42512656625763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56.906667620903939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56.906667620903939</v>
      </c>
      <c r="BT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67.832963901049865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5.4</v>
      </c>
      <c r="BY119" s="12">
        <f>IF('Données projet'!$A$114&gt;35,BY118+BX119-CG118,IF(A119&lt;'Données projet'!$A$114,$BV$205^A119,IF(A119='Données projet'!$A$114,'Données projet'!$B$114,BY118+BX119-CG118)))</f>
        <v>302.40000000000055</v>
      </c>
      <c r="BZ119" s="13">
        <f>BY119*VLOOKUP('Données projet'!$B$12,Paramètres!$A$1:$I$89,3,0)*VLOOKUP('Données projet'!$B$12,Paramètres!$A$1:$I$89,5,0)</f>
        <v>287.76384000000053</v>
      </c>
      <c r="CA119" s="13">
        <f t="shared" si="93"/>
        <v>68.60511063567958</v>
      </c>
      <c r="CB119" s="20">
        <f t="shared" si="64"/>
        <v>620.67592235714278</v>
      </c>
      <c r="CC119" s="57">
        <f t="shared" si="65"/>
        <v>906.0634566609923</v>
      </c>
      <c r="CD119" s="57">
        <f ca="1">AVERAGE(OFFSET($CC$3,0,0,'Données projet'!$E$12+1,1))-AVERAGE(OFFSET($H$3,0,0,'Données projet'!$E$12+1,1))</f>
        <v>498.77732039282807</v>
      </c>
      <c r="CE119" s="57">
        <f t="shared" si="94"/>
        <v>384.57317421826531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73.408586977584662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73.408586977584662</v>
      </c>
      <c r="CO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67.832963901049865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6.7941666666666691</v>
      </c>
      <c r="CT119" s="12">
        <f>IF('Données projet'!$A$140&gt;35,CT118+CS119-DB118,IF(A119&lt;'Données projet'!$A$140,$CQ$205^A119,IF(A119='Données projet'!$A$140,'Données projet'!$B$140,CT118+CS119-DB118)))</f>
        <v>292.89250000000004</v>
      </c>
      <c r="CU119" s="17">
        <f>CT119*VLOOKUP('Données projet'!$B$13,Paramètres!$A$1:$I$89,3,0)*VLOOKUP('Données projet'!$B$13,Paramètres!$A$1:$I$89,5,0)</f>
        <v>196.47228900000005</v>
      </c>
      <c r="CV119" s="13">
        <f t="shared" si="95"/>
        <v>48.968082468739418</v>
      </c>
      <c r="CW119" s="20">
        <f t="shared" si="67"/>
        <v>427.47531364138791</v>
      </c>
      <c r="CX119" s="57">
        <f t="shared" si="68"/>
        <v>712.86284794523749</v>
      </c>
      <c r="CY119" s="57">
        <f ca="1">AVERAGE(OFFSET($CX$3,0,0,'Données projet'!$E$13+1,1))-AVERAGE(OFFSET($H$3,0,0,'Données projet'!$E$13+1,1))</f>
        <v>365.99625753737246</v>
      </c>
      <c r="CZ119" s="57">
        <f t="shared" si="96"/>
        <v>242.84814712692287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30.286802717936283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30.286802717936283</v>
      </c>
      <c r="DJ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67.832963901049865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2.2737367544323206E-13</v>
      </c>
      <c r="DP119" s="17">
        <f>DO119*VLOOKUP('Données projet'!$B$14,Paramètres!$A$1:$I$89,3,0)*VLOOKUP('Données projet'!$B$14,Paramètres!$A$1:$I$89,5,0)</f>
        <v>1.4897523215040565E-13</v>
      </c>
      <c r="DQ119" s="13">
        <f t="shared" si="97"/>
        <v>2.136562777003313E-12</v>
      </c>
      <c r="DR119" s="20">
        <f t="shared" si="70"/>
        <v>3.9806453659427267E-12</v>
      </c>
      <c r="DS119" s="57">
        <f t="shared" si="71"/>
        <v>285.3875343038535</v>
      </c>
      <c r="DT119" s="57">
        <f ca="1">AVERAGE(OFFSET($DS$3,0,0,'Données projet'!$E$14+1,1))-AVERAGE(OFFSET($H$3,0,0,'Données projet'!$E$14+1,1))</f>
        <v>313.79279628660527</v>
      </c>
      <c r="DU119" s="57">
        <f t="shared" si="98"/>
        <v>317.45469955216254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55.290103783571347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55.290103783571347</v>
      </c>
      <c r="EE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67.832963901049865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-1.1368683772161603E-13</v>
      </c>
      <c r="EK119" s="17">
        <f>EJ119*VLOOKUP('Données projet'!$B$15,Paramètres!$A$1:$I$89,3,0)*VLOOKUP('Données projet'!$B$15,Paramètres!$A$1:$I$89,5,0)</f>
        <v>-9.7543306765146564E-14</v>
      </c>
      <c r="EL119" s="13" t="e">
        <f t="shared" si="99"/>
        <v>#NUM!</v>
      </c>
      <c r="EM119" s="20" t="e">
        <f t="shared" si="73"/>
        <v>#NUM!</v>
      </c>
      <c r="EN119" s="57" t="e">
        <f t="shared" si="74"/>
        <v>#NUM!</v>
      </c>
      <c r="EO119" s="57">
        <f ca="1">AVERAGE(OFFSET($EN$3,0,0,'Données projet'!$E$15+1,1))-AVERAGE(OFFSET($H$3,0,0,'Données projet'!$E$15+1,1))</f>
        <v>643.04899298561475</v>
      </c>
      <c r="EP119" s="57">
        <f t="shared" si="100"/>
        <v>474.94999304483031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204.94016255277825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204.94016255277825</v>
      </c>
      <c r="EZ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67.832963901049865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>
        <f>FE119*VLOOKUP('Données projet'!$B$16,Paramètres!$A$1:$I$89,3,0)*VLOOKUP('Données projet'!$B$16,Paramètres!$A$1:$I$89,5,0)</f>
        <v>0</v>
      </c>
      <c r="FG119" s="13" t="e">
        <f t="shared" si="101"/>
        <v>#NUM!</v>
      </c>
      <c r="FH119" s="20" t="e">
        <f t="shared" si="76"/>
        <v>#NUM!</v>
      </c>
      <c r="FI119" s="57" t="e">
        <f t="shared" si="77"/>
        <v>#NUM!</v>
      </c>
      <c r="FJ119" s="57">
        <f ca="1">AVERAGE(OFFSET($FI$3,0,0,'Données projet'!$E$16+1,1))-AVERAGE(OFFSET($H$3,0,0,'Données projet'!$E$16+1,1))</f>
        <v>375.34603719604439</v>
      </c>
      <c r="FK119" s="57">
        <f t="shared" si="102"/>
        <v>363.99476973672211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77.602561090158972</v>
      </c>
      <c r="FR119" s="21">
        <f>EXP(-LN(2)/25)*FR118+(1-EXP(-LN(2)/25))/(LN(2)/25)*Calculateur!FM119*Calculateur!FO119*VLOOKUP('Données projet'!$B$16,Paramètres!$A$1:$I$89,3,0)*0.475*44/12</f>
        <v>0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77.602561090158972</v>
      </c>
      <c r="FU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67.832963901049865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-1.1368683772161603E-13</v>
      </c>
      <c r="GA119" s="17">
        <f>FZ119*VLOOKUP('Données projet'!$B$17,Paramètres!$A$1:$I$89,3,0)*VLOOKUP('Données projet'!$B$17,Paramètres!$A$1:$I$89,5,0)</f>
        <v>-6.3550942286383367E-14</v>
      </c>
      <c r="GB119" s="13" t="e">
        <f t="shared" si="103"/>
        <v>#NUM!</v>
      </c>
      <c r="GC119" s="20" t="e">
        <f t="shared" si="79"/>
        <v>#NUM!</v>
      </c>
      <c r="GD119" s="57" t="e">
        <f t="shared" si="80"/>
        <v>#NUM!</v>
      </c>
      <c r="GE119" s="57">
        <f ca="1">AVERAGE(OFFSET($GD$3,0,0,'Données projet'!$E$17+1,1))-AVERAGE(OFFSET($H$3,0,0,'Données projet'!$E$17+1,1))</f>
        <v>414.47327143450701</v>
      </c>
      <c r="GF119" s="57">
        <f t="shared" si="104"/>
        <v>546.83385887302961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88.215411747343538</v>
      </c>
      <c r="GM119" s="21">
        <f>EXP(-LN(2)/25)*GM118+(1-EXP(-LN(2)/25))/(LN(2)/25)*Calculateur!GH119*Calculateur!GJ119*VLOOKUP('Données projet'!$B$17,Paramètres!$A$1:$I$89,3,0)*0.475*44/12</f>
        <v>11.411715569561574</v>
      </c>
      <c r="GN119" s="21">
        <f>EXP(-LN(2)/2)*GN118+(1-EXP(-LN(2)/2))/(LN(2)/2)*GH119*GK119*VLOOKUP('Données projet'!$B$17,Paramètres!$A$1:$I$89,3,0)*0.475*44/12</f>
        <v>1.9346815699444142E-8</v>
      </c>
      <c r="GO119" s="21">
        <f t="shared" si="81"/>
        <v>99.627127336251931</v>
      </c>
      <c r="GP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67.832963901049865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-2.2737367544323206E-13</v>
      </c>
      <c r="GV119" s="17">
        <f>GU119*VLOOKUP('Données projet'!$B$18,Paramètres!$A$1:$I$89,3,0)*VLOOKUP('Données projet'!$B$18,Paramètres!$A$1:$I$89,5,0)</f>
        <v>-1.2414602679200471E-13</v>
      </c>
      <c r="GW119" s="13" t="e">
        <f t="shared" si="105"/>
        <v>#NUM!</v>
      </c>
      <c r="GX119" s="20" t="e">
        <f t="shared" si="82"/>
        <v>#NUM!</v>
      </c>
      <c r="GY119" s="57" t="e">
        <f t="shared" si="83"/>
        <v>#NUM!</v>
      </c>
      <c r="GZ119" s="57">
        <f ca="1">AVERAGE(OFFSET($GY$3,0,0,'Données projet'!$E$18+1,1))-AVERAGE(OFFSET($H$3,0,0,'Données projet'!$E$18+1,1))</f>
        <v>381.00532469288714</v>
      </c>
      <c r="HA119" s="57">
        <f t="shared" si="106"/>
        <v>314.875259641757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>
        <f>EXP(-LN(2)/35)*HG118+(1-EXP(-LN(2)/35))/(LN(2)/35)*HC119*HD119*VLOOKUP('Données projet'!$B$18,Paramètres!$A$1:$I$89,3,0)*0.475*44/12</f>
        <v>148.61174632285199</v>
      </c>
      <c r="HH119" s="21">
        <f>EXP(-LN(2)/25)*HH118+(1-EXP(-LN(2)/25))/(LN(2)/25)*Calculateur!HC119*Calculateur!HE119*VLOOKUP('Données projet'!$B$18,Paramètres!$A$1:$I$89,3,0)*0.475*44/12</f>
        <v>21.172664046169427</v>
      </c>
      <c r="HI119" s="21">
        <f>EXP(-LN(2)/2)*HI118+(1-EXP(-LN(2)/2))/(LN(2)/2)*HC119*HF119*VLOOKUP('Données projet'!$B$18,Paramètres!$A$1:$I$89,3,0)*0.475*44/12</f>
        <v>9.7549970985412057E-2</v>
      </c>
      <c r="HJ119" s="22">
        <f t="shared" si="84"/>
        <v>169.88196034000683</v>
      </c>
    </row>
    <row r="120" spans="1:218" x14ac:dyDescent="0.2">
      <c r="A120" s="10">
        <f t="shared" si="85"/>
        <v>117</v>
      </c>
      <c r="B120" s="71">
        <f>'Scénario référence'!$B$16*5+'Scénario référence'!$B$17*0+'Scénario référence'!$B$18*5</f>
        <v>3.3000000000000003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12.100000000000001</v>
      </c>
      <c r="H120" s="65">
        <f t="shared" si="56"/>
        <v>208.26666666666665</v>
      </c>
      <c r="I120" s="6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67.870557132599743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3</v>
      </c>
      <c r="N120" s="13">
        <f>IF('Données projet'!$A$36&gt;35,N119+M120-V119,IF(A120&lt;'Données projet'!$A$36,$K$205^A120,IF(A120='Données projet'!$A$36,'Données projet'!$B$36,N119+M120-V119)))</f>
        <v>211.99999999999989</v>
      </c>
      <c r="O120" s="13">
        <f>N120*VLOOKUP('Données projet'!$B$9,Paramètres!$A$1:$I$89,3,0)*VLOOKUP('Données projet'!$B$9,Paramètres!$A$1:$I$89,5,0)</f>
        <v>214.9679999999999</v>
      </c>
      <c r="P120" s="13">
        <f t="shared" si="87"/>
        <v>53.019736939092994</v>
      </c>
      <c r="Q120" s="20">
        <f t="shared" si="107"/>
        <v>466.74530850225341</v>
      </c>
      <c r="R120" s="57">
        <f t="shared" si="55"/>
        <v>752.27068465511911</v>
      </c>
      <c r="S120" s="57">
        <f ca="1">AVERAGE(OFFSET($R$3,0,0,'Données projet'!$E$9+1,1))-AVERAGE(OFFSET($H$3,0,0,'Données projet'!$E$9+1,1))</f>
        <v>332.70145542047612</v>
      </c>
      <c r="T120" s="57">
        <f t="shared" si="88"/>
        <v>172.22433737900428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30.049875920005334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30.049875920005334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67.870557132599743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6.7941666666666691</v>
      </c>
      <c r="AI120" s="13">
        <f>IF('Données projet'!$A$62&gt;35,AI119+AH120-AQ119,IF(A120&lt;'Données projet'!$A$62,$AF$205^A120,IF(A120='Données projet'!$A$62,'Données projet'!$B$62,AI119+AH120-AQ119)))</f>
        <v>299.68666666666672</v>
      </c>
      <c r="AJ120" s="13">
        <f>AI120*VLOOKUP('Données projet'!$B$10,Paramètres!$A$1:$I$89,3,0)*VLOOKUP('Données projet'!$B$10,Paramètres!$A$1:$I$89,5,0)</f>
        <v>271.15649600000006</v>
      </c>
      <c r="AK120" s="13">
        <f t="shared" si="89"/>
        <v>65.094645839407946</v>
      </c>
      <c r="AL120" s="20">
        <f t="shared" si="58"/>
        <v>585.63740537030219</v>
      </c>
      <c r="AM120" s="57">
        <f t="shared" si="59"/>
        <v>871.16278152316795</v>
      </c>
      <c r="AN120" s="57">
        <f ca="1">AVERAGE(OFFSET($AM$3,0,0,'Données projet'!$E$10+1,1))-AVERAGE(OFFSET($H$3,0,0,'Données projet'!$E$10+1,1))</f>
        <v>469.4210143164521</v>
      </c>
      <c r="AO120" s="57">
        <f t="shared" si="90"/>
        <v>308.4508386530556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32.494113686910609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32.494113686910609</v>
      </c>
      <c r="AY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67.870557132599743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7" t="e">
        <f t="shared" si="62"/>
        <v>#NUM!</v>
      </c>
      <c r="BI120" s="57">
        <f ca="1">AVERAGE(OFFSET($BH$3,0,0,'Données projet'!$E$11+1,1))-AVERAGE(OFFSET($H$3,0,0,'Données projet'!$E$11+1,1))</f>
        <v>344.32981377462971</v>
      </c>
      <c r="BJ120" s="57">
        <f t="shared" si="92"/>
        <v>334.42512656625763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55.790762578497969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55.790762578497969</v>
      </c>
      <c r="BT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67.870557132599743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5.4</v>
      </c>
      <c r="BY120" s="12">
        <f>IF('Données projet'!$A$114&gt;35,BY119+BX120-CG119,IF(A120&lt;'Données projet'!$A$114,$BV$205^A120,IF(A120='Données projet'!$A$114,'Données projet'!$B$114,BY119+BX120-CG119)))</f>
        <v>307.80000000000052</v>
      </c>
      <c r="BZ120" s="13">
        <f>BY120*VLOOKUP('Données projet'!$B$12,Paramètres!$A$1:$I$89,3,0)*VLOOKUP('Données projet'!$B$12,Paramètres!$A$1:$I$89,5,0)</f>
        <v>292.90248000000054</v>
      </c>
      <c r="CA120" s="13">
        <f t="shared" si="93"/>
        <v>69.686483663301203</v>
      </c>
      <c r="CB120" s="20">
        <f t="shared" si="64"/>
        <v>631.50911171358382</v>
      </c>
      <c r="CC120" s="57">
        <f t="shared" si="65"/>
        <v>917.03448786644958</v>
      </c>
      <c r="CD120" s="57">
        <f ca="1">AVERAGE(OFFSET($CC$3,0,0,'Données projet'!$E$12+1,1))-AVERAGE(OFFSET($H$3,0,0,'Données projet'!$E$12+1,1))</f>
        <v>498.77732039282807</v>
      </c>
      <c r="CE120" s="57">
        <f t="shared" si="94"/>
        <v>384.57317421826531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71.96908936177114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71.96908936177114</v>
      </c>
      <c r="CO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67.870557132599743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6.7941666666666691</v>
      </c>
      <c r="CT120" s="12">
        <f>IF('Données projet'!$A$140&gt;35,CT119+CS120-DB119,IF(A120&lt;'Données projet'!$A$140,$CQ$205^A120,IF(A120='Données projet'!$A$140,'Données projet'!$B$140,CT119+CS120-DB119)))</f>
        <v>299.68666666666672</v>
      </c>
      <c r="CU120" s="17">
        <f>CT120*VLOOKUP('Données projet'!$B$13,Paramètres!$A$1:$I$89,3,0)*VLOOKUP('Données projet'!$B$13,Paramètres!$A$1:$I$89,5,0)</f>
        <v>201.02981600000004</v>
      </c>
      <c r="CV120" s="13">
        <f t="shared" si="95"/>
        <v>49.970422418869056</v>
      </c>
      <c r="CW120" s="20">
        <f t="shared" si="67"/>
        <v>437.15874857953031</v>
      </c>
      <c r="CX120" s="57">
        <f t="shared" si="68"/>
        <v>722.68412473239596</v>
      </c>
      <c r="CY120" s="57">
        <f ca="1">AVERAGE(OFFSET($CX$3,0,0,'Données projet'!$E$13+1,1))-AVERAGE(OFFSET($H$3,0,0,'Données projet'!$E$13+1,1))</f>
        <v>365.99625753737246</v>
      </c>
      <c r="CZ120" s="57">
        <f t="shared" si="96"/>
        <v>242.84814712692287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29.692896989763142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29.692896989763142</v>
      </c>
      <c r="DJ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67.870557132599743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2.2737367544323206E-13</v>
      </c>
      <c r="DP120" s="17">
        <f>DO120*VLOOKUP('Données projet'!$B$14,Paramètres!$A$1:$I$89,3,0)*VLOOKUP('Données projet'!$B$14,Paramètres!$A$1:$I$89,5,0)</f>
        <v>1.4897523215040565E-13</v>
      </c>
      <c r="DQ120" s="13">
        <f t="shared" si="97"/>
        <v>2.136562777003313E-12</v>
      </c>
      <c r="DR120" s="20">
        <f t="shared" si="70"/>
        <v>3.9806453659427267E-12</v>
      </c>
      <c r="DS120" s="57">
        <f t="shared" si="71"/>
        <v>285.52537615286968</v>
      </c>
      <c r="DT120" s="57">
        <f ca="1">AVERAGE(OFFSET($DS$3,0,0,'Données projet'!$E$14+1,1))-AVERAGE(OFFSET($H$3,0,0,'Données projet'!$E$14+1,1))</f>
        <v>313.79279628660527</v>
      </c>
      <c r="DU120" s="57">
        <f t="shared" si="98"/>
        <v>317.45469955216254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54.205898572008891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54.205898572008891</v>
      </c>
      <c r="EE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67.870557132599743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-1.1368683772161603E-13</v>
      </c>
      <c r="EK120" s="17">
        <f>EJ120*VLOOKUP('Données projet'!$B$15,Paramètres!$A$1:$I$89,3,0)*VLOOKUP('Données projet'!$B$15,Paramètres!$A$1:$I$89,5,0)</f>
        <v>-9.7543306765146564E-14</v>
      </c>
      <c r="EL120" s="13" t="e">
        <f t="shared" si="99"/>
        <v>#NUM!</v>
      </c>
      <c r="EM120" s="20" t="e">
        <f t="shared" si="73"/>
        <v>#NUM!</v>
      </c>
      <c r="EN120" s="57" t="e">
        <f t="shared" si="74"/>
        <v>#NUM!</v>
      </c>
      <c r="EO120" s="57">
        <f ca="1">AVERAGE(OFFSET($EN$3,0,0,'Données projet'!$E$15+1,1))-AVERAGE(OFFSET($H$3,0,0,'Données projet'!$E$15+1,1))</f>
        <v>643.04899298561475</v>
      </c>
      <c r="EP120" s="57">
        <f t="shared" si="100"/>
        <v>474.94999304483031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200.92141096627458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200.92141096627458</v>
      </c>
      <c r="EZ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67.870557132599743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>
        <f>FE120*VLOOKUP('Données projet'!$B$16,Paramètres!$A$1:$I$89,3,0)*VLOOKUP('Données projet'!$B$16,Paramètres!$A$1:$I$89,5,0)</f>
        <v>0</v>
      </c>
      <c r="FG120" s="13" t="e">
        <f t="shared" si="101"/>
        <v>#NUM!</v>
      </c>
      <c r="FH120" s="20" t="e">
        <f t="shared" si="76"/>
        <v>#NUM!</v>
      </c>
      <c r="FI120" s="57" t="e">
        <f t="shared" si="77"/>
        <v>#NUM!</v>
      </c>
      <c r="FJ120" s="57">
        <f ca="1">AVERAGE(OFFSET($FI$3,0,0,'Données projet'!$E$16+1,1))-AVERAGE(OFFSET($H$3,0,0,'Données projet'!$E$16+1,1))</f>
        <v>375.34603719604439</v>
      </c>
      <c r="FK120" s="57">
        <f t="shared" si="102"/>
        <v>363.99476973672211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76.080822200069491</v>
      </c>
      <c r="FR120" s="21">
        <f>EXP(-LN(2)/25)*FR119+(1-EXP(-LN(2)/25))/(LN(2)/25)*Calculateur!FM120*Calculateur!FO120*VLOOKUP('Données projet'!$B$16,Paramètres!$A$1:$I$89,3,0)*0.475*44/12</f>
        <v>0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76.080822200069491</v>
      </c>
      <c r="FU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67.870557132599743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-1.1368683772161603E-13</v>
      </c>
      <c r="GA120" s="17">
        <f>FZ120*VLOOKUP('Données projet'!$B$17,Paramètres!$A$1:$I$89,3,0)*VLOOKUP('Données projet'!$B$17,Paramètres!$A$1:$I$89,5,0)</f>
        <v>-6.3550942286383367E-14</v>
      </c>
      <c r="GB120" s="13" t="e">
        <f t="shared" si="103"/>
        <v>#NUM!</v>
      </c>
      <c r="GC120" s="20" t="e">
        <f t="shared" si="79"/>
        <v>#NUM!</v>
      </c>
      <c r="GD120" s="57" t="e">
        <f t="shared" si="80"/>
        <v>#NUM!</v>
      </c>
      <c r="GE120" s="57">
        <f ca="1">AVERAGE(OFFSET($GD$3,0,0,'Données projet'!$E$17+1,1))-AVERAGE(OFFSET($H$3,0,0,'Données projet'!$E$17+1,1))</f>
        <v>414.47327143450701</v>
      </c>
      <c r="GF120" s="57">
        <f t="shared" si="104"/>
        <v>546.83385887302961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86.485561329066385</v>
      </c>
      <c r="GM120" s="21">
        <f>EXP(-LN(2)/25)*GM119+(1-EXP(-LN(2)/25))/(LN(2)/25)*Calculateur!GH120*Calculateur!GJ120*VLOOKUP('Données projet'!$B$17,Paramètres!$A$1:$I$89,3,0)*0.475*44/12</f>
        <v>11.099661607195873</v>
      </c>
      <c r="GN120" s="21">
        <f>EXP(-LN(2)/2)*GN119+(1-EXP(-LN(2)/2))/(LN(2)/2)*GH120*GK120*VLOOKUP('Données projet'!$B$17,Paramètres!$A$1:$I$89,3,0)*0.475*44/12</f>
        <v>1.3680264575443311E-8</v>
      </c>
      <c r="GO120" s="21">
        <f t="shared" si="81"/>
        <v>97.585222949942519</v>
      </c>
      <c r="GP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67.870557132599743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-2.2737367544323206E-13</v>
      </c>
      <c r="GV120" s="17">
        <f>GU120*VLOOKUP('Données projet'!$B$18,Paramètres!$A$1:$I$89,3,0)*VLOOKUP('Données projet'!$B$18,Paramètres!$A$1:$I$89,5,0)</f>
        <v>-1.2414602679200471E-13</v>
      </c>
      <c r="GW120" s="13" t="e">
        <f t="shared" si="105"/>
        <v>#NUM!</v>
      </c>
      <c r="GX120" s="20" t="e">
        <f t="shared" si="82"/>
        <v>#NUM!</v>
      </c>
      <c r="GY120" s="57" t="e">
        <f t="shared" si="83"/>
        <v>#NUM!</v>
      </c>
      <c r="GZ120" s="57">
        <f ca="1">AVERAGE(OFFSET($GY$3,0,0,'Données projet'!$E$18+1,1))-AVERAGE(OFFSET($H$3,0,0,'Données projet'!$E$18+1,1))</f>
        <v>381.00532469288714</v>
      </c>
      <c r="HA120" s="57">
        <f t="shared" si="106"/>
        <v>314.875259641757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>
        <f>EXP(-LN(2)/35)*HG119+(1-EXP(-LN(2)/35))/(LN(2)/35)*HC120*HD120*VLOOKUP('Données projet'!$B$18,Paramètres!$A$1:$I$89,3,0)*0.475*44/12</f>
        <v>145.69756062167573</v>
      </c>
      <c r="HH120" s="21">
        <f>EXP(-LN(2)/25)*HH119+(1-EXP(-LN(2)/25))/(LN(2)/25)*Calculateur!HC120*Calculateur!HE120*VLOOKUP('Données projet'!$B$18,Paramètres!$A$1:$I$89,3,0)*0.475*44/12</f>
        <v>20.593696434404912</v>
      </c>
      <c r="HI120" s="21">
        <f>EXP(-LN(2)/2)*HI119+(1-EXP(-LN(2)/2))/(LN(2)/2)*HC120*HF120*VLOOKUP('Données projet'!$B$18,Paramètres!$A$1:$I$89,3,0)*0.475*44/12</f>
        <v>6.8978245988335823E-2</v>
      </c>
      <c r="HJ120" s="22">
        <f t="shared" si="84"/>
        <v>166.36023530206899</v>
      </c>
    </row>
    <row r="121" spans="1:218" x14ac:dyDescent="0.2">
      <c r="A121" s="10">
        <f t="shared" si="85"/>
        <v>118</v>
      </c>
      <c r="B121" s="71">
        <f>'Scénario référence'!$B$16*5+'Scénario référence'!$B$17*0+'Scénario référence'!$B$18*5</f>
        <v>3.3000000000000003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12.100000000000001</v>
      </c>
      <c r="H121" s="65">
        <f t="shared" si="56"/>
        <v>208.26666666666665</v>
      </c>
      <c r="I121" s="6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67.907498205628087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3</v>
      </c>
      <c r="N121" s="13">
        <f>IF('Données projet'!$A$36&gt;35,N120+M121-V120,IF(A121&lt;'Données projet'!$A$36,$K$205^A121,IF(A121='Données projet'!$A$36,'Données projet'!$B$36,N120+M121-V120)))</f>
        <v>214.99999999999989</v>
      </c>
      <c r="O121" s="13">
        <f>N121*VLOOKUP('Données projet'!$B$9,Paramètres!$A$1:$I$89,3,0)*VLOOKUP('Données projet'!$B$9,Paramètres!$A$1:$I$89,5,0)</f>
        <v>218.00999999999991</v>
      </c>
      <c r="P121" s="13">
        <f t="shared" si="87"/>
        <v>53.682140586224357</v>
      </c>
      <c r="Q121" s="20">
        <f t="shared" si="107"/>
        <v>473.19714485434059</v>
      </c>
      <c r="R121" s="57">
        <f t="shared" si="55"/>
        <v>758.85797160831021</v>
      </c>
      <c r="S121" s="57">
        <f ca="1">AVERAGE(OFFSET($R$3,0,0,'Données projet'!$E$9+1,1))-AVERAGE(OFFSET($H$3,0,0,'Données projet'!$E$9+1,1))</f>
        <v>332.70145542047612</v>
      </c>
      <c r="T121" s="57">
        <f t="shared" si="88"/>
        <v>172.22433737900428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29.460616181828541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29.460616181828541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67.907498205628087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6.7941666666666691</v>
      </c>
      <c r="AI121" s="13">
        <f>IF('Données projet'!$A$62&gt;35,AI120+AH121-AQ120,IF(A121&lt;'Données projet'!$A$62,$AF$205^A121,IF(A121='Données projet'!$A$62,'Données projet'!$B$62,AI120+AH121-AQ120)))</f>
        <v>306.48083333333341</v>
      </c>
      <c r="AJ121" s="13">
        <f>AI121*VLOOKUP('Données projet'!$B$10,Paramètres!$A$1:$I$89,3,0)*VLOOKUP('Données projet'!$B$10,Paramètres!$A$1:$I$89,5,0)</f>
        <v>277.30385800000005</v>
      </c>
      <c r="AK121" s="13">
        <f t="shared" si="89"/>
        <v>66.396916114107512</v>
      </c>
      <c r="AL121" s="20">
        <f t="shared" si="58"/>
        <v>598.61218158207066</v>
      </c>
      <c r="AM121" s="57">
        <f t="shared" si="59"/>
        <v>884.27300833604022</v>
      </c>
      <c r="AN121" s="57">
        <f ca="1">AVERAGE(OFFSET($AM$3,0,0,'Données projet'!$E$10+1,1))-AVERAGE(OFFSET($H$3,0,0,'Données projet'!$E$10+1,1))</f>
        <v>469.4210143164521</v>
      </c>
      <c r="AO121" s="57">
        <f t="shared" si="90"/>
        <v>308.4508386530556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31.856923936962634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31.856923936962634</v>
      </c>
      <c r="AY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67.907498205628087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7" t="e">
        <f t="shared" si="62"/>
        <v>#NUM!</v>
      </c>
      <c r="BI121" s="57">
        <f ca="1">AVERAGE(OFFSET($BH$3,0,0,'Données projet'!$E$11+1,1))-AVERAGE(OFFSET($H$3,0,0,'Données projet'!$E$11+1,1))</f>
        <v>344.32981377462971</v>
      </c>
      <c r="BJ121" s="57">
        <f t="shared" si="92"/>
        <v>334.42512656625763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54.696739753338711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54.696739753338711</v>
      </c>
      <c r="BT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67.907498205628087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5.4</v>
      </c>
      <c r="BY121" s="12">
        <f>IF('Données projet'!$A$114&gt;35,BY120+BX121-CG120,IF(A121&lt;'Données projet'!$A$114,$BV$205^A121,IF(A121='Données projet'!$A$114,'Données projet'!$B$114,BY120+BX121-CG120)))</f>
        <v>313.2000000000005</v>
      </c>
      <c r="BZ121" s="13">
        <f>BY121*VLOOKUP('Données projet'!$B$12,Paramètres!$A$1:$I$89,3,0)*VLOOKUP('Données projet'!$B$12,Paramètres!$A$1:$I$89,5,0)</f>
        <v>298.04112000000049</v>
      </c>
      <c r="CA121" s="13">
        <f t="shared" si="93"/>
        <v>70.765650546961581</v>
      </c>
      <c r="CB121" s="20">
        <f t="shared" si="64"/>
        <v>642.33845870262564</v>
      </c>
      <c r="CC121" s="57">
        <f t="shared" si="65"/>
        <v>927.99928545659532</v>
      </c>
      <c r="CD121" s="57">
        <f ca="1">AVERAGE(OFFSET($CC$3,0,0,'Données projet'!$E$12+1,1))-AVERAGE(OFFSET($H$3,0,0,'Données projet'!$E$12+1,1))</f>
        <v>498.77732039282807</v>
      </c>
      <c r="CE121" s="57">
        <f t="shared" si="94"/>
        <v>384.57317421826531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70.557819416196864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70.557819416196864</v>
      </c>
      <c r="CO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67.907498205628087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6.7941666666666691</v>
      </c>
      <c r="CT121" s="12">
        <f>IF('Données projet'!$A$140&gt;35,CT120+CS121-DB120,IF(A121&lt;'Données projet'!$A$140,$CQ$205^A121,IF(A121='Données projet'!$A$140,'Données projet'!$B$140,CT120+CS121-DB120)))</f>
        <v>306.48083333333341</v>
      </c>
      <c r="CU121" s="17">
        <f>CT121*VLOOKUP('Données projet'!$B$13,Paramètres!$A$1:$I$89,3,0)*VLOOKUP('Données projet'!$B$13,Paramètres!$A$1:$I$89,5,0)</f>
        <v>205.58734300000003</v>
      </c>
      <c r="CV121" s="13">
        <f t="shared" si="95"/>
        <v>50.970120549047344</v>
      </c>
      <c r="CW121" s="20">
        <f t="shared" si="67"/>
        <v>446.83758234792418</v>
      </c>
      <c r="CX121" s="57">
        <f t="shared" si="68"/>
        <v>732.4984091018938</v>
      </c>
      <c r="CY121" s="57">
        <f ca="1">AVERAGE(OFFSET($CX$3,0,0,'Données projet'!$E$13+1,1))-AVERAGE(OFFSET($H$3,0,0,'Données projet'!$E$13+1,1))</f>
        <v>365.99625753737246</v>
      </c>
      <c r="CZ121" s="57">
        <f t="shared" si="96"/>
        <v>242.84814712692287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29.11063739067275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29.11063739067275</v>
      </c>
      <c r="DJ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67.907498205628087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2.2737367544323206E-13</v>
      </c>
      <c r="DP121" s="17">
        <f>DO121*VLOOKUP('Données projet'!$B$14,Paramètres!$A$1:$I$89,3,0)*VLOOKUP('Données projet'!$B$14,Paramètres!$A$1:$I$89,5,0)</f>
        <v>1.4897523215040565E-13</v>
      </c>
      <c r="DQ121" s="13">
        <f t="shared" si="97"/>
        <v>2.136562777003313E-12</v>
      </c>
      <c r="DR121" s="20">
        <f t="shared" si="70"/>
        <v>3.9806453659427267E-12</v>
      </c>
      <c r="DS121" s="57">
        <f t="shared" si="71"/>
        <v>285.66082675397359</v>
      </c>
      <c r="DT121" s="57">
        <f ca="1">AVERAGE(OFFSET($DS$3,0,0,'Données projet'!$E$14+1,1))-AVERAGE(OFFSET($H$3,0,0,'Données projet'!$E$14+1,1))</f>
        <v>313.79279628660527</v>
      </c>
      <c r="DU121" s="57">
        <f t="shared" si="98"/>
        <v>317.45469955216254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53.142953963345292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53.142953963345292</v>
      </c>
      <c r="EE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67.907498205628087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-1.1368683772161603E-13</v>
      </c>
      <c r="EK121" s="17">
        <f>EJ121*VLOOKUP('Données projet'!$B$15,Paramètres!$A$1:$I$89,3,0)*VLOOKUP('Données projet'!$B$15,Paramètres!$A$1:$I$89,5,0)</f>
        <v>-9.7543306765146564E-14</v>
      </c>
      <c r="EL121" s="13" t="e">
        <f t="shared" si="99"/>
        <v>#NUM!</v>
      </c>
      <c r="EM121" s="20" t="e">
        <f t="shared" si="73"/>
        <v>#NUM!</v>
      </c>
      <c r="EN121" s="57" t="e">
        <f t="shared" si="74"/>
        <v>#NUM!</v>
      </c>
      <c r="EO121" s="57">
        <f ca="1">AVERAGE(OFFSET($EN$3,0,0,'Données projet'!$E$15+1,1))-AVERAGE(OFFSET($H$3,0,0,'Données projet'!$E$15+1,1))</f>
        <v>643.04899298561475</v>
      </c>
      <c r="EP121" s="57">
        <f t="shared" si="100"/>
        <v>474.94999304483031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196.98146464718582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196.98146464718582</v>
      </c>
      <c r="EZ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67.907498205628087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>
        <f>FE121*VLOOKUP('Données projet'!$B$16,Paramètres!$A$1:$I$89,3,0)*VLOOKUP('Données projet'!$B$16,Paramètres!$A$1:$I$89,5,0)</f>
        <v>0</v>
      </c>
      <c r="FG121" s="13" t="e">
        <f t="shared" si="101"/>
        <v>#NUM!</v>
      </c>
      <c r="FH121" s="20" t="e">
        <f t="shared" si="76"/>
        <v>#NUM!</v>
      </c>
      <c r="FI121" s="57" t="e">
        <f t="shared" si="77"/>
        <v>#NUM!</v>
      </c>
      <c r="FJ121" s="57">
        <f ca="1">AVERAGE(OFFSET($FI$3,0,0,'Données projet'!$E$16+1,1))-AVERAGE(OFFSET($H$3,0,0,'Données projet'!$E$16+1,1))</f>
        <v>375.34603719604439</v>
      </c>
      <c r="FK121" s="57">
        <f t="shared" si="102"/>
        <v>363.99476973672211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74.588923681445578</v>
      </c>
      <c r="FR121" s="21">
        <f>EXP(-LN(2)/25)*FR120+(1-EXP(-LN(2)/25))/(LN(2)/25)*Calculateur!FM121*Calculateur!FO121*VLOOKUP('Données projet'!$B$16,Paramètres!$A$1:$I$89,3,0)*0.475*44/12</f>
        <v>0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74.588923681445578</v>
      </c>
      <c r="FU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67.907498205628087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-1.1368683772161603E-13</v>
      </c>
      <c r="GA121" s="17">
        <f>FZ121*VLOOKUP('Données projet'!$B$17,Paramètres!$A$1:$I$89,3,0)*VLOOKUP('Données projet'!$B$17,Paramètres!$A$1:$I$89,5,0)</f>
        <v>-6.3550942286383367E-14</v>
      </c>
      <c r="GB121" s="13" t="e">
        <f t="shared" si="103"/>
        <v>#NUM!</v>
      </c>
      <c r="GC121" s="20" t="e">
        <f t="shared" si="79"/>
        <v>#NUM!</v>
      </c>
      <c r="GD121" s="57" t="e">
        <f t="shared" si="80"/>
        <v>#NUM!</v>
      </c>
      <c r="GE121" s="57">
        <f ca="1">AVERAGE(OFFSET($GD$3,0,0,'Données projet'!$E$17+1,1))-AVERAGE(OFFSET($H$3,0,0,'Données projet'!$E$17+1,1))</f>
        <v>414.47327143450701</v>
      </c>
      <c r="GF121" s="57">
        <f t="shared" si="104"/>
        <v>546.83385887302961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84.789632222387084</v>
      </c>
      <c r="GM121" s="21">
        <f>EXP(-LN(2)/25)*GM120+(1-EXP(-LN(2)/25))/(LN(2)/25)*Calculateur!GH121*Calculateur!GJ121*VLOOKUP('Données projet'!$B$17,Paramètres!$A$1:$I$89,3,0)*0.475*44/12</f>
        <v>10.796140776841266</v>
      </c>
      <c r="GN121" s="21">
        <f>EXP(-LN(2)/2)*GN120+(1-EXP(-LN(2)/2))/(LN(2)/2)*GH121*GK121*VLOOKUP('Données projet'!$B$17,Paramètres!$A$1:$I$89,3,0)*0.475*44/12</f>
        <v>9.6734078497220708E-9</v>
      </c>
      <c r="GO121" s="21">
        <f t="shared" si="81"/>
        <v>95.585773008901768</v>
      </c>
      <c r="GP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67.907498205628087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-2.2737367544323206E-13</v>
      </c>
      <c r="GV121" s="17">
        <f>GU121*VLOOKUP('Données projet'!$B$18,Paramètres!$A$1:$I$89,3,0)*VLOOKUP('Données projet'!$B$18,Paramètres!$A$1:$I$89,5,0)</f>
        <v>-1.2414602679200471E-13</v>
      </c>
      <c r="GW121" s="13" t="e">
        <f t="shared" si="105"/>
        <v>#NUM!</v>
      </c>
      <c r="GX121" s="20" t="e">
        <f t="shared" si="82"/>
        <v>#NUM!</v>
      </c>
      <c r="GY121" s="57" t="e">
        <f t="shared" si="83"/>
        <v>#NUM!</v>
      </c>
      <c r="GZ121" s="57">
        <f ca="1">AVERAGE(OFFSET($GY$3,0,0,'Données projet'!$E$18+1,1))-AVERAGE(OFFSET($H$3,0,0,'Données projet'!$E$18+1,1))</f>
        <v>381.00532469288714</v>
      </c>
      <c r="HA121" s="57">
        <f t="shared" si="106"/>
        <v>314.875259641757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>
        <f>EXP(-LN(2)/35)*HG120+(1-EXP(-LN(2)/35))/(LN(2)/35)*HC121*HD121*VLOOKUP('Données projet'!$B$18,Paramètres!$A$1:$I$89,3,0)*0.475*44/12</f>
        <v>142.84052032462179</v>
      </c>
      <c r="HH121" s="21">
        <f>EXP(-LN(2)/25)*HH120+(1-EXP(-LN(2)/25))/(LN(2)/25)*Calculateur!HC121*Calculateur!HE121*VLOOKUP('Données projet'!$B$18,Paramètres!$A$1:$I$89,3,0)*0.475*44/12</f>
        <v>20.030560722430682</v>
      </c>
      <c r="HI121" s="21">
        <f>EXP(-LN(2)/2)*HI120+(1-EXP(-LN(2)/2))/(LN(2)/2)*HC121*HF121*VLOOKUP('Données projet'!$B$18,Paramètres!$A$1:$I$89,3,0)*0.475*44/12</f>
        <v>4.8774985492706029E-2</v>
      </c>
      <c r="HJ121" s="22">
        <f t="shared" si="84"/>
        <v>162.9198560325452</v>
      </c>
    </row>
    <row r="122" spans="1:218" x14ac:dyDescent="0.2">
      <c r="A122" s="10">
        <f t="shared" si="85"/>
        <v>119</v>
      </c>
      <c r="B122" s="71">
        <f>'Scénario référence'!$B$16*5+'Scénario référence'!$B$17*0+'Scénario référence'!$B$18*5</f>
        <v>3.3000000000000003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12.100000000000001</v>
      </c>
      <c r="H122" s="65">
        <f t="shared" si="56"/>
        <v>208.26666666666665</v>
      </c>
      <c r="I122" s="6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67.943798433627251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3</v>
      </c>
      <c r="N122" s="13">
        <f>IF('Données projet'!$A$36&gt;35,N121+M122-V121,IF(A122&lt;'Données projet'!$A$36,$K$205^A122,IF(A122='Données projet'!$A$36,'Données projet'!$B$36,N121+M122-V121)))</f>
        <v>217.99999999999989</v>
      </c>
      <c r="O122" s="13">
        <f>N122*VLOOKUP('Données projet'!$B$9,Paramètres!$A$1:$I$89,3,0)*VLOOKUP('Données projet'!$B$9,Paramètres!$A$1:$I$89,5,0)</f>
        <v>221.05199999999991</v>
      </c>
      <c r="P122" s="13">
        <f t="shared" si="87"/>
        <v>54.343469202939204</v>
      </c>
      <c r="Q122" s="20">
        <f t="shared" si="107"/>
        <v>479.64710886178568</v>
      </c>
      <c r="R122" s="57">
        <f t="shared" si="55"/>
        <v>765.44103645175232</v>
      </c>
      <c r="S122" s="57">
        <f ca="1">AVERAGE(OFFSET($R$3,0,0,'Données projet'!$E$9+1,1))-AVERAGE(OFFSET($H$3,0,0,'Données projet'!$E$9+1,1))</f>
        <v>332.70145542047612</v>
      </c>
      <c r="T122" s="57">
        <f t="shared" si="88"/>
        <v>172.22433737900428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28.882911467704442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28.882911467704442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67.943798433627251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6.7941666666666691</v>
      </c>
      <c r="AI122" s="13">
        <f>IF('Données projet'!$A$62&gt;35,AI121+AH122-AQ121,IF(A122&lt;'Données projet'!$A$62,$AF$205^A122,IF(A122='Données projet'!$A$62,'Données projet'!$B$62,AI121+AH122-AQ121)))</f>
        <v>313.27500000000009</v>
      </c>
      <c r="AJ122" s="13">
        <f>AI122*VLOOKUP('Données projet'!$B$10,Paramètres!$A$1:$I$89,3,0)*VLOOKUP('Données projet'!$B$10,Paramètres!$A$1:$I$89,5,0)</f>
        <v>283.45122000000003</v>
      </c>
      <c r="AK122" s="13">
        <f t="shared" si="89"/>
        <v>67.695830060941546</v>
      </c>
      <c r="AL122" s="20">
        <f t="shared" si="58"/>
        <v>611.58111218947329</v>
      </c>
      <c r="AM122" s="57">
        <f t="shared" si="59"/>
        <v>897.37503977943993</v>
      </c>
      <c r="AN122" s="57">
        <f ca="1">AVERAGE(OFFSET($AM$3,0,0,'Données projet'!$E$10+1,1))-AVERAGE(OFFSET($H$3,0,0,'Données projet'!$E$10+1,1))</f>
        <v>469.4210143164521</v>
      </c>
      <c r="AO122" s="57">
        <f t="shared" si="90"/>
        <v>308.4508386530556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31.232229089363766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31.232229089363766</v>
      </c>
      <c r="AY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67.943798433627251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7" t="e">
        <f t="shared" si="62"/>
        <v>#NUM!</v>
      </c>
      <c r="BI122" s="57">
        <f ca="1">AVERAGE(OFFSET($BH$3,0,0,'Données projet'!$E$11+1,1))-AVERAGE(OFFSET($H$3,0,0,'Données projet'!$E$11+1,1))</f>
        <v>344.32981377462971</v>
      </c>
      <c r="BJ122" s="57">
        <f t="shared" si="92"/>
        <v>334.42512656625763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53.624170048492793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53.624170048492793</v>
      </c>
      <c r="BT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67.943798433627251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5.4</v>
      </c>
      <c r="BY122" s="12">
        <f>IF('Données projet'!$A$114&gt;35,BY121+BX122-CG121,IF(A122&lt;'Données projet'!$A$114,$BV$205^A122,IF(A122='Données projet'!$A$114,'Données projet'!$B$114,BY121+BX122-CG121)))</f>
        <v>318.60000000000048</v>
      </c>
      <c r="BZ122" s="13">
        <f>BY122*VLOOKUP('Données projet'!$B$12,Paramètres!$A$1:$I$89,3,0)*VLOOKUP('Données projet'!$B$12,Paramètres!$A$1:$I$89,5,0)</f>
        <v>303.17976000000044</v>
      </c>
      <c r="CA122" s="13">
        <f t="shared" si="93"/>
        <v>71.842653712782763</v>
      </c>
      <c r="CB122" s="20">
        <f t="shared" si="64"/>
        <v>653.16403721643064</v>
      </c>
      <c r="CC122" s="57">
        <f t="shared" si="65"/>
        <v>938.95796480639729</v>
      </c>
      <c r="CD122" s="57">
        <f ca="1">AVERAGE(OFFSET($CC$3,0,0,'Données projet'!$E$12+1,1))-AVERAGE(OFFSET($H$3,0,0,'Données projet'!$E$12+1,1))</f>
        <v>498.77732039282807</v>
      </c>
      <c r="CE122" s="57">
        <f t="shared" si="94"/>
        <v>384.57317421826531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69.174223613465628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69.174223613465628</v>
      </c>
      <c r="CO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67.943798433627251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6.7941666666666691</v>
      </c>
      <c r="CT122" s="12">
        <f>IF('Données projet'!$A$140&gt;35,CT121+CS122-DB121,IF(A122&lt;'Données projet'!$A$140,$CQ$205^A122,IF(A122='Données projet'!$A$140,'Données projet'!$B$140,CT121+CS122-DB121)))</f>
        <v>313.27500000000009</v>
      </c>
      <c r="CU122" s="17">
        <f>CT122*VLOOKUP('Données projet'!$B$13,Paramètres!$A$1:$I$89,3,0)*VLOOKUP('Données projet'!$B$13,Paramètres!$A$1:$I$89,5,0)</f>
        <v>210.14487000000008</v>
      </c>
      <c r="CV122" s="13">
        <f t="shared" si="95"/>
        <v>51.967242167454941</v>
      </c>
      <c r="CW122" s="20">
        <f t="shared" si="67"/>
        <v>456.51192869165084</v>
      </c>
      <c r="CX122" s="57">
        <f t="shared" si="68"/>
        <v>742.30585628161748</v>
      </c>
      <c r="CY122" s="57">
        <f ca="1">AVERAGE(OFFSET($CX$3,0,0,'Données projet'!$E$13+1,1))-AVERAGE(OFFSET($H$3,0,0,'Données projet'!$E$13+1,1))</f>
        <v>365.99625753737246</v>
      </c>
      <c r="CZ122" s="57">
        <f t="shared" si="96"/>
        <v>242.84814712692287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28.539795547177231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28.539795547177231</v>
      </c>
      <c r="DJ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67.943798433627251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2.2737367544323206E-13</v>
      </c>
      <c r="DP122" s="17">
        <f>DO122*VLOOKUP('Données projet'!$B$14,Paramètres!$A$1:$I$89,3,0)*VLOOKUP('Données projet'!$B$14,Paramètres!$A$1:$I$89,5,0)</f>
        <v>1.4897523215040565E-13</v>
      </c>
      <c r="DQ122" s="13">
        <f t="shared" si="97"/>
        <v>2.136562777003313E-12</v>
      </c>
      <c r="DR122" s="20">
        <f t="shared" si="70"/>
        <v>3.9806453659427267E-12</v>
      </c>
      <c r="DS122" s="57">
        <f t="shared" si="71"/>
        <v>285.79392758997056</v>
      </c>
      <c r="DT122" s="57">
        <f ca="1">AVERAGE(OFFSET($DS$3,0,0,'Données projet'!$E$14+1,1))-AVERAGE(OFFSET($H$3,0,0,'Données projet'!$E$14+1,1))</f>
        <v>313.79279628660527</v>
      </c>
      <c r="DU122" s="57">
        <f t="shared" si="98"/>
        <v>317.45469955216254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52.100853050125394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52.100853050125394</v>
      </c>
      <c r="EE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67.943798433627251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-1.1368683772161603E-13</v>
      </c>
      <c r="EK122" s="17">
        <f>EJ122*VLOOKUP('Données projet'!$B$15,Paramètres!$A$1:$I$89,3,0)*VLOOKUP('Données projet'!$B$15,Paramètres!$A$1:$I$89,5,0)</f>
        <v>-9.7543306765146564E-14</v>
      </c>
      <c r="EL122" s="13" t="e">
        <f t="shared" si="99"/>
        <v>#NUM!</v>
      </c>
      <c r="EM122" s="20" t="e">
        <f t="shared" si="73"/>
        <v>#NUM!</v>
      </c>
      <c r="EN122" s="57" t="e">
        <f t="shared" si="74"/>
        <v>#NUM!</v>
      </c>
      <c r="EO122" s="57">
        <f ca="1">AVERAGE(OFFSET($EN$3,0,0,'Données projet'!$E$15+1,1))-AVERAGE(OFFSET($H$3,0,0,'Données projet'!$E$15+1,1))</f>
        <v>643.04899298561475</v>
      </c>
      <c r="EP122" s="57">
        <f t="shared" si="100"/>
        <v>474.94999304483031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193.11877827228443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193.11877827228443</v>
      </c>
      <c r="EZ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67.943798433627251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>
        <f>FE122*VLOOKUP('Données projet'!$B$16,Paramètres!$A$1:$I$89,3,0)*VLOOKUP('Données projet'!$B$16,Paramètres!$A$1:$I$89,5,0)</f>
        <v>0</v>
      </c>
      <c r="FG122" s="13" t="e">
        <f t="shared" si="101"/>
        <v>#NUM!</v>
      </c>
      <c r="FH122" s="20" t="e">
        <f t="shared" si="76"/>
        <v>#NUM!</v>
      </c>
      <c r="FI122" s="57" t="e">
        <f t="shared" si="77"/>
        <v>#NUM!</v>
      </c>
      <c r="FJ122" s="57">
        <f ca="1">AVERAGE(OFFSET($FI$3,0,0,'Données projet'!$E$16+1,1))-AVERAGE(OFFSET($H$3,0,0,'Données projet'!$E$16+1,1))</f>
        <v>375.34603719604439</v>
      </c>
      <c r="FK122" s="57">
        <f t="shared" si="102"/>
        <v>363.99476973672211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73.126280382803643</v>
      </c>
      <c r="FR122" s="21">
        <f>EXP(-LN(2)/25)*FR121+(1-EXP(-LN(2)/25))/(LN(2)/25)*Calculateur!FM122*Calculateur!FO122*VLOOKUP('Données projet'!$B$16,Paramètres!$A$1:$I$89,3,0)*0.475*44/12</f>
        <v>0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73.126280382803643</v>
      </c>
      <c r="FU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67.943798433627251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-1.1368683772161603E-13</v>
      </c>
      <c r="GA122" s="17">
        <f>FZ122*VLOOKUP('Données projet'!$B$17,Paramètres!$A$1:$I$89,3,0)*VLOOKUP('Données projet'!$B$17,Paramètres!$A$1:$I$89,5,0)</f>
        <v>-6.3550942286383367E-14</v>
      </c>
      <c r="GB122" s="13" t="e">
        <f t="shared" si="103"/>
        <v>#NUM!</v>
      </c>
      <c r="GC122" s="20" t="e">
        <f t="shared" si="79"/>
        <v>#NUM!</v>
      </c>
      <c r="GD122" s="57" t="e">
        <f t="shared" si="80"/>
        <v>#NUM!</v>
      </c>
      <c r="GE122" s="57">
        <f ca="1">AVERAGE(OFFSET($GD$3,0,0,'Données projet'!$E$17+1,1))-AVERAGE(OFFSET($H$3,0,0,'Données projet'!$E$17+1,1))</f>
        <v>414.47327143450701</v>
      </c>
      <c r="GF122" s="57">
        <f t="shared" si="104"/>
        <v>546.83385887302961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83.126959251075135</v>
      </c>
      <c r="GM122" s="21">
        <f>EXP(-LN(2)/25)*GM121+(1-EXP(-LN(2)/25))/(LN(2)/25)*Calculateur!GH122*Calculateur!GJ122*VLOOKUP('Données projet'!$B$17,Paramètres!$A$1:$I$89,3,0)*0.475*44/12</f>
        <v>10.500919739554174</v>
      </c>
      <c r="GN122" s="21">
        <f>EXP(-LN(2)/2)*GN121+(1-EXP(-LN(2)/2))/(LN(2)/2)*GH122*GK122*VLOOKUP('Données projet'!$B$17,Paramètres!$A$1:$I$89,3,0)*0.475*44/12</f>
        <v>6.8401322877216556E-9</v>
      </c>
      <c r="GO122" s="21">
        <f t="shared" si="81"/>
        <v>93.627878997469452</v>
      </c>
      <c r="GP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67.943798433627251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-2.2737367544323206E-13</v>
      </c>
      <c r="GV122" s="17">
        <f>GU122*VLOOKUP('Données projet'!$B$18,Paramètres!$A$1:$I$89,3,0)*VLOOKUP('Données projet'!$B$18,Paramètres!$A$1:$I$89,5,0)</f>
        <v>-1.2414602679200471E-13</v>
      </c>
      <c r="GW122" s="13" t="e">
        <f t="shared" si="105"/>
        <v>#NUM!</v>
      </c>
      <c r="GX122" s="20" t="e">
        <f t="shared" si="82"/>
        <v>#NUM!</v>
      </c>
      <c r="GY122" s="57" t="e">
        <f t="shared" si="83"/>
        <v>#NUM!</v>
      </c>
      <c r="GZ122" s="57">
        <f ca="1">AVERAGE(OFFSET($GY$3,0,0,'Données projet'!$E$18+1,1))-AVERAGE(OFFSET($H$3,0,0,'Données projet'!$E$18+1,1))</f>
        <v>381.00532469288714</v>
      </c>
      <c r="HA122" s="57">
        <f t="shared" si="106"/>
        <v>314.875259641757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>
        <f>EXP(-LN(2)/35)*HG121+(1-EXP(-LN(2)/35))/(LN(2)/35)*HC122*HD122*VLOOKUP('Données projet'!$B$18,Paramètres!$A$1:$I$89,3,0)*0.475*44/12</f>
        <v>140.03950484517057</v>
      </c>
      <c r="HH122" s="21">
        <f>EXP(-LN(2)/25)*HH121+(1-EXP(-LN(2)/25))/(LN(2)/25)*Calculateur!HC122*Calculateur!HE122*VLOOKUP('Données projet'!$B$18,Paramètres!$A$1:$I$89,3,0)*0.475*44/12</f>
        <v>19.482823986114408</v>
      </c>
      <c r="HI122" s="21">
        <f>EXP(-LN(2)/2)*HI121+(1-EXP(-LN(2)/2))/(LN(2)/2)*HC122*HF122*VLOOKUP('Données projet'!$B$18,Paramètres!$A$1:$I$89,3,0)*0.475*44/12</f>
        <v>3.4489122994167912E-2</v>
      </c>
      <c r="HJ122" s="22">
        <f t="shared" si="84"/>
        <v>159.55681795427913</v>
      </c>
    </row>
    <row r="123" spans="1:218" x14ac:dyDescent="0.2">
      <c r="A123" s="10">
        <f t="shared" si="85"/>
        <v>120</v>
      </c>
      <c r="B123" s="71">
        <f>'Scénario référence'!$B$16*5+'Scénario référence'!$B$17*0+'Scénario référence'!$B$18*5</f>
        <v>3.3000000000000003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12.100000000000001</v>
      </c>
      <c r="H123" s="65">
        <f t="shared" si="56"/>
        <v>208.26666666666665</v>
      </c>
      <c r="I123" s="6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67.9794689338258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221</v>
      </c>
      <c r="L123" s="12">
        <f>VLOOKUP(A123,'Données projet'!$A$35:$I$55,9,0)</f>
        <v>3</v>
      </c>
      <c r="M123" s="12">
        <f t="array" ref="M123">INDEX(L:L,MIN(IF(ISNUMBER(L123:L319),ROW(L123:L319),"")))</f>
        <v>3</v>
      </c>
      <c r="N123" s="13">
        <f>IF('Données projet'!$A$36&gt;35,N122+M123-V122,IF(A123&lt;'Données projet'!$A$36,$K$205^A123,IF(A123='Données projet'!$A$36,'Données projet'!$B$36,N122+M123-V122)))</f>
        <v>220.99999999999989</v>
      </c>
      <c r="O123" s="13">
        <f>N123*VLOOKUP('Données projet'!$B$9,Paramètres!$A$1:$I$89,3,0)*VLOOKUP('Données projet'!$B$9,Paramètres!$A$1:$I$89,5,0)</f>
        <v>224.09399999999988</v>
      </c>
      <c r="P123" s="13">
        <f t="shared" si="87"/>
        <v>55.003739293082667</v>
      </c>
      <c r="Q123" s="20">
        <f t="shared" si="107"/>
        <v>486.09522926878549</v>
      </c>
      <c r="R123" s="57">
        <f t="shared" si="55"/>
        <v>772.01994869281339</v>
      </c>
      <c r="S123" s="57">
        <f ca="1">AVERAGE(OFFSET($R$3,0,0,'Données projet'!$E$9+1,1))-AVERAGE(OFFSET($H$3,0,0,'Données projet'!$E$9+1,1))</f>
        <v>332.70145542047612</v>
      </c>
      <c r="T123" s="57">
        <f t="shared" si="88"/>
        <v>172.22433737900428</v>
      </c>
      <c r="U123" s="15">
        <f>IF(ISNA(VLOOKUP(A123,'Données projet'!$A$35:$I$55,3,0)),0,VLOOKUP(A123,'Données projet'!$A$35:$I$55,3,0))</f>
        <v>20</v>
      </c>
      <c r="V123" s="15">
        <f>IF(ISNA(VLOOKUP(A123,'Données projet'!$A$35:$I$55,4,0)),0,VLOOKUP(A123,'Données projet'!$A$35:$I$55,4,0))</f>
        <v>221</v>
      </c>
      <c r="W123" s="16">
        <f>IF(ISNA(VLOOKUP(A123,'Données projet'!$A$35:$I$55,5,0)),0%,VLOOKUP(A123,'Données projet'!$A$35:$I$55,5,0)*VLOOKUP('Données projet'!$B$9,Paramètres!$A$1:$I$89,7,0))</f>
        <v>0.34400000000000003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113.53540724614282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113.53540724614282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67.9794689338258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6.7941666666666691</v>
      </c>
      <c r="AI123" s="13">
        <f>IF('Données projet'!$A$62&gt;35,AI122+AH123-AQ122,IF(A123&lt;'Données projet'!$A$62,$AF$205^A123,IF(A123='Données projet'!$A$62,'Données projet'!$B$62,AI122+AH123-AQ122)))</f>
        <v>320.06916666666677</v>
      </c>
      <c r="AJ123" s="13">
        <f>AI123*VLOOKUP('Données projet'!$B$10,Paramètres!$A$1:$I$89,3,0)*VLOOKUP('Données projet'!$B$10,Paramètres!$A$1:$I$89,5,0)</f>
        <v>289.59858200000008</v>
      </c>
      <c r="AK123" s="13">
        <f t="shared" si="89"/>
        <v>68.991468853616794</v>
      </c>
      <c r="AL123" s="20">
        <f t="shared" si="58"/>
        <v>624.54433857004938</v>
      </c>
      <c r="AM123" s="57">
        <f t="shared" si="59"/>
        <v>910.46905799407727</v>
      </c>
      <c r="AN123" s="57">
        <f ca="1">AVERAGE(OFFSET($AM$3,0,0,'Données projet'!$E$10+1,1))-AVERAGE(OFFSET($H$3,0,0,'Données projet'!$E$10+1,1))</f>
        <v>469.4210143164521</v>
      </c>
      <c r="AO123" s="57">
        <f t="shared" si="90"/>
        <v>308.4508386530556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30.619784126700079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30.619784126700079</v>
      </c>
      <c r="AY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67.9794689338258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7" t="e">
        <f t="shared" si="62"/>
        <v>#NUM!</v>
      </c>
      <c r="BI123" s="57">
        <f ca="1">AVERAGE(OFFSET($BH$3,0,0,'Données projet'!$E$11+1,1))-AVERAGE(OFFSET($H$3,0,0,'Données projet'!$E$11+1,1))</f>
        <v>344.32981377462971</v>
      </c>
      <c r="BJ123" s="57">
        <f t="shared" si="92"/>
        <v>334.42512656625763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52.572632781355978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52.572632781355978</v>
      </c>
      <c r="BT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67.9794689338258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>
        <f>VLOOKUP(A123,'Données projet'!$A$113:$I$133,2,0)</f>
        <v>324</v>
      </c>
      <c r="BW123" s="12">
        <f>VLOOKUP(A123,'Données projet'!$A$113:$I$133,9,0)</f>
        <v>5.4</v>
      </c>
      <c r="BX123" s="12">
        <f t="array" ref="BX123">INDEX(BW:BW,MIN(IF(ISNUMBER(BW123:BW319),ROW(BW123:BW319),"")))</f>
        <v>5.4</v>
      </c>
      <c r="BY123" s="12">
        <f>IF('Données projet'!$A$114&gt;35,BY122+BX123-CG122,IF(A123&lt;'Données projet'!$A$114,$BV$205^A123,IF(A123='Données projet'!$A$114,'Données projet'!$B$114,BY122+BX123-CG122)))</f>
        <v>324.00000000000045</v>
      </c>
      <c r="BZ123" s="13">
        <f>BY123*VLOOKUP('Données projet'!$B$12,Paramètres!$A$1:$I$89,3,0)*VLOOKUP('Données projet'!$B$12,Paramètres!$A$1:$I$89,5,0)</f>
        <v>308.31840000000045</v>
      </c>
      <c r="CA123" s="13">
        <f t="shared" si="93"/>
        <v>72.91753406629401</v>
      </c>
      <c r="CB123" s="20">
        <f t="shared" si="64"/>
        <v>663.9859184987962</v>
      </c>
      <c r="CC123" s="57">
        <f t="shared" si="65"/>
        <v>949.91063792282421</v>
      </c>
      <c r="CD123" s="57">
        <f ca="1">AVERAGE(OFFSET($CC$3,0,0,'Données projet'!$E$12+1,1))-AVERAGE(OFFSET($H$3,0,0,'Données projet'!$E$12+1,1))</f>
        <v>498.77732039282807</v>
      </c>
      <c r="CE123" s="57">
        <f t="shared" si="94"/>
        <v>384.57317421826531</v>
      </c>
      <c r="CF123" s="15">
        <f>IF(ISNA(VLOOKUP(A123,'Données projet'!$A$113:$I$133,3,0)),0,VLOOKUP(A123,'Données projet'!$A$113:$I$133,3,0))</f>
        <v>20</v>
      </c>
      <c r="CG123" s="15">
        <f>IF(ISNA(VLOOKUP(A123,'Données projet'!$A$113:$I$133,4,0)),0,VLOOKUP(A123,'Données projet'!$A$113:$I$133,4,0))</f>
        <v>324</v>
      </c>
      <c r="CH123" s="16">
        <f>IF(ISNA(VLOOKUP(A123,'Données projet'!$A$113:$I$133,5,0)),0%,VLOOKUP(A123,'Données projet'!$A$113:$I$133,5,0)*VLOOKUP('Données projet'!$B$12,Paramètres!$A$1:$I$89,7,0))</f>
        <v>0.34400000000000003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185.06563866127306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185.06563866127306</v>
      </c>
      <c r="CO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67.9794689338258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6.7941666666666691</v>
      </c>
      <c r="CT123" s="12">
        <f>IF('Données projet'!$A$140&gt;35,CT122+CS123-DB122,IF(A123&lt;'Données projet'!$A$140,$CQ$205^A123,IF(A123='Données projet'!$A$140,'Données projet'!$B$140,CT122+CS123-DB122)))</f>
        <v>320.06916666666677</v>
      </c>
      <c r="CU123" s="17">
        <f>CT123*VLOOKUP('Données projet'!$B$13,Paramètres!$A$1:$I$89,3,0)*VLOOKUP('Données projet'!$B$13,Paramètres!$A$1:$I$89,5,0)</f>
        <v>214.70239700000008</v>
      </c>
      <c r="CV123" s="13">
        <f t="shared" si="95"/>
        <v>52.961849587733084</v>
      </c>
      <c r="CW123" s="20">
        <f t="shared" si="67"/>
        <v>466.18189614030189</v>
      </c>
      <c r="CX123" s="57">
        <f t="shared" si="68"/>
        <v>752.10661556432979</v>
      </c>
      <c r="CY123" s="57">
        <f ca="1">AVERAGE(OFFSET($CX$3,0,0,'Données projet'!$E$13+1,1))-AVERAGE(OFFSET($H$3,0,0,'Données projet'!$E$13+1,1))</f>
        <v>365.99625753737246</v>
      </c>
      <c r="CZ123" s="57">
        <f t="shared" si="96"/>
        <v>242.84814712692287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27.980147564053517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27.980147564053517</v>
      </c>
      <c r="DJ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67.9794689338258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2.2737367544323206E-13</v>
      </c>
      <c r="DP123" s="17">
        <f>DO123*VLOOKUP('Données projet'!$B$14,Paramètres!$A$1:$I$89,3,0)*VLOOKUP('Données projet'!$B$14,Paramètres!$A$1:$I$89,5,0)</f>
        <v>1.4897523215040565E-13</v>
      </c>
      <c r="DQ123" s="13">
        <f t="shared" si="97"/>
        <v>2.136562777003313E-12</v>
      </c>
      <c r="DR123" s="20">
        <f t="shared" si="70"/>
        <v>3.9806453659427267E-12</v>
      </c>
      <c r="DS123" s="57">
        <f t="shared" si="71"/>
        <v>285.92471942403193</v>
      </c>
      <c r="DT123" s="57">
        <f ca="1">AVERAGE(OFFSET($DS$3,0,0,'Données projet'!$E$14+1,1))-AVERAGE(OFFSET($H$3,0,0,'Données projet'!$E$14+1,1))</f>
        <v>313.79279628660527</v>
      </c>
      <c r="DU123" s="57">
        <f t="shared" si="98"/>
        <v>317.45469955216254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51.079187100194943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51.079187100194943</v>
      </c>
      <c r="EE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67.9794689338258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-1.1368683772161603E-13</v>
      </c>
      <c r="EK123" s="17">
        <f>EJ123*VLOOKUP('Données projet'!$B$15,Paramètres!$A$1:$I$89,3,0)*VLOOKUP('Données projet'!$B$15,Paramètres!$A$1:$I$89,5,0)</f>
        <v>-9.7543306765146564E-14</v>
      </c>
      <c r="EL123" s="13" t="e">
        <f t="shared" si="99"/>
        <v>#NUM!</v>
      </c>
      <c r="EM123" s="20" t="e">
        <f t="shared" si="73"/>
        <v>#NUM!</v>
      </c>
      <c r="EN123" s="57" t="e">
        <f t="shared" si="74"/>
        <v>#NUM!</v>
      </c>
      <c r="EO123" s="57">
        <f ca="1">AVERAGE(OFFSET($EN$3,0,0,'Données projet'!$E$15+1,1))-AVERAGE(OFFSET($H$3,0,0,'Données projet'!$E$15+1,1))</f>
        <v>643.04899298561475</v>
      </c>
      <c r="EP123" s="57">
        <f t="shared" si="100"/>
        <v>474.94999304483031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189.3318368211888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189.3318368211888</v>
      </c>
      <c r="EZ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67.9794689338258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>
        <f>FE123*VLOOKUP('Données projet'!$B$16,Paramètres!$A$1:$I$89,3,0)*VLOOKUP('Données projet'!$B$16,Paramètres!$A$1:$I$89,5,0)</f>
        <v>0</v>
      </c>
      <c r="FG123" s="13" t="e">
        <f t="shared" si="101"/>
        <v>#NUM!</v>
      </c>
      <c r="FH123" s="20" t="e">
        <f t="shared" si="76"/>
        <v>#NUM!</v>
      </c>
      <c r="FI123" s="57" t="e">
        <f t="shared" si="77"/>
        <v>#NUM!</v>
      </c>
      <c r="FJ123" s="57">
        <f ca="1">AVERAGE(OFFSET($FI$3,0,0,'Données projet'!$E$16+1,1))-AVERAGE(OFFSET($H$3,0,0,'Données projet'!$E$16+1,1))</f>
        <v>375.34603719604439</v>
      </c>
      <c r="FK123" s="57">
        <f t="shared" si="102"/>
        <v>363.99476973672211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71.692318627123754</v>
      </c>
      <c r="FR123" s="21">
        <f>EXP(-LN(2)/25)*FR122+(1-EXP(-LN(2)/25))/(LN(2)/25)*Calculateur!FM123*Calculateur!FO123*VLOOKUP('Données projet'!$B$16,Paramètres!$A$1:$I$89,3,0)*0.475*44/12</f>
        <v>0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71.692318627123754</v>
      </c>
      <c r="FU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67.9794689338258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-1.1368683772161603E-13</v>
      </c>
      <c r="GA123" s="17">
        <f>FZ123*VLOOKUP('Données projet'!$B$17,Paramètres!$A$1:$I$89,3,0)*VLOOKUP('Données projet'!$B$17,Paramètres!$A$1:$I$89,5,0)</f>
        <v>-6.3550942286383367E-14</v>
      </c>
      <c r="GB123" s="13" t="e">
        <f t="shared" si="103"/>
        <v>#NUM!</v>
      </c>
      <c r="GC123" s="20" t="e">
        <f t="shared" si="79"/>
        <v>#NUM!</v>
      </c>
      <c r="GD123" s="57" t="e">
        <f t="shared" si="80"/>
        <v>#NUM!</v>
      </c>
      <c r="GE123" s="57">
        <f ca="1">AVERAGE(OFFSET($GD$3,0,0,'Données projet'!$E$17+1,1))-AVERAGE(OFFSET($H$3,0,0,'Données projet'!$E$17+1,1))</f>
        <v>414.47327143450701</v>
      </c>
      <c r="GF123" s="57">
        <f t="shared" si="104"/>
        <v>546.83385887302961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81.496890282600248</v>
      </c>
      <c r="GM123" s="21">
        <f>EXP(-LN(2)/25)*GM122+(1-EXP(-LN(2)/25))/(LN(2)/25)*Calculateur!GH123*Calculateur!GJ123*VLOOKUP('Données projet'!$B$17,Paramètres!$A$1:$I$89,3,0)*0.475*44/12</f>
        <v>10.213771537056695</v>
      </c>
      <c r="GN123" s="21">
        <f>EXP(-LN(2)/2)*GN122+(1-EXP(-LN(2)/2))/(LN(2)/2)*GH123*GK123*VLOOKUP('Données projet'!$B$17,Paramètres!$A$1:$I$89,3,0)*0.475*44/12</f>
        <v>4.8367039248610354E-9</v>
      </c>
      <c r="GO123" s="21">
        <f t="shared" si="81"/>
        <v>91.710661824493656</v>
      </c>
      <c r="GP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67.9794689338258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-2.2737367544323206E-13</v>
      </c>
      <c r="GV123" s="17">
        <f>GU123*VLOOKUP('Données projet'!$B$18,Paramètres!$A$1:$I$89,3,0)*VLOOKUP('Données projet'!$B$18,Paramètres!$A$1:$I$89,5,0)</f>
        <v>-1.2414602679200471E-13</v>
      </c>
      <c r="GW123" s="13" t="e">
        <f t="shared" si="105"/>
        <v>#NUM!</v>
      </c>
      <c r="GX123" s="20" t="e">
        <f t="shared" si="82"/>
        <v>#NUM!</v>
      </c>
      <c r="GY123" s="57" t="e">
        <f t="shared" si="83"/>
        <v>#NUM!</v>
      </c>
      <c r="GZ123" s="57">
        <f ca="1">AVERAGE(OFFSET($GY$3,0,0,'Données projet'!$E$18+1,1))-AVERAGE(OFFSET($H$3,0,0,'Données projet'!$E$18+1,1))</f>
        <v>381.00532469288714</v>
      </c>
      <c r="HA123" s="57">
        <f t="shared" si="106"/>
        <v>314.875259641757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>
        <f>EXP(-LN(2)/35)*HG122+(1-EXP(-LN(2)/35))/(LN(2)/35)*HC123*HD123*VLOOKUP('Données projet'!$B$18,Paramètres!$A$1:$I$89,3,0)*0.475*44/12</f>
        <v>137.29341557082063</v>
      </c>
      <c r="HH123" s="21">
        <f>EXP(-LN(2)/25)*HH122+(1-EXP(-LN(2)/25))/(LN(2)/25)*Calculateur!HC123*Calculateur!HE123*VLOOKUP('Données projet'!$B$18,Paramètres!$A$1:$I$89,3,0)*0.475*44/12</f>
        <v>18.950065139656925</v>
      </c>
      <c r="HI123" s="21">
        <f>EXP(-LN(2)/2)*HI122+(1-EXP(-LN(2)/2))/(LN(2)/2)*HC123*HF123*VLOOKUP('Données projet'!$B$18,Paramètres!$A$1:$I$89,3,0)*0.475*44/12</f>
        <v>2.4387492746353014E-2</v>
      </c>
      <c r="HJ123" s="22">
        <f t="shared" si="84"/>
        <v>156.26786820322388</v>
      </c>
    </row>
    <row r="124" spans="1:218" x14ac:dyDescent="0.2">
      <c r="A124" s="10">
        <f t="shared" si="85"/>
        <v>121</v>
      </c>
      <c r="B124" s="71">
        <f>'Scénario référence'!$B$16*5+'Scénario référence'!$B$17*0+'Scénario référence'!$B$18*5</f>
        <v>3.3000000000000003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12.100000000000001</v>
      </c>
      <c r="H124" s="65">
        <f t="shared" si="56"/>
        <v>208.26666666666665</v>
      </c>
      <c r="I124" s="6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68.014520630593196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-1.1527845344971866E-13</v>
      </c>
      <c r="P124" s="13" t="e">
        <f t="shared" si="87"/>
        <v>#NUM!</v>
      </c>
      <c r="Q124" s="20" t="e">
        <f t="shared" si="107"/>
        <v>#NUM!</v>
      </c>
      <c r="R124" s="57" t="e">
        <f t="shared" si="55"/>
        <v>#NUM!</v>
      </c>
      <c r="S124" s="57">
        <f ca="1">AVERAGE(OFFSET($R$3,0,0,'Données projet'!$E$9+1,1))-AVERAGE(OFFSET($H$3,0,0,'Données projet'!$E$9+1,1))</f>
        <v>332.70145542047612</v>
      </c>
      <c r="T124" s="57">
        <f t="shared" si="88"/>
        <v>172.22433737900428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111.30904715980654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111.30904715980654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68.014520630593196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6.7941666666666691</v>
      </c>
      <c r="AI124" s="13">
        <f>IF('Données projet'!$A$62&gt;35,AI123+AH124-AQ123,IF(A124&lt;'Données projet'!$A$62,$AF$205^A124,IF(A124='Données projet'!$A$62,'Données projet'!$B$62,AI123+AH124-AQ123)))</f>
        <v>326.86333333333346</v>
      </c>
      <c r="AJ124" s="13">
        <f>AI124*VLOOKUP('Données projet'!$B$10,Paramètres!$A$1:$I$89,3,0)*VLOOKUP('Données projet'!$B$10,Paramètres!$A$1:$I$89,5,0)</f>
        <v>295.74594400000012</v>
      </c>
      <c r="AK124" s="13">
        <f t="shared" si="89"/>
        <v>70.283910022773895</v>
      </c>
      <c r="AL124" s="20">
        <f t="shared" si="58"/>
        <v>637.50199575633144</v>
      </c>
      <c r="AM124" s="57">
        <f t="shared" si="59"/>
        <v>923.55523806850647</v>
      </c>
      <c r="AN124" s="57">
        <f ca="1">AVERAGE(OFFSET($AM$3,0,0,'Données projet'!$E$10+1,1))-AVERAGE(OFFSET($H$3,0,0,'Données projet'!$E$10+1,1))</f>
        <v>469.4210143164521</v>
      </c>
      <c r="AO124" s="57">
        <f t="shared" si="90"/>
        <v>308.4508386530556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30.019348836199683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30.019348836199683</v>
      </c>
      <c r="AY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68.014520630593196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7" t="e">
        <f t="shared" si="62"/>
        <v>#NUM!</v>
      </c>
      <c r="BI124" s="57">
        <f ca="1">AVERAGE(OFFSET($BH$3,0,0,'Données projet'!$E$11+1,1))-AVERAGE(OFFSET($H$3,0,0,'Données projet'!$E$11+1,1))</f>
        <v>344.32981377462971</v>
      </c>
      <c r="BJ124" s="57">
        <f t="shared" si="92"/>
        <v>334.42512656625763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51.541715518653312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51.541715518653312</v>
      </c>
      <c r="BT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68.014520630593196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4.5474735088646412E-13</v>
      </c>
      <c r="BZ124" s="13">
        <f>BY124*VLOOKUP('Données projet'!$B$12,Paramètres!$A$1:$I$89,3,0)*VLOOKUP('Données projet'!$B$12,Paramètres!$A$1:$I$89,5,0)</f>
        <v>4.3273757910355926E-13</v>
      </c>
      <c r="CA124" s="13">
        <f t="shared" si="93"/>
        <v>5.4817614357080839E-12</v>
      </c>
      <c r="CB124" s="20">
        <f t="shared" si="64"/>
        <v>1.0301085784130276E-11</v>
      </c>
      <c r="CC124" s="57">
        <f t="shared" si="65"/>
        <v>286.05324231218538</v>
      </c>
      <c r="CD124" s="57">
        <f ca="1">AVERAGE(OFFSET($CC$3,0,0,'Données projet'!$E$12+1,1))-AVERAGE(OFFSET($H$3,0,0,'Données projet'!$E$12+1,1))</f>
        <v>498.77732039282807</v>
      </c>
      <c r="CE124" s="57">
        <f t="shared" si="94"/>
        <v>384.57317421826531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181.4366143660192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181.4366143660192</v>
      </c>
      <c r="CO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68.014520630593196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6.7941666666666691</v>
      </c>
      <c r="CT124" s="12">
        <f>IF('Données projet'!$A$140&gt;35,CT123+CS124-DB123,IF(A124&lt;'Données projet'!$A$140,$CQ$205^A124,IF(A124='Données projet'!$A$140,'Données projet'!$B$140,CT123+CS124-DB123)))</f>
        <v>326.86333333333346</v>
      </c>
      <c r="CU124" s="17">
        <f>CT124*VLOOKUP('Données projet'!$B$13,Paramètres!$A$1:$I$89,3,0)*VLOOKUP('Données projet'!$B$13,Paramètres!$A$1:$I$89,5,0)</f>
        <v>219.2599240000001</v>
      </c>
      <c r="CV124" s="13">
        <f t="shared" si="95"/>
        <v>53.954002326894596</v>
      </c>
      <c r="CW124" s="20">
        <f t="shared" si="67"/>
        <v>475.8475883526749</v>
      </c>
      <c r="CX124" s="57">
        <f t="shared" si="68"/>
        <v>761.90083066484999</v>
      </c>
      <c r="CY124" s="57">
        <f ca="1">AVERAGE(OFFSET($CX$3,0,0,'Données projet'!$E$13+1,1))-AVERAGE(OFFSET($H$3,0,0,'Données projet'!$E$13+1,1))</f>
        <v>365.99625753737246</v>
      </c>
      <c r="CZ124" s="57">
        <f t="shared" si="96"/>
        <v>242.84814712692287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27.431473936527293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27.431473936527293</v>
      </c>
      <c r="DJ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68.014520630593196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2.2737367544323206E-13</v>
      </c>
      <c r="DP124" s="17">
        <f>DO124*VLOOKUP('Données projet'!$B$14,Paramètres!$A$1:$I$89,3,0)*VLOOKUP('Données projet'!$B$14,Paramètres!$A$1:$I$89,5,0)</f>
        <v>1.4897523215040565E-13</v>
      </c>
      <c r="DQ124" s="13">
        <f t="shared" si="97"/>
        <v>2.136562777003313E-12</v>
      </c>
      <c r="DR124" s="20">
        <f t="shared" si="70"/>
        <v>3.9806453659427267E-12</v>
      </c>
      <c r="DS124" s="57">
        <f t="shared" si="71"/>
        <v>286.05324231217907</v>
      </c>
      <c r="DT124" s="57">
        <f ca="1">AVERAGE(OFFSET($DS$3,0,0,'Données projet'!$E$14+1,1))-AVERAGE(OFFSET($H$3,0,0,'Données projet'!$E$14+1,1))</f>
        <v>313.79279628660527</v>
      </c>
      <c r="DU124" s="57">
        <f t="shared" si="98"/>
        <v>317.45469955216254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50.077555396387929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50.077555396387929</v>
      </c>
      <c r="EE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68.014520630593196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-1.1368683772161603E-13</v>
      </c>
      <c r="EK124" s="17">
        <f>EJ124*VLOOKUP('Données projet'!$B$15,Paramètres!$A$1:$I$89,3,0)*VLOOKUP('Données projet'!$B$15,Paramètres!$A$1:$I$89,5,0)</f>
        <v>-9.7543306765146564E-14</v>
      </c>
      <c r="EL124" s="13" t="e">
        <f t="shared" si="99"/>
        <v>#NUM!</v>
      </c>
      <c r="EM124" s="20" t="e">
        <f t="shared" si="73"/>
        <v>#NUM!</v>
      </c>
      <c r="EN124" s="57" t="e">
        <f t="shared" si="74"/>
        <v>#NUM!</v>
      </c>
      <c r="EO124" s="57">
        <f ca="1">AVERAGE(OFFSET($EN$3,0,0,'Données projet'!$E$15+1,1))-AVERAGE(OFFSET($H$3,0,0,'Données projet'!$E$15+1,1))</f>
        <v>643.04899298561475</v>
      </c>
      <c r="EP124" s="57">
        <f t="shared" si="100"/>
        <v>474.94999304483031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185.61915498214296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185.61915498214296</v>
      </c>
      <c r="EZ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68.014520630593196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>
        <f>FE124*VLOOKUP('Données projet'!$B$16,Paramètres!$A$1:$I$89,3,0)*VLOOKUP('Données projet'!$B$16,Paramètres!$A$1:$I$89,5,0)</f>
        <v>0</v>
      </c>
      <c r="FG124" s="13" t="e">
        <f t="shared" si="101"/>
        <v>#NUM!</v>
      </c>
      <c r="FH124" s="20" t="e">
        <f t="shared" si="76"/>
        <v>#NUM!</v>
      </c>
      <c r="FI124" s="57" t="e">
        <f t="shared" si="77"/>
        <v>#NUM!</v>
      </c>
      <c r="FJ124" s="57">
        <f ca="1">AVERAGE(OFFSET($FI$3,0,0,'Données projet'!$E$16+1,1))-AVERAGE(OFFSET($H$3,0,0,'Données projet'!$E$16+1,1))</f>
        <v>375.34603719604439</v>
      </c>
      <c r="FK124" s="57">
        <f t="shared" si="102"/>
        <v>363.99476973672211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70.286475986842433</v>
      </c>
      <c r="FR124" s="21">
        <f>EXP(-LN(2)/25)*FR123+(1-EXP(-LN(2)/25))/(LN(2)/25)*Calculateur!FM124*Calculateur!FO124*VLOOKUP('Données projet'!$B$16,Paramètres!$A$1:$I$89,3,0)*0.475*44/12</f>
        <v>0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70.286475986842433</v>
      </c>
      <c r="FU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68.014520630593196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-1.1368683772161603E-13</v>
      </c>
      <c r="GA124" s="17">
        <f>FZ124*VLOOKUP('Données projet'!$B$17,Paramètres!$A$1:$I$89,3,0)*VLOOKUP('Données projet'!$B$17,Paramètres!$A$1:$I$89,5,0)</f>
        <v>-6.3550942286383367E-14</v>
      </c>
      <c r="GB124" s="13" t="e">
        <f t="shared" si="103"/>
        <v>#NUM!</v>
      </c>
      <c r="GC124" s="20" t="e">
        <f t="shared" si="79"/>
        <v>#NUM!</v>
      </c>
      <c r="GD124" s="57" t="e">
        <f t="shared" si="80"/>
        <v>#NUM!</v>
      </c>
      <c r="GE124" s="57">
        <f ca="1">AVERAGE(OFFSET($GD$3,0,0,'Données projet'!$E$17+1,1))-AVERAGE(OFFSET($H$3,0,0,'Données projet'!$E$17+1,1))</f>
        <v>414.47327143450701</v>
      </c>
      <c r="GF124" s="57">
        <f t="shared" si="104"/>
        <v>546.83385887302961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79.898785972353252</v>
      </c>
      <c r="GM124" s="21">
        <f>EXP(-LN(2)/25)*GM123+(1-EXP(-LN(2)/25))/(LN(2)/25)*Calculateur!GH124*Calculateur!GJ124*VLOOKUP('Données projet'!$B$17,Paramètres!$A$1:$I$89,3,0)*0.475*44/12</f>
        <v>9.9344754172569782</v>
      </c>
      <c r="GN124" s="21">
        <f>EXP(-LN(2)/2)*GN123+(1-EXP(-LN(2)/2))/(LN(2)/2)*GH124*GK124*VLOOKUP('Données projet'!$B$17,Paramètres!$A$1:$I$89,3,0)*0.475*44/12</f>
        <v>3.4200661438608278E-9</v>
      </c>
      <c r="GO124" s="21">
        <f t="shared" si="81"/>
        <v>89.833261393030298</v>
      </c>
      <c r="GP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68.014520630593196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-2.2737367544323206E-13</v>
      </c>
      <c r="GV124" s="17">
        <f>GU124*VLOOKUP('Données projet'!$B$18,Paramètres!$A$1:$I$89,3,0)*VLOOKUP('Données projet'!$B$18,Paramètres!$A$1:$I$89,5,0)</f>
        <v>-1.2414602679200471E-13</v>
      </c>
      <c r="GW124" s="13" t="e">
        <f t="shared" si="105"/>
        <v>#NUM!</v>
      </c>
      <c r="GX124" s="20" t="e">
        <f t="shared" si="82"/>
        <v>#NUM!</v>
      </c>
      <c r="GY124" s="57" t="e">
        <f t="shared" si="83"/>
        <v>#NUM!</v>
      </c>
      <c r="GZ124" s="57">
        <f ca="1">AVERAGE(OFFSET($GY$3,0,0,'Données projet'!$E$18+1,1))-AVERAGE(OFFSET($H$3,0,0,'Données projet'!$E$18+1,1))</f>
        <v>381.00532469288714</v>
      </c>
      <c r="HA124" s="57">
        <f t="shared" si="106"/>
        <v>314.875259641757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>
        <f>EXP(-LN(2)/35)*HG123+(1-EXP(-LN(2)/35))/(LN(2)/35)*HC124*HD124*VLOOKUP('Données projet'!$B$18,Paramètres!$A$1:$I$89,3,0)*0.475*44/12</f>
        <v>134.60117543219164</v>
      </c>
      <c r="HH124" s="21">
        <f>EXP(-LN(2)/25)*HH123+(1-EXP(-LN(2)/25))/(LN(2)/25)*Calculateur!HC124*Calculateur!HE124*VLOOKUP('Données projet'!$B$18,Paramètres!$A$1:$I$89,3,0)*0.475*44/12</f>
        <v>18.431874611872392</v>
      </c>
      <c r="HI124" s="21">
        <f>EXP(-LN(2)/2)*HI123+(1-EXP(-LN(2)/2))/(LN(2)/2)*HC124*HF124*VLOOKUP('Données projet'!$B$18,Paramètres!$A$1:$I$89,3,0)*0.475*44/12</f>
        <v>1.7244561497083956E-2</v>
      </c>
      <c r="HJ124" s="22">
        <f t="shared" si="84"/>
        <v>153.05029460556111</v>
      </c>
    </row>
    <row r="125" spans="1:218" x14ac:dyDescent="0.2">
      <c r="A125" s="10">
        <f t="shared" si="85"/>
        <v>122</v>
      </c>
      <c r="B125" s="71">
        <f>'Scénario référence'!$B$16*5+'Scénario référence'!$B$17*0+'Scénario référence'!$B$18*5</f>
        <v>3.3000000000000003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12.100000000000001</v>
      </c>
      <c r="H125" s="65">
        <f t="shared" si="56"/>
        <v>208.26666666666665</v>
      </c>
      <c r="I125" s="6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68.048964258785517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-1.1527845344971866E-13</v>
      </c>
      <c r="P125" s="13" t="e">
        <f t="shared" si="87"/>
        <v>#NUM!</v>
      </c>
      <c r="Q125" s="20" t="e">
        <f t="shared" si="107"/>
        <v>#NUM!</v>
      </c>
      <c r="R125" s="57" t="e">
        <f t="shared" si="55"/>
        <v>#NUM!</v>
      </c>
      <c r="S125" s="57">
        <f ca="1">AVERAGE(OFFSET($R$3,0,0,'Données projet'!$E$9+1,1))-AVERAGE(OFFSET($H$3,0,0,'Données projet'!$E$9+1,1))</f>
        <v>332.70145542047612</v>
      </c>
      <c r="T125" s="57">
        <f t="shared" si="88"/>
        <v>172.22433737900428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109.12634463681773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109.12634463681773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68.048964258785517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6.7941666666666691</v>
      </c>
      <c r="AI125" s="13">
        <f>IF('Données projet'!$A$62&gt;35,AI124+AH125-AQ124,IF(A125&lt;'Données projet'!$A$62,$AF$205^A125,IF(A125='Données projet'!$A$62,'Données projet'!$B$62,AI124+AH125-AQ124)))</f>
        <v>333.65750000000014</v>
      </c>
      <c r="AJ125" s="13">
        <f>AI125*VLOOKUP('Données projet'!$B$10,Paramètres!$A$1:$I$89,3,0)*VLOOKUP('Données projet'!$B$10,Paramètres!$A$1:$I$89,5,0)</f>
        <v>301.89330600000011</v>
      </c>
      <c r="AK125" s="13">
        <f t="shared" si="89"/>
        <v>71.573227691758774</v>
      </c>
      <c r="AL125" s="20">
        <f t="shared" si="58"/>
        <v>650.45421284648</v>
      </c>
      <c r="AM125" s="57">
        <f t="shared" si="59"/>
        <v>936.63374846202692</v>
      </c>
      <c r="AN125" s="57">
        <f ca="1">AVERAGE(OFFSET($AM$3,0,0,'Données projet'!$E$10+1,1))-AVERAGE(OFFSET($H$3,0,0,'Données projet'!$E$10+1,1))</f>
        <v>469.4210143164521</v>
      </c>
      <c r="AO125" s="57">
        <f t="shared" si="90"/>
        <v>308.4508386530556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29.430687715516637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29.430687715516637</v>
      </c>
      <c r="AY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68.048964258785517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7" t="e">
        <f t="shared" si="62"/>
        <v>#NUM!</v>
      </c>
      <c r="BI125" s="57">
        <f ca="1">AVERAGE(OFFSET($BH$3,0,0,'Données projet'!$E$11+1,1))-AVERAGE(OFFSET($H$3,0,0,'Données projet'!$E$11+1,1))</f>
        <v>344.32981377462971</v>
      </c>
      <c r="BJ125" s="57">
        <f t="shared" si="92"/>
        <v>334.42512656625763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50.531013914674809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50.531013914674809</v>
      </c>
      <c r="BT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68.048964258785517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4.5474735088646412E-13</v>
      </c>
      <c r="BZ125" s="13">
        <f>BY125*VLOOKUP('Données projet'!$B$12,Paramètres!$A$1:$I$89,3,0)*VLOOKUP('Données projet'!$B$12,Paramètres!$A$1:$I$89,5,0)</f>
        <v>4.3273757910355926E-13</v>
      </c>
      <c r="CA125" s="13">
        <f t="shared" si="93"/>
        <v>5.4817614357080839E-12</v>
      </c>
      <c r="CB125" s="20">
        <f t="shared" si="64"/>
        <v>1.0301085784130276E-11</v>
      </c>
      <c r="CC125" s="57">
        <f t="shared" si="65"/>
        <v>286.1795356155572</v>
      </c>
      <c r="CD125" s="57">
        <f ca="1">AVERAGE(OFFSET($CC$3,0,0,'Données projet'!$E$12+1,1))-AVERAGE(OFFSET($H$3,0,0,'Données projet'!$E$12+1,1))</f>
        <v>498.77732039282807</v>
      </c>
      <c r="CE125" s="57">
        <f t="shared" si="94"/>
        <v>384.57317421826531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177.87875302370904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177.87875302370904</v>
      </c>
      <c r="CO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68.048964258785517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6.7941666666666691</v>
      </c>
      <c r="CT125" s="12">
        <f>IF('Données projet'!$A$140&gt;35,CT124+CS125-DB124,IF(A125&lt;'Données projet'!$A$140,$CQ$205^A125,IF(A125='Données projet'!$A$140,'Données projet'!$B$140,CT124+CS125-DB124)))</f>
        <v>333.65750000000014</v>
      </c>
      <c r="CU125" s="17">
        <f>CT125*VLOOKUP('Données projet'!$B$13,Paramètres!$A$1:$I$89,3,0)*VLOOKUP('Données projet'!$B$13,Paramètres!$A$1:$I$89,5,0)</f>
        <v>223.81745100000009</v>
      </c>
      <c r="CV125" s="13">
        <f t="shared" si="95"/>
        <v>54.943757286315261</v>
      </c>
      <c r="CW125" s="20">
        <f t="shared" si="67"/>
        <v>485.50910443199928</v>
      </c>
      <c r="CX125" s="57">
        <f t="shared" si="68"/>
        <v>771.68864004754619</v>
      </c>
      <c r="CY125" s="57">
        <f ca="1">AVERAGE(OFFSET($CX$3,0,0,'Données projet'!$E$13+1,1))-AVERAGE(OFFSET($H$3,0,0,'Données projet'!$E$13+1,1))</f>
        <v>365.99625753737246</v>
      </c>
      <c r="CZ125" s="57">
        <f t="shared" si="96"/>
        <v>242.84814712692287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26.893559464178992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26.893559464178992</v>
      </c>
      <c r="DJ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68.048964258785517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2.2737367544323206E-13</v>
      </c>
      <c r="DP125" s="17">
        <f>DO125*VLOOKUP('Données projet'!$B$14,Paramètres!$A$1:$I$89,3,0)*VLOOKUP('Données projet'!$B$14,Paramètres!$A$1:$I$89,5,0)</f>
        <v>1.4897523215040565E-13</v>
      </c>
      <c r="DQ125" s="13">
        <f t="shared" si="97"/>
        <v>2.136562777003313E-12</v>
      </c>
      <c r="DR125" s="20">
        <f t="shared" si="70"/>
        <v>3.9806453659427267E-12</v>
      </c>
      <c r="DS125" s="57">
        <f t="shared" si="71"/>
        <v>286.17953561555089</v>
      </c>
      <c r="DT125" s="57">
        <f ca="1">AVERAGE(OFFSET($DS$3,0,0,'Données projet'!$E$14+1,1))-AVERAGE(OFFSET($H$3,0,0,'Données projet'!$E$14+1,1))</f>
        <v>313.79279628660527</v>
      </c>
      <c r="DU125" s="57">
        <f t="shared" si="98"/>
        <v>317.45469955216254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49.095565079357556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49.095565079357556</v>
      </c>
      <c r="EE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68.048964258785517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-1.1368683772161603E-13</v>
      </c>
      <c r="EK125" s="17">
        <f>EJ125*VLOOKUP('Données projet'!$B$15,Paramètres!$A$1:$I$89,3,0)*VLOOKUP('Données projet'!$B$15,Paramètres!$A$1:$I$89,5,0)</f>
        <v>-9.7543306765146564E-14</v>
      </c>
      <c r="EL125" s="13" t="e">
        <f t="shared" si="99"/>
        <v>#NUM!</v>
      </c>
      <c r="EM125" s="20" t="e">
        <f t="shared" si="73"/>
        <v>#NUM!</v>
      </c>
      <c r="EN125" s="57" t="e">
        <f t="shared" si="74"/>
        <v>#NUM!</v>
      </c>
      <c r="EO125" s="57">
        <f ca="1">AVERAGE(OFFSET($EN$3,0,0,'Données projet'!$E$15+1,1))-AVERAGE(OFFSET($H$3,0,0,'Données projet'!$E$15+1,1))</f>
        <v>643.04899298561475</v>
      </c>
      <c r="EP125" s="57">
        <f t="shared" si="100"/>
        <v>474.94999304483031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181.97927656944847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181.97927656944847</v>
      </c>
      <c r="EZ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68.048964258785517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>
        <f>FE125*VLOOKUP('Données projet'!$B$16,Paramètres!$A$1:$I$89,3,0)*VLOOKUP('Données projet'!$B$16,Paramètres!$A$1:$I$89,5,0)</f>
        <v>0</v>
      </c>
      <c r="FG125" s="13" t="e">
        <f t="shared" si="101"/>
        <v>#NUM!</v>
      </c>
      <c r="FH125" s="20" t="e">
        <f t="shared" si="76"/>
        <v>#NUM!</v>
      </c>
      <c r="FI125" s="57" t="e">
        <f t="shared" si="77"/>
        <v>#NUM!</v>
      </c>
      <c r="FJ125" s="57">
        <f ca="1">AVERAGE(OFFSET($FI$3,0,0,'Données projet'!$E$16+1,1))-AVERAGE(OFFSET($H$3,0,0,'Données projet'!$E$16+1,1))</f>
        <v>375.34603719604439</v>
      </c>
      <c r="FK125" s="57">
        <f t="shared" si="102"/>
        <v>363.99476973672211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68.908201063257692</v>
      </c>
      <c r="FR125" s="21">
        <f>EXP(-LN(2)/25)*FR124+(1-EXP(-LN(2)/25))/(LN(2)/25)*Calculateur!FM125*Calculateur!FO125*VLOOKUP('Données projet'!$B$16,Paramètres!$A$1:$I$89,3,0)*0.475*44/12</f>
        <v>0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68.908201063257692</v>
      </c>
      <c r="FU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68.048964258785517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-1.1368683772161603E-13</v>
      </c>
      <c r="GA125" s="17">
        <f>FZ125*VLOOKUP('Données projet'!$B$17,Paramètres!$A$1:$I$89,3,0)*VLOOKUP('Données projet'!$B$17,Paramètres!$A$1:$I$89,5,0)</f>
        <v>-6.3550942286383367E-14</v>
      </c>
      <c r="GB125" s="13" t="e">
        <f t="shared" si="103"/>
        <v>#NUM!</v>
      </c>
      <c r="GC125" s="20" t="e">
        <f t="shared" si="79"/>
        <v>#NUM!</v>
      </c>
      <c r="GD125" s="57" t="e">
        <f t="shared" si="80"/>
        <v>#NUM!</v>
      </c>
      <c r="GE125" s="57">
        <f ca="1">AVERAGE(OFFSET($GD$3,0,0,'Données projet'!$E$17+1,1))-AVERAGE(OFFSET($H$3,0,0,'Données projet'!$E$17+1,1))</f>
        <v>414.47327143450701</v>
      </c>
      <c r="GF125" s="57">
        <f t="shared" si="104"/>
        <v>546.83385887302961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78.332019512882823</v>
      </c>
      <c r="GM125" s="21">
        <f>EXP(-LN(2)/25)*GM124+(1-EXP(-LN(2)/25))/(LN(2)/25)*Calculateur!GH125*Calculateur!GJ125*VLOOKUP('Données projet'!$B$17,Paramètres!$A$1:$I$89,3,0)*0.475*44/12</f>
        <v>9.6628166645407294</v>
      </c>
      <c r="GN125" s="21">
        <f>EXP(-LN(2)/2)*GN124+(1-EXP(-LN(2)/2))/(LN(2)/2)*GH125*GK125*VLOOKUP('Données projet'!$B$17,Paramètres!$A$1:$I$89,3,0)*0.475*44/12</f>
        <v>2.4183519624305177E-9</v>
      </c>
      <c r="GO125" s="21">
        <f t="shared" si="81"/>
        <v>87.994836179841897</v>
      </c>
      <c r="GP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68.048964258785517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-2.2737367544323206E-13</v>
      </c>
      <c r="GV125" s="17">
        <f>GU125*VLOOKUP('Données projet'!$B$18,Paramètres!$A$1:$I$89,3,0)*VLOOKUP('Données projet'!$B$18,Paramètres!$A$1:$I$89,5,0)</f>
        <v>-1.2414602679200471E-13</v>
      </c>
      <c r="GW125" s="13" t="e">
        <f t="shared" si="105"/>
        <v>#NUM!</v>
      </c>
      <c r="GX125" s="20" t="e">
        <f t="shared" si="82"/>
        <v>#NUM!</v>
      </c>
      <c r="GY125" s="57" t="e">
        <f t="shared" si="83"/>
        <v>#NUM!</v>
      </c>
      <c r="GZ125" s="57">
        <f ca="1">AVERAGE(OFFSET($GY$3,0,0,'Données projet'!$E$18+1,1))-AVERAGE(OFFSET($H$3,0,0,'Données projet'!$E$18+1,1))</f>
        <v>381.00532469288714</v>
      </c>
      <c r="HA125" s="57">
        <f t="shared" si="106"/>
        <v>314.875259641757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>
        <f>EXP(-LN(2)/35)*HG124+(1-EXP(-LN(2)/35))/(LN(2)/35)*HC125*HD125*VLOOKUP('Données projet'!$B$18,Paramètres!$A$1:$I$89,3,0)*0.475*44/12</f>
        <v>131.96172848057682</v>
      </c>
      <c r="HH125" s="21">
        <f>EXP(-LN(2)/25)*HH124+(1-EXP(-LN(2)/25))/(LN(2)/25)*Calculateur!HC125*Calculateur!HE125*VLOOKUP('Données projet'!$B$18,Paramètres!$A$1:$I$89,3,0)*0.475*44/12</f>
        <v>17.927854031320582</v>
      </c>
      <c r="HI125" s="21">
        <f>EXP(-LN(2)/2)*HI124+(1-EXP(-LN(2)/2))/(LN(2)/2)*HC125*HF125*VLOOKUP('Données projet'!$B$18,Paramètres!$A$1:$I$89,3,0)*0.475*44/12</f>
        <v>1.2193746373176507E-2</v>
      </c>
      <c r="HJ125" s="22">
        <f t="shared" si="84"/>
        <v>149.90177625827059</v>
      </c>
    </row>
    <row r="126" spans="1:218" x14ac:dyDescent="0.2">
      <c r="A126" s="10">
        <f t="shared" si="85"/>
        <v>123</v>
      </c>
      <c r="B126" s="71">
        <f>'Scénario référence'!$B$16*5+'Scénario référence'!$B$17*0+'Scénario référence'!$B$18*5</f>
        <v>3.3000000000000003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12.100000000000001</v>
      </c>
      <c r="H126" s="65">
        <f t="shared" si="56"/>
        <v>208.26666666666665</v>
      </c>
      <c r="I126" s="6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68.082810367033133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-1.1527845344971866E-13</v>
      </c>
      <c r="P126" s="13" t="e">
        <f t="shared" si="87"/>
        <v>#NUM!</v>
      </c>
      <c r="Q126" s="20" t="e">
        <f t="shared" si="107"/>
        <v>#NUM!</v>
      </c>
      <c r="R126" s="57" t="e">
        <f t="shared" si="55"/>
        <v>#NUM!</v>
      </c>
      <c r="S126" s="57">
        <f ca="1">AVERAGE(OFFSET($R$3,0,0,'Données projet'!$E$9+1,1))-AVERAGE(OFFSET($H$3,0,0,'Données projet'!$E$9+1,1))</f>
        <v>332.70145542047612</v>
      </c>
      <c r="T126" s="57">
        <f t="shared" si="88"/>
        <v>172.22433737900428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106.98644357898766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106.98644357898766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68.082810367033133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6.7941666666666691</v>
      </c>
      <c r="AI126" s="13">
        <f>IF('Données projet'!$A$62&gt;35,AI125+AH126-AQ125,IF(A126&lt;'Données projet'!$A$62,$AF$205^A126,IF(A126='Données projet'!$A$62,'Données projet'!$B$62,AI125+AH126-AQ125)))</f>
        <v>340.45166666666682</v>
      </c>
      <c r="AJ126" s="13">
        <f>AI126*VLOOKUP('Données projet'!$B$10,Paramètres!$A$1:$I$89,3,0)*VLOOKUP('Données projet'!$B$10,Paramètres!$A$1:$I$89,5,0)</f>
        <v>308.04066800000015</v>
      </c>
      <c r="AK126" s="13">
        <f t="shared" si="89"/>
        <v>72.859492792647174</v>
      </c>
      <c r="AL126" s="20">
        <f t="shared" si="58"/>
        <v>663.40111338052748</v>
      </c>
      <c r="AM126" s="57">
        <f t="shared" si="59"/>
        <v>949.7047513929823</v>
      </c>
      <c r="AN126" s="57">
        <f ca="1">AVERAGE(OFFSET($AM$3,0,0,'Données projet'!$E$10+1,1))-AVERAGE(OFFSET($H$3,0,0,'Données projet'!$E$10+1,1))</f>
        <v>469.4210143164521</v>
      </c>
      <c r="AO126" s="57">
        <f t="shared" si="90"/>
        <v>308.4508386530556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28.853569880362354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28.853569880362354</v>
      </c>
      <c r="AY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68.082810367033133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7" t="e">
        <f t="shared" si="62"/>
        <v>#NUM!</v>
      </c>
      <c r="BI126" s="57">
        <f ca="1">AVERAGE(OFFSET($BH$3,0,0,'Données projet'!$E$11+1,1))-AVERAGE(OFFSET($H$3,0,0,'Données projet'!$E$11+1,1))</f>
        <v>344.32981377462971</v>
      </c>
      <c r="BJ126" s="57">
        <f t="shared" si="92"/>
        <v>334.42512656625763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49.540131552683214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49.540131552683214</v>
      </c>
      <c r="BT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68.082810367033133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4.5474735088646412E-13</v>
      </c>
      <c r="BZ126" s="13">
        <f>BY126*VLOOKUP('Données projet'!$B$12,Paramètres!$A$1:$I$89,3,0)*VLOOKUP('Données projet'!$B$12,Paramètres!$A$1:$I$89,5,0)</f>
        <v>4.3273757910355926E-13</v>
      </c>
      <c r="CA126" s="13">
        <f t="shared" si="93"/>
        <v>5.4817614357080839E-12</v>
      </c>
      <c r="CB126" s="20">
        <f t="shared" si="64"/>
        <v>1.0301085784130276E-11</v>
      </c>
      <c r="CC126" s="57">
        <f t="shared" si="65"/>
        <v>286.30363801246511</v>
      </c>
      <c r="CD126" s="57">
        <f ca="1">AVERAGE(OFFSET($CC$3,0,0,'Données projet'!$E$12+1,1))-AVERAGE(OFFSET($H$3,0,0,'Données projet'!$E$12+1,1))</f>
        <v>498.77732039282807</v>
      </c>
      <c r="CE126" s="57">
        <f t="shared" si="94"/>
        <v>384.57317421826531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174.39065917224042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174.39065917224042</v>
      </c>
      <c r="CO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68.082810367033133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6.7941666666666691</v>
      </c>
      <c r="CT126" s="12">
        <f>IF('Données projet'!$A$140&gt;35,CT125+CS126-DB125,IF(A126&lt;'Données projet'!$A$140,$CQ$205^A126,IF(A126='Données projet'!$A$140,'Données projet'!$B$140,CT125+CS126-DB125)))</f>
        <v>340.45166666666682</v>
      </c>
      <c r="CU126" s="17">
        <f>CT126*VLOOKUP('Données projet'!$B$13,Paramètres!$A$1:$I$89,3,0)*VLOOKUP('Données projet'!$B$13,Paramètres!$A$1:$I$89,5,0)</f>
        <v>228.37497800000008</v>
      </c>
      <c r="CV126" s="13">
        <f t="shared" si="95"/>
        <v>55.931168917567028</v>
      </c>
      <c r="CW126" s="20">
        <f t="shared" si="67"/>
        <v>495.16653921476268</v>
      </c>
      <c r="CX126" s="57">
        <f t="shared" si="68"/>
        <v>781.4701772272175</v>
      </c>
      <c r="CY126" s="57">
        <f ca="1">AVERAGE(OFFSET($CX$3,0,0,'Données projet'!$E$13+1,1))-AVERAGE(OFFSET($H$3,0,0,'Données projet'!$E$13+1,1))</f>
        <v>365.99625753737246</v>
      </c>
      <c r="CZ126" s="57">
        <f t="shared" si="96"/>
        <v>242.84814712692287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26.366193166538007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26.366193166538007</v>
      </c>
      <c r="DJ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68.082810367033133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2.2737367544323206E-13</v>
      </c>
      <c r="DP126" s="17">
        <f>DO126*VLOOKUP('Données projet'!$B$14,Paramètres!$A$1:$I$89,3,0)*VLOOKUP('Données projet'!$B$14,Paramètres!$A$1:$I$89,5,0)</f>
        <v>1.4897523215040565E-13</v>
      </c>
      <c r="DQ126" s="13">
        <f t="shared" si="97"/>
        <v>2.136562777003313E-12</v>
      </c>
      <c r="DR126" s="20">
        <f t="shared" si="70"/>
        <v>3.9806453659427267E-12</v>
      </c>
      <c r="DS126" s="57">
        <f t="shared" si="71"/>
        <v>286.3036380124588</v>
      </c>
      <c r="DT126" s="57">
        <f ca="1">AVERAGE(OFFSET($DS$3,0,0,'Données projet'!$E$14+1,1))-AVERAGE(OFFSET($H$3,0,0,'Données projet'!$E$14+1,1))</f>
        <v>313.79279628660527</v>
      </c>
      <c r="DU126" s="57">
        <f t="shared" si="98"/>
        <v>317.45469955216254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48.132830993489193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48.132830993489193</v>
      </c>
      <c r="EE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68.082810367033133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-1.1368683772161603E-13</v>
      </c>
      <c r="EK126" s="17">
        <f>EJ126*VLOOKUP('Données projet'!$B$15,Paramètres!$A$1:$I$89,3,0)*VLOOKUP('Données projet'!$B$15,Paramètres!$A$1:$I$89,5,0)</f>
        <v>-9.7543306765146564E-14</v>
      </c>
      <c r="EL126" s="13" t="e">
        <f t="shared" si="99"/>
        <v>#NUM!</v>
      </c>
      <c r="EM126" s="20" t="e">
        <f t="shared" si="73"/>
        <v>#NUM!</v>
      </c>
      <c r="EN126" s="57" t="e">
        <f t="shared" si="74"/>
        <v>#NUM!</v>
      </c>
      <c r="EO126" s="57">
        <f ca="1">AVERAGE(OFFSET($EN$3,0,0,'Données projet'!$E$15+1,1))-AVERAGE(OFFSET($H$3,0,0,'Données projet'!$E$15+1,1))</f>
        <v>643.04899298561475</v>
      </c>
      <c r="EP126" s="57">
        <f t="shared" si="100"/>
        <v>474.94999304483031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178.41077395232031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178.41077395232031</v>
      </c>
      <c r="EZ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68.082810367033133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>
        <f>FE126*VLOOKUP('Données projet'!$B$16,Paramètres!$A$1:$I$89,3,0)*VLOOKUP('Données projet'!$B$16,Paramètres!$A$1:$I$89,5,0)</f>
        <v>0</v>
      </c>
      <c r="FG126" s="13" t="e">
        <f t="shared" si="101"/>
        <v>#NUM!</v>
      </c>
      <c r="FH126" s="20" t="e">
        <f t="shared" si="76"/>
        <v>#NUM!</v>
      </c>
      <c r="FI126" s="57" t="e">
        <f t="shared" si="77"/>
        <v>#NUM!</v>
      </c>
      <c r="FJ126" s="57">
        <f ca="1">AVERAGE(OFFSET($FI$3,0,0,'Données projet'!$E$16+1,1))-AVERAGE(OFFSET($H$3,0,0,'Données projet'!$E$16+1,1))</f>
        <v>375.34603719604439</v>
      </c>
      <c r="FK126" s="57">
        <f t="shared" si="102"/>
        <v>363.99476973672211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67.556953270259754</v>
      </c>
      <c r="FR126" s="21">
        <f>EXP(-LN(2)/25)*FR125+(1-EXP(-LN(2)/25))/(LN(2)/25)*Calculateur!FM126*Calculateur!FO126*VLOOKUP('Données projet'!$B$16,Paramètres!$A$1:$I$89,3,0)*0.475*44/12</f>
        <v>0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67.556953270259754</v>
      </c>
      <c r="FU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68.082810367033133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-1.1368683772161603E-13</v>
      </c>
      <c r="GA126" s="17">
        <f>FZ126*VLOOKUP('Données projet'!$B$17,Paramètres!$A$1:$I$89,3,0)*VLOOKUP('Données projet'!$B$17,Paramètres!$A$1:$I$89,5,0)</f>
        <v>-6.3550942286383367E-14</v>
      </c>
      <c r="GB126" s="13" t="e">
        <f t="shared" si="103"/>
        <v>#NUM!</v>
      </c>
      <c r="GC126" s="20" t="e">
        <f t="shared" si="79"/>
        <v>#NUM!</v>
      </c>
      <c r="GD126" s="57" t="e">
        <f t="shared" si="80"/>
        <v>#NUM!</v>
      </c>
      <c r="GE126" s="57">
        <f ca="1">AVERAGE(OFFSET($GD$3,0,0,'Données projet'!$E$17+1,1))-AVERAGE(OFFSET($H$3,0,0,'Données projet'!$E$17+1,1))</f>
        <v>414.47327143450701</v>
      </c>
      <c r="GF126" s="57">
        <f t="shared" si="104"/>
        <v>546.83385887302961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76.795976388049425</v>
      </c>
      <c r="GM126" s="21">
        <f>EXP(-LN(2)/25)*GM125+(1-EXP(-LN(2)/25))/(LN(2)/25)*Calculateur!GH126*Calculateur!GJ126*VLOOKUP('Données projet'!$B$17,Paramètres!$A$1:$I$89,3,0)*0.475*44/12</f>
        <v>9.3985864347034198</v>
      </c>
      <c r="GN126" s="21">
        <f>EXP(-LN(2)/2)*GN125+(1-EXP(-LN(2)/2))/(LN(2)/2)*GH126*GK126*VLOOKUP('Données projet'!$B$17,Paramètres!$A$1:$I$89,3,0)*0.475*44/12</f>
        <v>1.7100330719304139E-9</v>
      </c>
      <c r="GO126" s="21">
        <f t="shared" si="81"/>
        <v>86.194562824462878</v>
      </c>
      <c r="GP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68.082810367033133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-2.2737367544323206E-13</v>
      </c>
      <c r="GV126" s="17">
        <f>GU126*VLOOKUP('Données projet'!$B$18,Paramètres!$A$1:$I$89,3,0)*VLOOKUP('Données projet'!$B$18,Paramètres!$A$1:$I$89,5,0)</f>
        <v>-1.2414602679200471E-13</v>
      </c>
      <c r="GW126" s="13" t="e">
        <f t="shared" si="105"/>
        <v>#NUM!</v>
      </c>
      <c r="GX126" s="20" t="e">
        <f t="shared" si="82"/>
        <v>#NUM!</v>
      </c>
      <c r="GY126" s="57" t="e">
        <f t="shared" si="83"/>
        <v>#NUM!</v>
      </c>
      <c r="GZ126" s="57">
        <f ca="1">AVERAGE(OFFSET($GY$3,0,0,'Données projet'!$E$18+1,1))-AVERAGE(OFFSET($H$3,0,0,'Données projet'!$E$18+1,1))</f>
        <v>381.00532469288714</v>
      </c>
      <c r="HA126" s="57">
        <f t="shared" si="106"/>
        <v>314.875259641757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>
        <f>EXP(-LN(2)/35)*HG125+(1-EXP(-LN(2)/35))/(LN(2)/35)*HC126*HD126*VLOOKUP('Données projet'!$B$18,Paramètres!$A$1:$I$89,3,0)*0.475*44/12</f>
        <v>129.37403947377948</v>
      </c>
      <c r="HH126" s="21">
        <f>EXP(-LN(2)/25)*HH125+(1-EXP(-LN(2)/25))/(LN(2)/25)*Calculateur!HC126*Calculateur!HE126*VLOOKUP('Données projet'!$B$18,Paramètres!$A$1:$I$89,3,0)*0.475*44/12</f>
        <v>17.43761592004925</v>
      </c>
      <c r="HI126" s="21">
        <f>EXP(-LN(2)/2)*HI125+(1-EXP(-LN(2)/2))/(LN(2)/2)*HC126*HF126*VLOOKUP('Données projet'!$B$18,Paramètres!$A$1:$I$89,3,0)*0.475*44/12</f>
        <v>8.6222807485419779E-3</v>
      </c>
      <c r="HJ126" s="22">
        <f t="shared" si="84"/>
        <v>146.82027767457726</v>
      </c>
    </row>
    <row r="127" spans="1:218" x14ac:dyDescent="0.2">
      <c r="A127" s="10">
        <f t="shared" si="85"/>
        <v>124</v>
      </c>
      <c r="B127" s="71">
        <f>'Scénario référence'!$B$16*5+'Scénario référence'!$B$17*0+'Scénario référence'!$B$18*5</f>
        <v>3.3000000000000003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12.100000000000001</v>
      </c>
      <c r="H127" s="65">
        <f t="shared" si="56"/>
        <v>208.26666666666665</v>
      </c>
      <c r="I127" s="6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68.116069320971206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-1.1527845344971866E-13</v>
      </c>
      <c r="P127" s="13" t="e">
        <f t="shared" si="87"/>
        <v>#NUM!</v>
      </c>
      <c r="Q127" s="20" t="e">
        <f t="shared" si="107"/>
        <v>#NUM!</v>
      </c>
      <c r="R127" s="57" t="e">
        <f t="shared" si="55"/>
        <v>#NUM!</v>
      </c>
      <c r="S127" s="57">
        <f ca="1">AVERAGE(OFFSET($R$3,0,0,'Données projet'!$E$9+1,1))-AVERAGE(OFFSET($H$3,0,0,'Données projet'!$E$9+1,1))</f>
        <v>332.70145542047612</v>
      </c>
      <c r="T127" s="57">
        <f t="shared" si="88"/>
        <v>172.22433737900428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104.88850467569087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104.88850467569087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68.116069320971206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6.7941666666666691</v>
      </c>
      <c r="AI127" s="13">
        <f>IF('Données projet'!$A$62&gt;35,AI126+AH127-AQ126,IF(A127&lt;'Données projet'!$A$62,$AF$205^A127,IF(A127='Données projet'!$A$62,'Données projet'!$B$62,AI126+AH127-AQ126)))</f>
        <v>347.24583333333351</v>
      </c>
      <c r="AJ127" s="13">
        <f>AI127*VLOOKUP('Données projet'!$B$10,Paramètres!$A$1:$I$89,3,0)*VLOOKUP('Données projet'!$B$10,Paramètres!$A$1:$I$89,5,0)</f>
        <v>314.18803000000014</v>
      </c>
      <c r="AK127" s="13">
        <f t="shared" si="89"/>
        <v>74.142773264538548</v>
      </c>
      <c r="AL127" s="20">
        <f t="shared" si="58"/>
        <v>676.34281568573817</v>
      </c>
      <c r="AM127" s="57">
        <f t="shared" si="59"/>
        <v>962.7684031959659</v>
      </c>
      <c r="AN127" s="57">
        <f ca="1">AVERAGE(OFFSET($AM$3,0,0,'Données projet'!$E$10+1,1))-AVERAGE(OFFSET($H$3,0,0,'Données projet'!$E$10+1,1))</f>
        <v>469.4210143164521</v>
      </c>
      <c r="AO127" s="57">
        <f t="shared" si="90"/>
        <v>308.4508386530556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28.287768973948324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28.287768973948324</v>
      </c>
      <c r="AY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68.116069320971206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7" t="e">
        <f t="shared" si="62"/>
        <v>#NUM!</v>
      </c>
      <c r="BI127" s="57">
        <f ca="1">AVERAGE(OFFSET($BH$3,0,0,'Données projet'!$E$11+1,1))-AVERAGE(OFFSET($H$3,0,0,'Données projet'!$E$11+1,1))</f>
        <v>344.32981377462971</v>
      </c>
      <c r="BJ127" s="57">
        <f t="shared" si="92"/>
        <v>334.42512656625763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48.568679789431712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48.568679789431712</v>
      </c>
      <c r="BT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68.116069320971206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4.5474735088646412E-13</v>
      </c>
      <c r="BZ127" s="13">
        <f>BY127*VLOOKUP('Données projet'!$B$12,Paramètres!$A$1:$I$89,3,0)*VLOOKUP('Données projet'!$B$12,Paramètres!$A$1:$I$89,5,0)</f>
        <v>4.3273757910355926E-13</v>
      </c>
      <c r="CA127" s="13">
        <f t="shared" si="93"/>
        <v>5.4817614357080839E-12</v>
      </c>
      <c r="CB127" s="20">
        <f t="shared" si="64"/>
        <v>1.0301085784130276E-11</v>
      </c>
      <c r="CC127" s="57">
        <f t="shared" si="65"/>
        <v>286.42558751023807</v>
      </c>
      <c r="CD127" s="57">
        <f ca="1">AVERAGE(OFFSET($CC$3,0,0,'Données projet'!$E$12+1,1))-AVERAGE(OFFSET($H$3,0,0,'Données projet'!$E$12+1,1))</f>
        <v>498.77732039282807</v>
      </c>
      <c r="CE127" s="57">
        <f t="shared" si="94"/>
        <v>384.57317421826531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170.97096471367192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170.97096471367192</v>
      </c>
      <c r="CO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68.116069320971206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6.7941666666666691</v>
      </c>
      <c r="CT127" s="12">
        <f>IF('Données projet'!$A$140&gt;35,CT126+CS127-DB126,IF(A127&lt;'Données projet'!$A$140,$CQ$205^A127,IF(A127='Données projet'!$A$140,'Données projet'!$B$140,CT126+CS127-DB126)))</f>
        <v>347.24583333333351</v>
      </c>
      <c r="CU127" s="17">
        <f>CT127*VLOOKUP('Données projet'!$B$13,Paramètres!$A$1:$I$89,3,0)*VLOOKUP('Données projet'!$B$13,Paramètres!$A$1:$I$89,5,0)</f>
        <v>232.93250500000013</v>
      </c>
      <c r="CV127" s="13">
        <f t="shared" si="95"/>
        <v>56.916289374639689</v>
      </c>
      <c r="CW127" s="20">
        <f t="shared" si="67"/>
        <v>504.81998353583111</v>
      </c>
      <c r="CX127" s="57">
        <f t="shared" si="68"/>
        <v>791.2455710460589</v>
      </c>
      <c r="CY127" s="57">
        <f ca="1">AVERAGE(OFFSET($CX$3,0,0,'Données projet'!$E$13+1,1))-AVERAGE(OFFSET($H$3,0,0,'Données projet'!$E$13+1,1))</f>
        <v>365.99625753737246</v>
      </c>
      <c r="CZ127" s="57">
        <f t="shared" si="96"/>
        <v>242.84814712692287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25.849168200332084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25.849168200332084</v>
      </c>
      <c r="DJ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68.116069320971206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2.2737367544323206E-13</v>
      </c>
      <c r="DP127" s="17">
        <f>DO127*VLOOKUP('Données projet'!$B$14,Paramètres!$A$1:$I$89,3,0)*VLOOKUP('Données projet'!$B$14,Paramètres!$A$1:$I$89,5,0)</f>
        <v>1.4897523215040565E-13</v>
      </c>
      <c r="DQ127" s="13">
        <f t="shared" si="97"/>
        <v>2.136562777003313E-12</v>
      </c>
      <c r="DR127" s="20">
        <f t="shared" si="70"/>
        <v>3.9806453659427267E-12</v>
      </c>
      <c r="DS127" s="57">
        <f t="shared" si="71"/>
        <v>286.42558751023176</v>
      </c>
      <c r="DT127" s="57">
        <f ca="1">AVERAGE(OFFSET($DS$3,0,0,'Données projet'!$E$14+1,1))-AVERAGE(OFFSET($H$3,0,0,'Données projet'!$E$14+1,1))</f>
        <v>313.79279628660527</v>
      </c>
      <c r="DU127" s="57">
        <f t="shared" si="98"/>
        <v>317.45469955216254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47.188975535834899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47.188975535834899</v>
      </c>
      <c r="EE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68.116069320971206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-1.1368683772161603E-13</v>
      </c>
      <c r="EK127" s="17">
        <f>EJ127*VLOOKUP('Données projet'!$B$15,Paramètres!$A$1:$I$89,3,0)*VLOOKUP('Données projet'!$B$15,Paramètres!$A$1:$I$89,5,0)</f>
        <v>-9.7543306765146564E-14</v>
      </c>
      <c r="EL127" s="13" t="e">
        <f t="shared" si="99"/>
        <v>#NUM!</v>
      </c>
      <c r="EM127" s="20" t="e">
        <f t="shared" si="73"/>
        <v>#NUM!</v>
      </c>
      <c r="EN127" s="57" t="e">
        <f t="shared" si="74"/>
        <v>#NUM!</v>
      </c>
      <c r="EO127" s="57">
        <f ca="1">AVERAGE(OFFSET($EN$3,0,0,'Données projet'!$E$15+1,1))-AVERAGE(OFFSET($H$3,0,0,'Données projet'!$E$15+1,1))</f>
        <v>643.04899298561475</v>
      </c>
      <c r="EP127" s="57">
        <f t="shared" si="100"/>
        <v>474.94999304483031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174.91224749494236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174.91224749494236</v>
      </c>
      <c r="EZ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68.116069320971206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>
        <f>FE127*VLOOKUP('Données projet'!$B$16,Paramètres!$A$1:$I$89,3,0)*VLOOKUP('Données projet'!$B$16,Paramètres!$A$1:$I$89,5,0)</f>
        <v>0</v>
      </c>
      <c r="FG127" s="13" t="e">
        <f t="shared" si="101"/>
        <v>#NUM!</v>
      </c>
      <c r="FH127" s="20" t="e">
        <f t="shared" si="76"/>
        <v>#NUM!</v>
      </c>
      <c r="FI127" s="57" t="e">
        <f t="shared" si="77"/>
        <v>#NUM!</v>
      </c>
      <c r="FJ127" s="57">
        <f ca="1">AVERAGE(OFFSET($FI$3,0,0,'Données projet'!$E$16+1,1))-AVERAGE(OFFSET($H$3,0,0,'Données projet'!$E$16+1,1))</f>
        <v>375.34603719604439</v>
      </c>
      <c r="FK127" s="57">
        <f t="shared" si="102"/>
        <v>363.99476973672211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66.232202622302736</v>
      </c>
      <c r="FR127" s="21">
        <f>EXP(-LN(2)/25)*FR126+(1-EXP(-LN(2)/25))/(LN(2)/25)*Calculateur!FM127*Calculateur!FO127*VLOOKUP('Données projet'!$B$16,Paramètres!$A$1:$I$89,3,0)*0.475*44/12</f>
        <v>0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66.232202622302736</v>
      </c>
      <c r="FU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68.116069320971206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-1.1368683772161603E-13</v>
      </c>
      <c r="GA127" s="17">
        <f>FZ127*VLOOKUP('Données projet'!$B$17,Paramètres!$A$1:$I$89,3,0)*VLOOKUP('Données projet'!$B$17,Paramètres!$A$1:$I$89,5,0)</f>
        <v>-6.3550942286383367E-14</v>
      </c>
      <c r="GB127" s="13" t="e">
        <f t="shared" si="103"/>
        <v>#NUM!</v>
      </c>
      <c r="GC127" s="20" t="e">
        <f t="shared" si="79"/>
        <v>#NUM!</v>
      </c>
      <c r="GD127" s="57" t="e">
        <f t="shared" si="80"/>
        <v>#NUM!</v>
      </c>
      <c r="GE127" s="57">
        <f ca="1">AVERAGE(OFFSET($GD$3,0,0,'Données projet'!$E$17+1,1))-AVERAGE(OFFSET($H$3,0,0,'Données projet'!$E$17+1,1))</f>
        <v>414.47327143450701</v>
      </c>
      <c r="GF127" s="57">
        <f t="shared" si="104"/>
        <v>546.83385887302961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75.290054132000222</v>
      </c>
      <c r="GM127" s="21">
        <f>EXP(-LN(2)/25)*GM126+(1-EXP(-LN(2)/25))/(LN(2)/25)*Calculateur!GH127*Calculateur!GJ127*VLOOKUP('Données projet'!$B$17,Paramètres!$A$1:$I$89,3,0)*0.475*44/12</f>
        <v>9.1415815943962748</v>
      </c>
      <c r="GN127" s="21">
        <f>EXP(-LN(2)/2)*GN126+(1-EXP(-LN(2)/2))/(LN(2)/2)*GH127*GK127*VLOOKUP('Données projet'!$B$17,Paramètres!$A$1:$I$89,3,0)*0.475*44/12</f>
        <v>1.2091759812152588E-9</v>
      </c>
      <c r="GO127" s="21">
        <f t="shared" si="81"/>
        <v>84.431635727605666</v>
      </c>
      <c r="GP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68.116069320971206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-2.2737367544323206E-13</v>
      </c>
      <c r="GV127" s="17">
        <f>GU127*VLOOKUP('Données projet'!$B$18,Paramètres!$A$1:$I$89,3,0)*VLOOKUP('Données projet'!$B$18,Paramètres!$A$1:$I$89,5,0)</f>
        <v>-1.2414602679200471E-13</v>
      </c>
      <c r="GW127" s="13" t="e">
        <f t="shared" si="105"/>
        <v>#NUM!</v>
      </c>
      <c r="GX127" s="20" t="e">
        <f t="shared" si="82"/>
        <v>#NUM!</v>
      </c>
      <c r="GY127" s="57" t="e">
        <f t="shared" si="83"/>
        <v>#NUM!</v>
      </c>
      <c r="GZ127" s="57">
        <f ca="1">AVERAGE(OFFSET($GY$3,0,0,'Données projet'!$E$18+1,1))-AVERAGE(OFFSET($H$3,0,0,'Données projet'!$E$18+1,1))</f>
        <v>381.00532469288714</v>
      </c>
      <c r="HA127" s="57">
        <f t="shared" si="106"/>
        <v>314.875259641757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>
        <f>EXP(-LN(2)/35)*HG126+(1-EXP(-LN(2)/35))/(LN(2)/35)*HC127*HD127*VLOOKUP('Données projet'!$B$18,Paramètres!$A$1:$I$89,3,0)*0.475*44/12</f>
        <v>126.83709347007098</v>
      </c>
      <c r="HH127" s="21">
        <f>EXP(-LN(2)/25)*HH126+(1-EXP(-LN(2)/25))/(LN(2)/25)*Calculateur!HC127*Calculateur!HE127*VLOOKUP('Données projet'!$B$18,Paramètres!$A$1:$I$89,3,0)*0.475*44/12</f>
        <v>16.960783395711136</v>
      </c>
      <c r="HI127" s="21">
        <f>EXP(-LN(2)/2)*HI126+(1-EXP(-LN(2)/2))/(LN(2)/2)*HC127*HF127*VLOOKUP('Données projet'!$B$18,Paramètres!$A$1:$I$89,3,0)*0.475*44/12</f>
        <v>6.0968731865882536E-3</v>
      </c>
      <c r="HJ127" s="22">
        <f t="shared" si="84"/>
        <v>143.80397373896869</v>
      </c>
    </row>
    <row r="128" spans="1:218" x14ac:dyDescent="0.2">
      <c r="A128" s="10">
        <f t="shared" si="85"/>
        <v>125</v>
      </c>
      <c r="B128" s="71">
        <f>'Scénario référence'!$B$16*5+'Scénario référence'!$B$17*0+'Scénario référence'!$B$18*5</f>
        <v>3.3000000000000003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12.100000000000001</v>
      </c>
      <c r="H128" s="65">
        <f t="shared" si="56"/>
        <v>208.26666666666665</v>
      </c>
      <c r="I128" s="6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68.148751306414326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-1.1527845344971866E-13</v>
      </c>
      <c r="P128" s="13" t="e">
        <f t="shared" si="87"/>
        <v>#NUM!</v>
      </c>
      <c r="Q128" s="20" t="e">
        <f t="shared" si="107"/>
        <v>#NUM!</v>
      </c>
      <c r="R128" s="57" t="e">
        <f t="shared" si="55"/>
        <v>#NUM!</v>
      </c>
      <c r="S128" s="57">
        <f ca="1">AVERAGE(OFFSET($R$3,0,0,'Données projet'!$E$9+1,1))-AVERAGE(OFFSET($H$3,0,0,'Données projet'!$E$9+1,1))</f>
        <v>332.70145542047612</v>
      </c>
      <c r="T128" s="57">
        <f t="shared" si="88"/>
        <v>172.22433737900428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102.83170507467135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102.83170507467135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68.148751306414326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>
        <f>VLOOKUP(A128,'Données projet'!$A$61:$I$81,2,0)</f>
        <v>354.04</v>
      </c>
      <c r="AG128" s="12">
        <f>VLOOKUP(A128,'Données projet'!$A$61:$I$81,9,0)</f>
        <v>6.7941666666666691</v>
      </c>
      <c r="AH128" s="12">
        <f t="array" ref="AH128">INDEX(AG:AG,MIN(IF(ISNUMBER(AG128:AG324),ROW(AG128:AG324),"")))</f>
        <v>6.7941666666666691</v>
      </c>
      <c r="AI128" s="13">
        <f>IF('Données projet'!$A$62&gt;35,AI127+AH128-AQ127,IF(A128&lt;'Données projet'!$A$62,$AF$205^A128,IF(A128='Données projet'!$A$62,'Données projet'!$B$62,AI127+AH128-AQ127)))</f>
        <v>354.04000000000019</v>
      </c>
      <c r="AJ128" s="13">
        <f>AI128*VLOOKUP('Données projet'!$B$10,Paramètres!$A$1:$I$89,3,0)*VLOOKUP('Données projet'!$B$10,Paramètres!$A$1:$I$89,5,0)</f>
        <v>320.33539200000018</v>
      </c>
      <c r="AK128" s="13">
        <f t="shared" si="89"/>
        <v>75.423134235891538</v>
      </c>
      <c r="AL128" s="20">
        <f t="shared" si="58"/>
        <v>689.27943319417807</v>
      </c>
      <c r="AM128" s="57">
        <f t="shared" si="59"/>
        <v>975.82485465103059</v>
      </c>
      <c r="AN128" s="57">
        <f ca="1">AVERAGE(OFFSET($AM$3,0,0,'Données projet'!$E$10+1,1))-AVERAGE(OFFSET($H$3,0,0,'Données projet'!$E$10+1,1))</f>
        <v>469.4210143164521</v>
      </c>
      <c r="AO128" s="57">
        <f t="shared" si="90"/>
        <v>308.4508386530556</v>
      </c>
      <c r="AP128" s="15">
        <f>IF(ISNA(VLOOKUP(A128,'Données projet'!$A$61:$I$81,3,0)),0,VLOOKUP(A128,'Données projet'!$A$61:$I$81,3,0))</f>
        <v>10</v>
      </c>
      <c r="AQ128" s="15">
        <f>IF(ISNA(VLOOKUP(A128,'Données projet'!$A$61:$I$81,4,0)),0,VLOOKUP(A128,'Données projet'!$A$61:$I$81,4,0))</f>
        <v>61.5</v>
      </c>
      <c r="AR128" s="16">
        <f>IF(ISNA(VLOOKUP(A128,'Données projet'!$A$61:$I$81,5,0)),0%,VLOOKUP(A128,'Données projet'!$A$61:$I$81,5,0)*VLOOKUP('Données projet'!$B$10,Paramètres!$A$1:$I$89,7,0))</f>
        <v>0.25800000000000001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43.603706131906826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43.603706131906826</v>
      </c>
      <c r="AY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68.148751306414326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7" t="e">
        <f t="shared" si="62"/>
        <v>#NUM!</v>
      </c>
      <c r="BI128" s="57">
        <f ca="1">AVERAGE(OFFSET($BH$3,0,0,'Données projet'!$E$11+1,1))-AVERAGE(OFFSET($H$3,0,0,'Données projet'!$E$11+1,1))</f>
        <v>344.32981377462971</v>
      </c>
      <c r="BJ128" s="57">
        <f t="shared" si="92"/>
        <v>334.42512656625763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47.616277602730506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47.616277602730506</v>
      </c>
      <c r="BT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68.148751306414326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4.5474735088646412E-13</v>
      </c>
      <c r="BZ128" s="13">
        <f>BY128*VLOOKUP('Données projet'!$B$12,Paramètres!$A$1:$I$89,3,0)*VLOOKUP('Données projet'!$B$12,Paramètres!$A$1:$I$89,5,0)</f>
        <v>4.3273757910355926E-13</v>
      </c>
      <c r="CA128" s="13">
        <f t="shared" si="93"/>
        <v>5.4817614357080839E-12</v>
      </c>
      <c r="CB128" s="20">
        <f t="shared" si="64"/>
        <v>1.0301085784130276E-11</v>
      </c>
      <c r="CC128" s="57">
        <f t="shared" si="65"/>
        <v>286.54542145686281</v>
      </c>
      <c r="CD128" s="57">
        <f ca="1">AVERAGE(OFFSET($CC$3,0,0,'Données projet'!$E$12+1,1))-AVERAGE(OFFSET($H$3,0,0,'Données projet'!$E$12+1,1))</f>
        <v>498.77732039282807</v>
      </c>
      <c r="CE128" s="57">
        <f t="shared" si="94"/>
        <v>384.57317421826531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167.6183283776283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167.6183283776283</v>
      </c>
      <c r="CO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68.148751306414326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>
        <f>VLOOKUP(A128,'Données projet'!$A$139:$I$159,2,0)</f>
        <v>354.04</v>
      </c>
      <c r="CR128" s="12">
        <f>VLOOKUP(A128,'Données projet'!$A$139:$I$159,9,0)</f>
        <v>6.7941666666666691</v>
      </c>
      <c r="CS128" s="12">
        <f t="array" ref="CS128">INDEX(CR:CR,MIN(IF(ISNUMBER(CR128:CR324),ROW(CR128:CR324),"")))</f>
        <v>6.7941666666666691</v>
      </c>
      <c r="CT128" s="12">
        <f>IF('Données projet'!$A$140&gt;35,CT127+CS128-DB127,IF(A128&lt;'Données projet'!$A$140,$CQ$205^A128,IF(A128='Données projet'!$A$140,'Données projet'!$B$140,CT127+CS128-DB127)))</f>
        <v>354.04000000000019</v>
      </c>
      <c r="CU128" s="17">
        <f>CT128*VLOOKUP('Données projet'!$B$13,Paramètres!$A$1:$I$89,3,0)*VLOOKUP('Données projet'!$B$13,Paramètres!$A$1:$I$89,5,0)</f>
        <v>237.49003200000016</v>
      </c>
      <c r="CV128" s="13">
        <f t="shared" si="95"/>
        <v>57.899168653912199</v>
      </c>
      <c r="CW128" s="20">
        <f t="shared" si="67"/>
        <v>514.46952447223055</v>
      </c>
      <c r="CX128" s="57">
        <f t="shared" si="68"/>
        <v>801.01494592908307</v>
      </c>
      <c r="CY128" s="57">
        <f ca="1">AVERAGE(OFFSET($CX$3,0,0,'Données projet'!$E$13+1,1))-AVERAGE(OFFSET($H$3,0,0,'Données projet'!$E$13+1,1))</f>
        <v>365.99625753737246</v>
      </c>
      <c r="CZ128" s="57">
        <f t="shared" si="96"/>
        <v>242.84814712692287</v>
      </c>
      <c r="DA128" s="15">
        <f>IF(ISNA(VLOOKUP(A128,'Données projet'!$A$139:$I$159,3,0)),0,VLOOKUP(A128,'Données projet'!$A$139:$I$159,3,0))</f>
        <v>10</v>
      </c>
      <c r="DB128" s="15">
        <f>IF(ISNA(VLOOKUP(A128,'Données projet'!$A$139:$I$159,4,0)),0,VLOOKUP(A128,'Données projet'!$A$139:$I$159,4,0))</f>
        <v>61.5</v>
      </c>
      <c r="DC128" s="16">
        <f>IF(ISNA(VLOOKUP(A128,'Données projet'!$A$139:$I$159,5,0)),0%,VLOOKUP(A128,'Données projet'!$A$139:$I$159,5,0)*VLOOKUP('Données projet'!$B$13,Paramètres!$A$1:$I$89,7,0))</f>
        <v>0.318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39.844765948121747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39.844765948121747</v>
      </c>
      <c r="DJ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68.148751306414326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2.2737367544323206E-13</v>
      </c>
      <c r="DP128" s="17">
        <f>DO128*VLOOKUP('Données projet'!$B$14,Paramètres!$A$1:$I$89,3,0)*VLOOKUP('Données projet'!$B$14,Paramètres!$A$1:$I$89,5,0)</f>
        <v>1.4897523215040565E-13</v>
      </c>
      <c r="DQ128" s="13">
        <f t="shared" si="97"/>
        <v>2.136562777003313E-12</v>
      </c>
      <c r="DR128" s="20">
        <f t="shared" si="70"/>
        <v>3.9806453659427267E-12</v>
      </c>
      <c r="DS128" s="57">
        <f t="shared" si="71"/>
        <v>286.5454214568565</v>
      </c>
      <c r="DT128" s="57">
        <f ca="1">AVERAGE(OFFSET($DS$3,0,0,'Données projet'!$E$14+1,1))-AVERAGE(OFFSET($H$3,0,0,'Données projet'!$E$14+1,1))</f>
        <v>313.79279628660527</v>
      </c>
      <c r="DU128" s="57">
        <f t="shared" si="98"/>
        <v>317.45469955216254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46.263628508010221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46.263628508010221</v>
      </c>
      <c r="EE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68.148751306414326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-1.1368683772161603E-13</v>
      </c>
      <c r="EK128" s="17">
        <f>EJ128*VLOOKUP('Données projet'!$B$15,Paramètres!$A$1:$I$89,3,0)*VLOOKUP('Données projet'!$B$15,Paramètres!$A$1:$I$89,5,0)</f>
        <v>-9.7543306765146564E-14</v>
      </c>
      <c r="EL128" s="13" t="e">
        <f t="shared" si="99"/>
        <v>#NUM!</v>
      </c>
      <c r="EM128" s="20" t="e">
        <f t="shared" si="73"/>
        <v>#NUM!</v>
      </c>
      <c r="EN128" s="57" t="e">
        <f t="shared" si="74"/>
        <v>#NUM!</v>
      </c>
      <c r="EO128" s="57">
        <f ca="1">AVERAGE(OFFSET($EN$3,0,0,'Données projet'!$E$15+1,1))-AVERAGE(OFFSET($H$3,0,0,'Données projet'!$E$15+1,1))</f>
        <v>643.04899298561475</v>
      </c>
      <c r="EP128" s="57">
        <f t="shared" si="100"/>
        <v>474.94999304483031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171.48232500750316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171.48232500750316</v>
      </c>
      <c r="EZ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68.148751306414326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>
        <f>FE128*VLOOKUP('Données projet'!$B$16,Paramètres!$A$1:$I$89,3,0)*VLOOKUP('Données projet'!$B$16,Paramètres!$A$1:$I$89,5,0)</f>
        <v>0</v>
      </c>
      <c r="FG128" s="13" t="e">
        <f t="shared" si="101"/>
        <v>#NUM!</v>
      </c>
      <c r="FH128" s="20" t="e">
        <f t="shared" si="76"/>
        <v>#NUM!</v>
      </c>
      <c r="FI128" s="57" t="e">
        <f t="shared" si="77"/>
        <v>#NUM!</v>
      </c>
      <c r="FJ128" s="57">
        <f ca="1">AVERAGE(OFFSET($FI$3,0,0,'Données projet'!$E$16+1,1))-AVERAGE(OFFSET($H$3,0,0,'Données projet'!$E$16+1,1))</f>
        <v>375.34603719604439</v>
      </c>
      <c r="FK128" s="57">
        <f t="shared" si="102"/>
        <v>363.99476973672211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64.933429526534042</v>
      </c>
      <c r="FR128" s="21">
        <f>EXP(-LN(2)/25)*FR127+(1-EXP(-LN(2)/25))/(LN(2)/25)*Calculateur!FM128*Calculateur!FO128*VLOOKUP('Données projet'!$B$16,Paramètres!$A$1:$I$89,3,0)*0.475*44/12</f>
        <v>0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64.933429526534042</v>
      </c>
      <c r="FU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68.148751306414326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-1.1368683772161603E-13</v>
      </c>
      <c r="GA128" s="17">
        <f>FZ128*VLOOKUP('Données projet'!$B$17,Paramètres!$A$1:$I$89,3,0)*VLOOKUP('Données projet'!$B$17,Paramètres!$A$1:$I$89,5,0)</f>
        <v>-6.3550942286383367E-14</v>
      </c>
      <c r="GB128" s="13" t="e">
        <f t="shared" si="103"/>
        <v>#NUM!</v>
      </c>
      <c r="GC128" s="20" t="e">
        <f t="shared" si="79"/>
        <v>#NUM!</v>
      </c>
      <c r="GD128" s="57" t="e">
        <f t="shared" si="80"/>
        <v>#NUM!</v>
      </c>
      <c r="GE128" s="57">
        <f ca="1">AVERAGE(OFFSET($GD$3,0,0,'Données projet'!$E$17+1,1))-AVERAGE(OFFSET($H$3,0,0,'Données projet'!$E$17+1,1))</f>
        <v>414.47327143450701</v>
      </c>
      <c r="GF128" s="57">
        <f t="shared" si="104"/>
        <v>546.83385887302961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73.81366209287026</v>
      </c>
      <c r="GM128" s="21">
        <f>EXP(-LN(2)/25)*GM127+(1-EXP(-LN(2)/25))/(LN(2)/25)*Calculateur!GH128*Calculateur!GJ128*VLOOKUP('Données projet'!$B$17,Paramètres!$A$1:$I$89,3,0)*0.475*44/12</f>
        <v>8.8916045649626252</v>
      </c>
      <c r="GN128" s="21">
        <f>EXP(-LN(2)/2)*GN127+(1-EXP(-LN(2)/2))/(LN(2)/2)*GH128*GK128*VLOOKUP('Données projet'!$B$17,Paramètres!$A$1:$I$89,3,0)*0.475*44/12</f>
        <v>8.5501653596520695E-10</v>
      </c>
      <c r="GO128" s="21">
        <f t="shared" si="81"/>
        <v>82.70526665868789</v>
      </c>
      <c r="GP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68.148751306414326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-2.2737367544323206E-13</v>
      </c>
      <c r="GV128" s="17">
        <f>GU128*VLOOKUP('Données projet'!$B$18,Paramètres!$A$1:$I$89,3,0)*VLOOKUP('Données projet'!$B$18,Paramètres!$A$1:$I$89,5,0)</f>
        <v>-1.2414602679200471E-13</v>
      </c>
      <c r="GW128" s="13" t="e">
        <f t="shared" si="105"/>
        <v>#NUM!</v>
      </c>
      <c r="GX128" s="20" t="e">
        <f t="shared" si="82"/>
        <v>#NUM!</v>
      </c>
      <c r="GY128" s="57" t="e">
        <f t="shared" si="83"/>
        <v>#NUM!</v>
      </c>
      <c r="GZ128" s="57">
        <f ca="1">AVERAGE(OFFSET($GY$3,0,0,'Données projet'!$E$18+1,1))-AVERAGE(OFFSET($H$3,0,0,'Données projet'!$E$18+1,1))</f>
        <v>381.00532469288714</v>
      </c>
      <c r="HA128" s="57">
        <f t="shared" si="106"/>
        <v>314.875259641757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>
        <f>EXP(-LN(2)/35)*HG127+(1-EXP(-LN(2)/35))/(LN(2)/35)*HC128*HD128*VLOOKUP('Données projet'!$B$18,Paramètres!$A$1:$I$89,3,0)*0.475*44/12</f>
        <v>124.34989543011095</v>
      </c>
      <c r="HH128" s="21">
        <f>EXP(-LN(2)/25)*HH127+(1-EXP(-LN(2)/25))/(LN(2)/25)*Calculateur!HC128*Calculateur!HE128*VLOOKUP('Données projet'!$B$18,Paramètres!$A$1:$I$89,3,0)*0.475*44/12</f>
        <v>16.496989881826579</v>
      </c>
      <c r="HI128" s="21">
        <f>EXP(-LN(2)/2)*HI127+(1-EXP(-LN(2)/2))/(LN(2)/2)*HC128*HF128*VLOOKUP('Données projet'!$B$18,Paramètres!$A$1:$I$89,3,0)*0.475*44/12</f>
        <v>4.311140374270989E-3</v>
      </c>
      <c r="HJ128" s="22">
        <f t="shared" si="84"/>
        <v>140.8511964523118</v>
      </c>
    </row>
    <row r="129" spans="1:218" x14ac:dyDescent="0.2">
      <c r="A129" s="10">
        <f t="shared" si="85"/>
        <v>126</v>
      </c>
      <c r="B129" s="71">
        <f>'Scénario référence'!$B$16*5+'Scénario référence'!$B$17*0+'Scénario référence'!$B$18*5</f>
        <v>3.3000000000000003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12.100000000000001</v>
      </c>
      <c r="H129" s="65">
        <f t="shared" si="56"/>
        <v>208.26666666666665</v>
      </c>
      <c r="I129" s="6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68.180866332476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-1.1527845344971866E-13</v>
      </c>
      <c r="P129" s="13" t="e">
        <f t="shared" si="87"/>
        <v>#NUM!</v>
      </c>
      <c r="Q129" s="20" t="e">
        <f t="shared" si="107"/>
        <v>#NUM!</v>
      </c>
      <c r="R129" s="57" t="e">
        <f t="shared" si="55"/>
        <v>#NUM!</v>
      </c>
      <c r="S129" s="57">
        <f ca="1">AVERAGE(OFFSET($R$3,0,0,'Données projet'!$E$9+1,1))-AVERAGE(OFFSET($H$3,0,0,'Données projet'!$E$9+1,1))</f>
        <v>332.70145542047612</v>
      </c>
      <c r="T129" s="57">
        <f t="shared" si="88"/>
        <v>172.22433737900428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100.81523805930394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100.81523805930394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68.180866332476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6.7133333333333338</v>
      </c>
      <c r="AI129" s="13">
        <f>IF('Données projet'!$A$62&gt;35,AI128+AH129-AQ128,IF(A129&lt;'Données projet'!$A$62,$AF$205^A129,IF(A129='Données projet'!$A$62,'Données projet'!$B$62,AI128+AH129-AQ128)))</f>
        <v>299.2533333333335</v>
      </c>
      <c r="AJ129" s="13">
        <f>AI129*VLOOKUP('Données projet'!$B$10,Paramètres!$A$1:$I$89,3,0)*VLOOKUP('Données projet'!$B$10,Paramètres!$A$1:$I$89,5,0)</f>
        <v>270.76441600000015</v>
      </c>
      <c r="AK129" s="13">
        <f t="shared" si="89"/>
        <v>65.011470952689166</v>
      </c>
      <c r="AL129" s="20">
        <f t="shared" si="58"/>
        <v>584.80966977593391</v>
      </c>
      <c r="AM129" s="57">
        <f t="shared" si="59"/>
        <v>871.4728463283459</v>
      </c>
      <c r="AN129" s="57">
        <f ca="1">AVERAGE(OFFSET($AM$3,0,0,'Données projet'!$E$10+1,1))-AVERAGE(OFFSET($H$3,0,0,'Données projet'!$E$10+1,1))</f>
        <v>469.4210143164521</v>
      </c>
      <c r="AO129" s="57">
        <f t="shared" si="90"/>
        <v>308.4508386530556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42.748664050294771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42.748664050294771</v>
      </c>
      <c r="AY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68.180866332476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7" t="e">
        <f t="shared" si="62"/>
        <v>#NUM!</v>
      </c>
      <c r="BI129" s="57">
        <f ca="1">AVERAGE(OFFSET($BH$3,0,0,'Données projet'!$E$11+1,1))-AVERAGE(OFFSET($H$3,0,0,'Données projet'!$E$11+1,1))</f>
        <v>344.32981377462971</v>
      </c>
      <c r="BJ129" s="57">
        <f t="shared" si="92"/>
        <v>334.42512656625763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46.682551442002534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46.682551442002534</v>
      </c>
      <c r="BT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68.180866332476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4.5474735088646412E-13</v>
      </c>
      <c r="BZ129" s="13">
        <f>BY129*VLOOKUP('Données projet'!$B$12,Paramètres!$A$1:$I$89,3,0)*VLOOKUP('Données projet'!$B$12,Paramètres!$A$1:$I$89,5,0)</f>
        <v>4.3273757910355926E-13</v>
      </c>
      <c r="CA129" s="13">
        <f t="shared" si="93"/>
        <v>5.4817614357080839E-12</v>
      </c>
      <c r="CB129" s="20">
        <f t="shared" si="64"/>
        <v>1.0301085784130276E-11</v>
      </c>
      <c r="CC129" s="57">
        <f t="shared" si="65"/>
        <v>286.66317655242233</v>
      </c>
      <c r="CD129" s="57">
        <f ca="1">AVERAGE(OFFSET($CC$3,0,0,'Données projet'!$E$12+1,1))-AVERAGE(OFFSET($H$3,0,0,'Données projet'!$E$12+1,1))</f>
        <v>498.77732039282807</v>
      </c>
      <c r="CE129" s="57">
        <f t="shared" si="94"/>
        <v>384.57317421826531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164.33143519522824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164.33143519522824</v>
      </c>
      <c r="CO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68.180866332476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6.7133333333333338</v>
      </c>
      <c r="CT129" s="12">
        <f>IF('Données projet'!$A$140&gt;35,CT128+CS129-DB128,IF(A129&lt;'Données projet'!$A$140,$CQ$205^A129,IF(A129='Données projet'!$A$140,'Données projet'!$B$140,CT128+CS129-DB128)))</f>
        <v>299.2533333333335</v>
      </c>
      <c r="CU129" s="17">
        <f>CT129*VLOOKUP('Données projet'!$B$13,Paramètres!$A$1:$I$89,3,0)*VLOOKUP('Données projet'!$B$13,Paramètres!$A$1:$I$89,5,0)</f>
        <v>200.73913600000009</v>
      </c>
      <c r="CV129" s="13">
        <f t="shared" si="95"/>
        <v>49.906572555790753</v>
      </c>
      <c r="CW129" s="20">
        <f t="shared" si="67"/>
        <v>436.541275734669</v>
      </c>
      <c r="CX129" s="57">
        <f t="shared" si="68"/>
        <v>723.20445228708104</v>
      </c>
      <c r="CY129" s="57">
        <f ca="1">AVERAGE(OFFSET($CX$3,0,0,'Données projet'!$E$13+1,1))-AVERAGE(OFFSET($H$3,0,0,'Données projet'!$E$13+1,1))</f>
        <v>365.99625753737246</v>
      </c>
      <c r="CZ129" s="57">
        <f t="shared" si="96"/>
        <v>242.84814712692287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39.063434390786597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39.063434390786597</v>
      </c>
      <c r="DJ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68.180866332476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2.2737367544323206E-13</v>
      </c>
      <c r="DP129" s="17">
        <f>DO129*VLOOKUP('Données projet'!$B$14,Paramètres!$A$1:$I$89,3,0)*VLOOKUP('Données projet'!$B$14,Paramètres!$A$1:$I$89,5,0)</f>
        <v>1.4897523215040565E-13</v>
      </c>
      <c r="DQ129" s="13">
        <f t="shared" si="97"/>
        <v>2.136562777003313E-12</v>
      </c>
      <c r="DR129" s="20">
        <f t="shared" si="70"/>
        <v>3.9806453659427267E-12</v>
      </c>
      <c r="DS129" s="57">
        <f t="shared" si="71"/>
        <v>286.66317655241602</v>
      </c>
      <c r="DT129" s="57">
        <f ca="1">AVERAGE(OFFSET($DS$3,0,0,'Données projet'!$E$14+1,1))-AVERAGE(OFFSET($H$3,0,0,'Données projet'!$E$14+1,1))</f>
        <v>313.79279628660527</v>
      </c>
      <c r="DU129" s="57">
        <f t="shared" si="98"/>
        <v>317.45469955216254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45.35642697099523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45.35642697099523</v>
      </c>
      <c r="EE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68.180866332476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-1.1368683772161603E-13</v>
      </c>
      <c r="EK129" s="17">
        <f>EJ129*VLOOKUP('Données projet'!$B$15,Paramètres!$A$1:$I$89,3,0)*VLOOKUP('Données projet'!$B$15,Paramètres!$A$1:$I$89,5,0)</f>
        <v>-9.7543306765146564E-14</v>
      </c>
      <c r="EL129" s="13" t="e">
        <f t="shared" si="99"/>
        <v>#NUM!</v>
      </c>
      <c r="EM129" s="20" t="e">
        <f t="shared" si="73"/>
        <v>#NUM!</v>
      </c>
      <c r="EN129" s="57" t="e">
        <f t="shared" si="74"/>
        <v>#NUM!</v>
      </c>
      <c r="EO129" s="57">
        <f ca="1">AVERAGE(OFFSET($EN$3,0,0,'Données projet'!$E$15+1,1))-AVERAGE(OFFSET($H$3,0,0,'Données projet'!$E$15+1,1))</f>
        <v>643.04899298561475</v>
      </c>
      <c r="EP129" s="57">
        <f t="shared" si="100"/>
        <v>474.94999304483031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168.1196612079965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168.1196612079965</v>
      </c>
      <c r="EZ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68.180866332476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>
        <f>FE129*VLOOKUP('Données projet'!$B$16,Paramètres!$A$1:$I$89,3,0)*VLOOKUP('Données projet'!$B$16,Paramètres!$A$1:$I$89,5,0)</f>
        <v>0</v>
      </c>
      <c r="FG129" s="13" t="e">
        <f t="shared" si="101"/>
        <v>#NUM!</v>
      </c>
      <c r="FH129" s="20" t="e">
        <f t="shared" si="76"/>
        <v>#NUM!</v>
      </c>
      <c r="FI129" s="57" t="e">
        <f t="shared" si="77"/>
        <v>#NUM!</v>
      </c>
      <c r="FJ129" s="57">
        <f ca="1">AVERAGE(OFFSET($FI$3,0,0,'Données projet'!$E$16+1,1))-AVERAGE(OFFSET($H$3,0,0,'Données projet'!$E$16+1,1))</f>
        <v>375.34603719604439</v>
      </c>
      <c r="FK129" s="57">
        <f t="shared" si="102"/>
        <v>363.99476973672211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63.660124579000005</v>
      </c>
      <c r="FR129" s="21">
        <f>EXP(-LN(2)/25)*FR128+(1-EXP(-LN(2)/25))/(LN(2)/25)*Calculateur!FM129*Calculateur!FO129*VLOOKUP('Données projet'!$B$16,Paramètres!$A$1:$I$89,3,0)*0.475*44/12</f>
        <v>0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63.660124579000005</v>
      </c>
      <c r="FU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68.180866332476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-1.1368683772161603E-13</v>
      </c>
      <c r="GA129" s="17">
        <f>FZ129*VLOOKUP('Données projet'!$B$17,Paramètres!$A$1:$I$89,3,0)*VLOOKUP('Données projet'!$B$17,Paramètres!$A$1:$I$89,5,0)</f>
        <v>-6.3550942286383367E-14</v>
      </c>
      <c r="GB129" s="13" t="e">
        <f t="shared" si="103"/>
        <v>#NUM!</v>
      </c>
      <c r="GC129" s="20" t="e">
        <f t="shared" si="79"/>
        <v>#NUM!</v>
      </c>
      <c r="GD129" s="57" t="e">
        <f t="shared" si="80"/>
        <v>#NUM!</v>
      </c>
      <c r="GE129" s="57">
        <f ca="1">AVERAGE(OFFSET($GD$3,0,0,'Données projet'!$E$17+1,1))-AVERAGE(OFFSET($H$3,0,0,'Données projet'!$E$17+1,1))</f>
        <v>414.47327143450701</v>
      </c>
      <c r="GF129" s="57">
        <f t="shared" si="104"/>
        <v>546.83385887302961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72.366221201117412</v>
      </c>
      <c r="GM129" s="21">
        <f>EXP(-LN(2)/25)*GM128+(1-EXP(-LN(2)/25))/(LN(2)/25)*Calculateur!GH129*Calculateur!GJ129*VLOOKUP('Données projet'!$B$17,Paramètres!$A$1:$I$89,3,0)*0.475*44/12</f>
        <v>8.6484631705445594</v>
      </c>
      <c r="GN129" s="21">
        <f>EXP(-LN(2)/2)*GN128+(1-EXP(-LN(2)/2))/(LN(2)/2)*GH129*GK129*VLOOKUP('Données projet'!$B$17,Paramètres!$A$1:$I$89,3,0)*0.475*44/12</f>
        <v>6.0458799060762942E-10</v>
      </c>
      <c r="GO129" s="21">
        <f t="shared" si="81"/>
        <v>81.014684372266558</v>
      </c>
      <c r="GP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68.180866332476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-2.2737367544323206E-13</v>
      </c>
      <c r="GV129" s="17">
        <f>GU129*VLOOKUP('Données projet'!$B$18,Paramètres!$A$1:$I$89,3,0)*VLOOKUP('Données projet'!$B$18,Paramètres!$A$1:$I$89,5,0)</f>
        <v>-1.2414602679200471E-13</v>
      </c>
      <c r="GW129" s="13" t="e">
        <f t="shared" si="105"/>
        <v>#NUM!</v>
      </c>
      <c r="GX129" s="20" t="e">
        <f t="shared" si="82"/>
        <v>#NUM!</v>
      </c>
      <c r="GY129" s="57" t="e">
        <f t="shared" si="83"/>
        <v>#NUM!</v>
      </c>
      <c r="GZ129" s="57">
        <f ca="1">AVERAGE(OFFSET($GY$3,0,0,'Données projet'!$E$18+1,1))-AVERAGE(OFFSET($H$3,0,0,'Données projet'!$E$18+1,1))</f>
        <v>381.00532469288714</v>
      </c>
      <c r="HA129" s="57">
        <f t="shared" si="106"/>
        <v>314.875259641757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>
        <f>EXP(-LN(2)/35)*HG128+(1-EXP(-LN(2)/35))/(LN(2)/35)*HC129*HD129*VLOOKUP('Données projet'!$B$18,Paramètres!$A$1:$I$89,3,0)*0.475*44/12</f>
        <v>121.91146982667352</v>
      </c>
      <c r="HH129" s="21">
        <f>EXP(-LN(2)/25)*HH128+(1-EXP(-LN(2)/25))/(LN(2)/25)*Calculateur!HC129*Calculateur!HE129*VLOOKUP('Données projet'!$B$18,Paramètres!$A$1:$I$89,3,0)*0.475*44/12</f>
        <v>16.045878825969037</v>
      </c>
      <c r="HI129" s="21">
        <f>EXP(-LN(2)/2)*HI128+(1-EXP(-LN(2)/2))/(LN(2)/2)*HC129*HF129*VLOOKUP('Données projet'!$B$18,Paramètres!$A$1:$I$89,3,0)*0.475*44/12</f>
        <v>3.0484365932941268E-3</v>
      </c>
      <c r="HJ129" s="22">
        <f t="shared" si="84"/>
        <v>137.96039708923587</v>
      </c>
    </row>
    <row r="130" spans="1:218" x14ac:dyDescent="0.2">
      <c r="A130" s="10">
        <f t="shared" si="85"/>
        <v>127</v>
      </c>
      <c r="B130" s="71">
        <f>'Scénario référence'!$B$16*5+'Scénario référence'!$B$17*0+'Scénario référence'!$B$18*5</f>
        <v>3.3000000000000003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12.100000000000001</v>
      </c>
      <c r="H130" s="65">
        <f t="shared" si="56"/>
        <v>208.26666666666665</v>
      </c>
      <c r="I130" s="6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68.212424234633929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-1.1527845344971866E-13</v>
      </c>
      <c r="P130" s="13" t="e">
        <f t="shared" si="87"/>
        <v>#NUM!</v>
      </c>
      <c r="Q130" s="20" t="e">
        <f t="shared" si="107"/>
        <v>#NUM!</v>
      </c>
      <c r="R130" s="57" t="e">
        <f t="shared" si="55"/>
        <v>#NUM!</v>
      </c>
      <c r="S130" s="57">
        <f ca="1">AVERAGE(OFFSET($R$3,0,0,'Données projet'!$E$9+1,1))-AVERAGE(OFFSET($H$3,0,0,'Données projet'!$E$9+1,1))</f>
        <v>332.70145542047612</v>
      </c>
      <c r="T130" s="57">
        <f t="shared" si="88"/>
        <v>172.22433737900428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98.838312732184448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98.838312732184448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68.212424234633929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6.7133333333333338</v>
      </c>
      <c r="AI130" s="13">
        <f>IF('Données projet'!$A$62&gt;35,AI129+AH130-AQ129,IF(A130&lt;'Données projet'!$A$62,$AF$205^A130,IF(A130='Données projet'!$A$62,'Données projet'!$B$62,AI129+AH130-AQ129)))</f>
        <v>305.96666666666681</v>
      </c>
      <c r="AJ130" s="13">
        <f>AI130*VLOOKUP('Données projet'!$B$10,Paramètres!$A$1:$I$89,3,0)*VLOOKUP('Données projet'!$B$10,Paramètres!$A$1:$I$89,5,0)</f>
        <v>276.83864000000011</v>
      </c>
      <c r="AK130" s="13">
        <f t="shared" si="89"/>
        <v>66.298481772142821</v>
      </c>
      <c r="AL130" s="20">
        <f t="shared" si="58"/>
        <v>597.63048708648216</v>
      </c>
      <c r="AM130" s="57">
        <f t="shared" si="59"/>
        <v>884.40937594680656</v>
      </c>
      <c r="AN130" s="57">
        <f ca="1">AVERAGE(OFFSET($AM$3,0,0,'Données projet'!$E$10+1,1))-AVERAGE(OFFSET($H$3,0,0,'Données projet'!$E$10+1,1))</f>
        <v>469.4210143164521</v>
      </c>
      <c r="AO130" s="57">
        <f t="shared" si="90"/>
        <v>308.4508386530556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41.910388822378955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41.910388822378955</v>
      </c>
      <c r="AY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68.212424234633929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7" t="e">
        <f t="shared" si="62"/>
        <v>#NUM!</v>
      </c>
      <c r="BI130" s="57">
        <f ca="1">AVERAGE(OFFSET($BH$3,0,0,'Données projet'!$E$11+1,1))-AVERAGE(OFFSET($H$3,0,0,'Données projet'!$E$11+1,1))</f>
        <v>344.32981377462971</v>
      </c>
      <c r="BJ130" s="57">
        <f t="shared" si="92"/>
        <v>334.42512656625763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45.767135081769716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45.767135081769716</v>
      </c>
      <c r="BT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68.212424234633929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4.5474735088646412E-13</v>
      </c>
      <c r="BZ130" s="13">
        <f>BY130*VLOOKUP('Données projet'!$B$12,Paramètres!$A$1:$I$89,3,0)*VLOOKUP('Données projet'!$B$12,Paramètres!$A$1:$I$89,5,0)</f>
        <v>4.3273757910355926E-13</v>
      </c>
      <c r="CA130" s="13">
        <f t="shared" si="93"/>
        <v>5.4817614357080839E-12</v>
      </c>
      <c r="CB130" s="20">
        <f t="shared" si="64"/>
        <v>1.0301085784130276E-11</v>
      </c>
      <c r="CC130" s="57">
        <f t="shared" si="65"/>
        <v>286.77888886033469</v>
      </c>
      <c r="CD130" s="57">
        <f ca="1">AVERAGE(OFFSET($CC$3,0,0,'Données projet'!$E$12+1,1))-AVERAGE(OFFSET($H$3,0,0,'Données projet'!$E$12+1,1))</f>
        <v>498.77732039282807</v>
      </c>
      <c r="CE130" s="57">
        <f t="shared" si="94"/>
        <v>384.57317421826531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161.10899598332816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161.10899598332816</v>
      </c>
      <c r="CO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68.212424234633929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6.7133333333333338</v>
      </c>
      <c r="CT130" s="12">
        <f>IF('Données projet'!$A$140&gt;35,CT129+CS130-DB129,IF(A130&lt;'Données projet'!$A$140,$CQ$205^A130,IF(A130='Données projet'!$A$140,'Données projet'!$B$140,CT129+CS130-DB129)))</f>
        <v>305.96666666666681</v>
      </c>
      <c r="CU130" s="17">
        <f>CT130*VLOOKUP('Données projet'!$B$13,Paramètres!$A$1:$I$89,3,0)*VLOOKUP('Données projet'!$B$13,Paramètres!$A$1:$I$89,5,0)</f>
        <v>205.24244000000007</v>
      </c>
      <c r="CV130" s="13">
        <f t="shared" si="95"/>
        <v>50.89455664382799</v>
      </c>
      <c r="CW130" s="20">
        <f t="shared" si="67"/>
        <v>446.10526915466721</v>
      </c>
      <c r="CX130" s="57">
        <f t="shared" si="68"/>
        <v>732.88415801499161</v>
      </c>
      <c r="CY130" s="57">
        <f ca="1">AVERAGE(OFFSET($CX$3,0,0,'Données projet'!$E$13+1,1))-AVERAGE(OFFSET($H$3,0,0,'Données projet'!$E$13+1,1))</f>
        <v>365.99625753737246</v>
      </c>
      <c r="CZ130" s="57">
        <f t="shared" si="96"/>
        <v>242.84814712692287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38.297424268725592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38.297424268725592</v>
      </c>
      <c r="DJ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68.212424234633929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2.2737367544323206E-13</v>
      </c>
      <c r="DP130" s="17">
        <f>DO130*VLOOKUP('Données projet'!$B$14,Paramètres!$A$1:$I$89,3,0)*VLOOKUP('Données projet'!$B$14,Paramètres!$A$1:$I$89,5,0)</f>
        <v>1.4897523215040565E-13</v>
      </c>
      <c r="DQ130" s="13">
        <f t="shared" si="97"/>
        <v>2.136562777003313E-12</v>
      </c>
      <c r="DR130" s="20">
        <f t="shared" si="70"/>
        <v>3.9806453659427267E-12</v>
      </c>
      <c r="DS130" s="57">
        <f t="shared" si="71"/>
        <v>286.77888886032838</v>
      </c>
      <c r="DT130" s="57">
        <f ca="1">AVERAGE(OFFSET($DS$3,0,0,'Données projet'!$E$14+1,1))-AVERAGE(OFFSET($H$3,0,0,'Données projet'!$E$14+1,1))</f>
        <v>313.79279628660527</v>
      </c>
      <c r="DU130" s="57">
        <f t="shared" si="98"/>
        <v>317.45469955216254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44.467015102782803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44.467015102782803</v>
      </c>
      <c r="EE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68.212424234633929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-1.1368683772161603E-13</v>
      </c>
      <c r="EK130" s="17">
        <f>EJ130*VLOOKUP('Données projet'!$B$15,Paramètres!$A$1:$I$89,3,0)*VLOOKUP('Données projet'!$B$15,Paramètres!$A$1:$I$89,5,0)</f>
        <v>-9.7543306765146564E-14</v>
      </c>
      <c r="EL130" s="13" t="e">
        <f t="shared" si="99"/>
        <v>#NUM!</v>
      </c>
      <c r="EM130" s="20" t="e">
        <f t="shared" si="73"/>
        <v>#NUM!</v>
      </c>
      <c r="EN130" s="57" t="e">
        <f t="shared" si="74"/>
        <v>#NUM!</v>
      </c>
      <c r="EO130" s="57">
        <f ca="1">AVERAGE(OFFSET($EN$3,0,0,'Données projet'!$E$15+1,1))-AVERAGE(OFFSET($H$3,0,0,'Données projet'!$E$15+1,1))</f>
        <v>643.04899298561475</v>
      </c>
      <c r="EP130" s="57">
        <f t="shared" si="100"/>
        <v>474.94999304483031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164.82293719457576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164.82293719457576</v>
      </c>
      <c r="EZ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68.212424234633929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>
        <f>FE130*VLOOKUP('Données projet'!$B$16,Paramètres!$A$1:$I$89,3,0)*VLOOKUP('Données projet'!$B$16,Paramètres!$A$1:$I$89,5,0)</f>
        <v>0</v>
      </c>
      <c r="FG130" s="13" t="e">
        <f t="shared" si="101"/>
        <v>#NUM!</v>
      </c>
      <c r="FH130" s="20" t="e">
        <f t="shared" si="76"/>
        <v>#NUM!</v>
      </c>
      <c r="FI130" s="57" t="e">
        <f t="shared" si="77"/>
        <v>#NUM!</v>
      </c>
      <c r="FJ130" s="57">
        <f ca="1">AVERAGE(OFFSET($FI$3,0,0,'Données projet'!$E$16+1,1))-AVERAGE(OFFSET($H$3,0,0,'Données projet'!$E$16+1,1))</f>
        <v>375.34603719604439</v>
      </c>
      <c r="FK130" s="57">
        <f t="shared" si="102"/>
        <v>363.99476973672211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62.41178836484778</v>
      </c>
      <c r="FR130" s="21">
        <f>EXP(-LN(2)/25)*FR129+(1-EXP(-LN(2)/25))/(LN(2)/25)*Calculateur!FM130*Calculateur!FO130*VLOOKUP('Données projet'!$B$16,Paramètres!$A$1:$I$89,3,0)*0.475*44/12</f>
        <v>0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62.41178836484778</v>
      </c>
      <c r="FU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68.212424234633929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-1.1368683772161603E-13</v>
      </c>
      <c r="GA130" s="17">
        <f>FZ130*VLOOKUP('Données projet'!$B$17,Paramètres!$A$1:$I$89,3,0)*VLOOKUP('Données projet'!$B$17,Paramètres!$A$1:$I$89,5,0)</f>
        <v>-6.3550942286383367E-14</v>
      </c>
      <c r="GB130" s="13" t="e">
        <f t="shared" si="103"/>
        <v>#NUM!</v>
      </c>
      <c r="GC130" s="20" t="e">
        <f t="shared" si="79"/>
        <v>#NUM!</v>
      </c>
      <c r="GD130" s="57" t="e">
        <f t="shared" si="80"/>
        <v>#NUM!</v>
      </c>
      <c r="GE130" s="57">
        <f ca="1">AVERAGE(OFFSET($GD$3,0,0,'Données projet'!$E$17+1,1))-AVERAGE(OFFSET($H$3,0,0,'Données projet'!$E$17+1,1))</f>
        <v>414.47327143450701</v>
      </c>
      <c r="GF130" s="57">
        <f t="shared" si="104"/>
        <v>546.83385887302961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70.947163742400065</v>
      </c>
      <c r="GM130" s="21">
        <f>EXP(-LN(2)/25)*GM129+(1-EXP(-LN(2)/25))/(LN(2)/25)*Calculateur!GH130*Calculateur!GJ130*VLOOKUP('Données projet'!$B$17,Paramètres!$A$1:$I$89,3,0)*0.475*44/12</f>
        <v>8.4119704903431067</v>
      </c>
      <c r="GN130" s="21">
        <f>EXP(-LN(2)/2)*GN129+(1-EXP(-LN(2)/2))/(LN(2)/2)*GH130*GK130*VLOOKUP('Données projet'!$B$17,Paramètres!$A$1:$I$89,3,0)*0.475*44/12</f>
        <v>4.2750826798260347E-10</v>
      </c>
      <c r="GO130" s="21">
        <f t="shared" si="81"/>
        <v>79.359134233170678</v>
      </c>
      <c r="GP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68.212424234633929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-2.2737367544323206E-13</v>
      </c>
      <c r="GV130" s="17">
        <f>GU130*VLOOKUP('Données projet'!$B$18,Paramètres!$A$1:$I$89,3,0)*VLOOKUP('Données projet'!$B$18,Paramètres!$A$1:$I$89,5,0)</f>
        <v>-1.2414602679200471E-13</v>
      </c>
      <c r="GW130" s="13" t="e">
        <f t="shared" si="105"/>
        <v>#NUM!</v>
      </c>
      <c r="GX130" s="20" t="e">
        <f t="shared" si="82"/>
        <v>#NUM!</v>
      </c>
      <c r="GY130" s="57" t="e">
        <f t="shared" si="83"/>
        <v>#NUM!</v>
      </c>
      <c r="GZ130" s="57">
        <f ca="1">AVERAGE(OFFSET($GY$3,0,0,'Données projet'!$E$18+1,1))-AVERAGE(OFFSET($H$3,0,0,'Données projet'!$E$18+1,1))</f>
        <v>381.00532469288714</v>
      </c>
      <c r="HA130" s="57">
        <f t="shared" si="106"/>
        <v>314.875259641757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>
        <f>EXP(-LN(2)/35)*HG129+(1-EXP(-LN(2)/35))/(LN(2)/35)*HC130*HD130*VLOOKUP('Données projet'!$B$18,Paramètres!$A$1:$I$89,3,0)*0.475*44/12</f>
        <v>119.52086026202674</v>
      </c>
      <c r="HH130" s="21">
        <f>EXP(-LN(2)/25)*HH129+(1-EXP(-LN(2)/25))/(LN(2)/25)*Calculateur!HC130*Calculateur!HE130*VLOOKUP('Données projet'!$B$18,Paramètres!$A$1:$I$89,3,0)*0.475*44/12</f>
        <v>15.60710342565682</v>
      </c>
      <c r="HI130" s="21">
        <f>EXP(-LN(2)/2)*HI129+(1-EXP(-LN(2)/2))/(LN(2)/2)*HC130*HF130*VLOOKUP('Données projet'!$B$18,Paramètres!$A$1:$I$89,3,0)*0.475*44/12</f>
        <v>2.1555701871354945E-3</v>
      </c>
      <c r="HJ130" s="22">
        <f t="shared" si="84"/>
        <v>135.13011925787072</v>
      </c>
    </row>
    <row r="131" spans="1:218" x14ac:dyDescent="0.2">
      <c r="A131" s="10">
        <f t="shared" si="85"/>
        <v>128</v>
      </c>
      <c r="B131" s="71">
        <f>'Scénario référence'!$B$16*5+'Scénario référence'!$B$17*0+'Scénario référence'!$B$18*5</f>
        <v>3.3000000000000003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12.100000000000001</v>
      </c>
      <c r="H131" s="65">
        <f t="shared" si="56"/>
        <v>208.26666666666665</v>
      </c>
      <c r="I131" s="6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68.243434677742329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-1.1527845344971866E-13</v>
      </c>
      <c r="P131" s="13" t="e">
        <f t="shared" si="87"/>
        <v>#NUM!</v>
      </c>
      <c r="Q131" s="20" t="e">
        <f t="shared" ref="Q131:Q153" si="108">(O131+P131)*0.475*44/12</f>
        <v>#NUM!</v>
      </c>
      <c r="R131" s="57" t="e">
        <f t="shared" ref="R131:R194" si="109">Q131+(I131+J131)*44/12</f>
        <v>#NUM!</v>
      </c>
      <c r="S131" s="57">
        <f ca="1">AVERAGE(OFFSET($R$3,0,0,'Données projet'!$E$9+1,1))-AVERAGE(OFFSET($H$3,0,0,'Données projet'!$E$9+1,1))</f>
        <v>332.70145542047612</v>
      </c>
      <c r="T131" s="57">
        <f t="shared" si="88"/>
        <v>172.22433737900428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96.900153704924392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96.900153704924392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68.243434677742329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6.7133333333333338</v>
      </c>
      <c r="AI131" s="13">
        <f>IF('Données projet'!$A$62&gt;35,AI130+AH131-AQ130,IF(A131&lt;'Données projet'!$A$62,$AF$205^A131,IF(A131='Données projet'!$A$62,'Données projet'!$B$62,AI130+AH131-AQ130)))</f>
        <v>312.68000000000012</v>
      </c>
      <c r="AJ131" s="13">
        <f>AI131*VLOOKUP('Données projet'!$B$10,Paramètres!$A$1:$I$89,3,0)*VLOOKUP('Données projet'!$B$10,Paramètres!$A$1:$I$89,5,0)</f>
        <v>282.91286400000007</v>
      </c>
      <c r="AK131" s="13">
        <f t="shared" si="89"/>
        <v>67.582209510300217</v>
      </c>
      <c r="AL131" s="20">
        <f t="shared" si="58"/>
        <v>610.44558636377292</v>
      </c>
      <c r="AM131" s="57">
        <f t="shared" si="59"/>
        <v>897.33818018216152</v>
      </c>
      <c r="AN131" s="57">
        <f ca="1">AVERAGE(OFFSET($AM$3,0,0,'Données projet'!$E$10+1,1))-AVERAGE(OFFSET($H$3,0,0,'Données projet'!$E$10+1,1))</f>
        <v>469.4210143164521</v>
      </c>
      <c r="AO131" s="57">
        <f t="shared" si="90"/>
        <v>308.4508386530556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41.088551660385164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41.088551660385164</v>
      </c>
      <c r="AY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68.243434677742329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7" t="e">
        <f t="shared" si="62"/>
        <v>#NUM!</v>
      </c>
      <c r="BI131" s="57">
        <f ca="1">AVERAGE(OFFSET($BH$3,0,0,'Données projet'!$E$11+1,1))-AVERAGE(OFFSET($H$3,0,0,'Données projet'!$E$11+1,1))</f>
        <v>344.32981377462971</v>
      </c>
      <c r="BJ131" s="57">
        <f t="shared" si="92"/>
        <v>334.42512656625763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44.869669478012213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44.869669478012213</v>
      </c>
      <c r="BT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68.243434677742329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4.5474735088646412E-13</v>
      </c>
      <c r="BZ131" s="13">
        <f>BY131*VLOOKUP('Données projet'!$B$12,Paramètres!$A$1:$I$89,3,0)*VLOOKUP('Données projet'!$B$12,Paramètres!$A$1:$I$89,5,0)</f>
        <v>4.3273757910355926E-13</v>
      </c>
      <c r="CA131" s="13">
        <f t="shared" si="93"/>
        <v>5.4817614357080839E-12</v>
      </c>
      <c r="CB131" s="20">
        <f t="shared" si="64"/>
        <v>1.0301085784130276E-11</v>
      </c>
      <c r="CC131" s="57">
        <f t="shared" si="65"/>
        <v>286.89259381839884</v>
      </c>
      <c r="CD131" s="57">
        <f ca="1">AVERAGE(OFFSET($CC$3,0,0,'Données projet'!$E$12+1,1))-AVERAGE(OFFSET($H$3,0,0,'Données projet'!$E$12+1,1))</f>
        <v>498.77732039282807</v>
      </c>
      <c r="CE131" s="57">
        <f t="shared" si="94"/>
        <v>384.57317421826531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157.94974683887961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157.94974683887961</v>
      </c>
      <c r="CO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68.243434677742329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6.7133333333333338</v>
      </c>
      <c r="CT131" s="12">
        <f>IF('Données projet'!$A$140&gt;35,CT130+CS131-DB130,IF(A131&lt;'Données projet'!$A$140,$CQ$205^A131,IF(A131='Données projet'!$A$140,'Données projet'!$B$140,CT130+CS131-DB130)))</f>
        <v>312.68000000000012</v>
      </c>
      <c r="CU131" s="17">
        <f>CT131*VLOOKUP('Données projet'!$B$13,Paramètres!$A$1:$I$89,3,0)*VLOOKUP('Données projet'!$B$13,Paramètres!$A$1:$I$89,5,0)</f>
        <v>209.74574400000006</v>
      </c>
      <c r="CV131" s="13">
        <f t="shared" si="95"/>
        <v>51.880020448405745</v>
      </c>
      <c r="CW131" s="20">
        <f t="shared" si="67"/>
        <v>455.66487308097339</v>
      </c>
      <c r="CX131" s="57">
        <f t="shared" si="68"/>
        <v>742.557466899362</v>
      </c>
      <c r="CY131" s="57">
        <f ca="1">AVERAGE(OFFSET($CX$3,0,0,'Données projet'!$E$13+1,1))-AVERAGE(OFFSET($H$3,0,0,'Données projet'!$E$13+1,1))</f>
        <v>365.99625753737246</v>
      </c>
      <c r="CZ131" s="57">
        <f t="shared" si="96"/>
        <v>242.84814712692287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37.546435137938168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37.546435137938168</v>
      </c>
      <c r="DJ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68.243434677742329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2.2737367544323206E-13</v>
      </c>
      <c r="DP131" s="17">
        <f>DO131*VLOOKUP('Données projet'!$B$14,Paramètres!$A$1:$I$89,3,0)*VLOOKUP('Données projet'!$B$14,Paramètres!$A$1:$I$89,5,0)</f>
        <v>1.4897523215040565E-13</v>
      </c>
      <c r="DQ131" s="13">
        <f t="shared" si="97"/>
        <v>2.136562777003313E-12</v>
      </c>
      <c r="DR131" s="20">
        <f t="shared" si="70"/>
        <v>3.9806453659427267E-12</v>
      </c>
      <c r="DS131" s="57">
        <f t="shared" si="71"/>
        <v>286.89259381839253</v>
      </c>
      <c r="DT131" s="57">
        <f ca="1">AVERAGE(OFFSET($DS$3,0,0,'Données projet'!$E$14+1,1))-AVERAGE(OFFSET($H$3,0,0,'Données projet'!$E$14+1,1))</f>
        <v>313.79279628660527</v>
      </c>
      <c r="DU131" s="57">
        <f t="shared" si="98"/>
        <v>317.45469955216254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43.595044058818353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43.595044058818353</v>
      </c>
      <c r="EE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68.243434677742329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-1.1368683772161603E-13</v>
      </c>
      <c r="EK131" s="17">
        <f>EJ131*VLOOKUP('Données projet'!$B$15,Paramètres!$A$1:$I$89,3,0)*VLOOKUP('Données projet'!$B$15,Paramètres!$A$1:$I$89,5,0)</f>
        <v>-9.7543306765146564E-14</v>
      </c>
      <c r="EL131" s="13" t="e">
        <f t="shared" si="99"/>
        <v>#NUM!</v>
      </c>
      <c r="EM131" s="20" t="e">
        <f t="shared" si="73"/>
        <v>#NUM!</v>
      </c>
      <c r="EN131" s="57" t="e">
        <f t="shared" si="74"/>
        <v>#NUM!</v>
      </c>
      <c r="EO131" s="57">
        <f ca="1">AVERAGE(OFFSET($EN$3,0,0,'Données projet'!$E$15+1,1))-AVERAGE(OFFSET($H$3,0,0,'Données projet'!$E$15+1,1))</f>
        <v>643.04899298561475</v>
      </c>
      <c r="EP131" s="57">
        <f t="shared" si="100"/>
        <v>474.94999304483031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161.5908599282551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161.5908599282551</v>
      </c>
      <c r="EZ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68.243434677742329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>
        <f>FE131*VLOOKUP('Données projet'!$B$16,Paramètres!$A$1:$I$89,3,0)*VLOOKUP('Données projet'!$B$16,Paramètres!$A$1:$I$89,5,0)</f>
        <v>0</v>
      </c>
      <c r="FG131" s="13" t="e">
        <f t="shared" si="101"/>
        <v>#NUM!</v>
      </c>
      <c r="FH131" s="20" t="e">
        <f t="shared" si="76"/>
        <v>#NUM!</v>
      </c>
      <c r="FI131" s="57" t="e">
        <f t="shared" si="77"/>
        <v>#NUM!</v>
      </c>
      <c r="FJ131" s="57">
        <f ca="1">AVERAGE(OFFSET($FI$3,0,0,'Données projet'!$E$16+1,1))-AVERAGE(OFFSET($H$3,0,0,'Données projet'!$E$16+1,1))</f>
        <v>375.34603719604439</v>
      </c>
      <c r="FK131" s="57">
        <f t="shared" si="102"/>
        <v>363.99476973672211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61.187931262445169</v>
      </c>
      <c r="FR131" s="21">
        <f>EXP(-LN(2)/25)*FR130+(1-EXP(-LN(2)/25))/(LN(2)/25)*Calculateur!FM131*Calculateur!FO131*VLOOKUP('Données projet'!$B$16,Paramètres!$A$1:$I$89,3,0)*0.475*44/12</f>
        <v>0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61.187931262445169</v>
      </c>
      <c r="FU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68.243434677742329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-1.1368683772161603E-13</v>
      </c>
      <c r="GA131" s="17">
        <f>FZ131*VLOOKUP('Données projet'!$B$17,Paramètres!$A$1:$I$89,3,0)*VLOOKUP('Données projet'!$B$17,Paramètres!$A$1:$I$89,5,0)</f>
        <v>-6.3550942286383367E-14</v>
      </c>
      <c r="GB131" s="13" t="e">
        <f t="shared" si="103"/>
        <v>#NUM!</v>
      </c>
      <c r="GC131" s="20" t="e">
        <f t="shared" si="79"/>
        <v>#NUM!</v>
      </c>
      <c r="GD131" s="57" t="e">
        <f t="shared" si="80"/>
        <v>#NUM!</v>
      </c>
      <c r="GE131" s="57">
        <f ca="1">AVERAGE(OFFSET($GD$3,0,0,'Données projet'!$E$17+1,1))-AVERAGE(OFFSET($H$3,0,0,'Données projet'!$E$17+1,1))</f>
        <v>414.47327143450701</v>
      </c>
      <c r="GF131" s="57">
        <f t="shared" si="104"/>
        <v>546.83385887302961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69.555933134908585</v>
      </c>
      <c r="GM131" s="21">
        <f>EXP(-LN(2)/25)*GM130+(1-EXP(-LN(2)/25))/(LN(2)/25)*Calculateur!GH131*Calculateur!GJ131*VLOOKUP('Données projet'!$B$17,Paramètres!$A$1:$I$89,3,0)*0.475*44/12</f>
        <v>8.1819447149183731</v>
      </c>
      <c r="GN131" s="21">
        <f>EXP(-LN(2)/2)*GN130+(1-EXP(-LN(2)/2))/(LN(2)/2)*GH131*GK131*VLOOKUP('Données projet'!$B$17,Paramètres!$A$1:$I$89,3,0)*0.475*44/12</f>
        <v>3.0229399530381471E-10</v>
      </c>
      <c r="GO131" s="21">
        <f t="shared" si="81"/>
        <v>77.737877850129252</v>
      </c>
      <c r="GP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68.243434677742329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-2.2737367544323206E-13</v>
      </c>
      <c r="GV131" s="17">
        <f>GU131*VLOOKUP('Données projet'!$B$18,Paramètres!$A$1:$I$89,3,0)*VLOOKUP('Données projet'!$B$18,Paramètres!$A$1:$I$89,5,0)</f>
        <v>-1.2414602679200471E-13</v>
      </c>
      <c r="GW131" s="13" t="e">
        <f t="shared" si="105"/>
        <v>#NUM!</v>
      </c>
      <c r="GX131" s="20" t="e">
        <f t="shared" si="82"/>
        <v>#NUM!</v>
      </c>
      <c r="GY131" s="57" t="e">
        <f t="shared" si="83"/>
        <v>#NUM!</v>
      </c>
      <c r="GZ131" s="57">
        <f ca="1">AVERAGE(OFFSET($GY$3,0,0,'Données projet'!$E$18+1,1))-AVERAGE(OFFSET($H$3,0,0,'Données projet'!$E$18+1,1))</f>
        <v>381.00532469288714</v>
      </c>
      <c r="HA131" s="57">
        <f t="shared" si="106"/>
        <v>314.875259641757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>
        <f>EXP(-LN(2)/35)*HG130+(1-EXP(-LN(2)/35))/(LN(2)/35)*HC131*HD131*VLOOKUP('Données projet'!$B$18,Paramètres!$A$1:$I$89,3,0)*0.475*44/12</f>
        <v>117.17712909281484</v>
      </c>
      <c r="HH131" s="21">
        <f>EXP(-LN(2)/25)*HH130+(1-EXP(-LN(2)/25))/(LN(2)/25)*Calculateur!HC131*Calculateur!HE131*VLOOKUP('Données projet'!$B$18,Paramètres!$A$1:$I$89,3,0)*0.475*44/12</f>
        <v>15.180326361740336</v>
      </c>
      <c r="HI131" s="21">
        <f>EXP(-LN(2)/2)*HI130+(1-EXP(-LN(2)/2))/(LN(2)/2)*HC131*HF131*VLOOKUP('Données projet'!$B$18,Paramètres!$A$1:$I$89,3,0)*0.475*44/12</f>
        <v>1.5242182966470634E-3</v>
      </c>
      <c r="HJ131" s="22">
        <f t="shared" si="84"/>
        <v>132.35897967285183</v>
      </c>
    </row>
    <row r="132" spans="1:218" x14ac:dyDescent="0.2">
      <c r="A132" s="10">
        <f t="shared" si="85"/>
        <v>129</v>
      </c>
      <c r="B132" s="71">
        <f>'Scénario référence'!$B$16*5+'Scénario référence'!$B$17*0+'Scénario référence'!$B$18*5</f>
        <v>3.3000000000000003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12.100000000000001</v>
      </c>
      <c r="H132" s="65">
        <f t="shared" ref="H132:H195" si="110">(B132+E132+F132)*44/12+(C132+D132)*0.475*44/12</f>
        <v>208.26666666666665</v>
      </c>
      <c r="I132" s="6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68.273907158991761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-1.1527845344971866E-13</v>
      </c>
      <c r="P132" s="13" t="e">
        <f t="shared" si="87"/>
        <v>#NUM!</v>
      </c>
      <c r="Q132" s="20" t="e">
        <f t="shared" si="108"/>
        <v>#NUM!</v>
      </c>
      <c r="R132" s="57" t="e">
        <f t="shared" si="109"/>
        <v>#NUM!</v>
      </c>
      <c r="S132" s="57">
        <f ca="1">AVERAGE(OFFSET($R$3,0,0,'Données projet'!$E$9+1,1))-AVERAGE(OFFSET($H$3,0,0,'Données projet'!$E$9+1,1))</f>
        <v>332.70145542047612</v>
      </c>
      <c r="T132" s="57">
        <f t="shared" si="88"/>
        <v>172.22433737900428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95.000000794028622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95.000000794028622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68.273907158991761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6.7133333333333338</v>
      </c>
      <c r="AI132" s="13">
        <f>IF('Données projet'!$A$62&gt;35,AI131+AH132-AQ131,IF(A132&lt;'Données projet'!$A$62,$AF$205^A132,IF(A132='Données projet'!$A$62,'Données projet'!$B$62,AI131+AH132-AQ131)))</f>
        <v>319.39333333333343</v>
      </c>
      <c r="AJ132" s="13">
        <f>AI132*VLOOKUP('Données projet'!$B$10,Paramètres!$A$1:$I$89,3,0)*VLOOKUP('Données projet'!$B$10,Paramètres!$A$1:$I$89,5,0)</f>
        <v>288.98708800000009</v>
      </c>
      <c r="AK132" s="13">
        <f t="shared" si="89"/>
        <v>68.862732774736074</v>
      </c>
      <c r="AL132" s="20">
        <f t="shared" ref="AL132:AL153" si="112">(AJ132+AK132)*0.475*44/12</f>
        <v>623.25510451599882</v>
      </c>
      <c r="AM132" s="57">
        <f t="shared" ref="AM132:AM195" si="113">AL132+(AD132+AE132)*44/12</f>
        <v>910.25943076563522</v>
      </c>
      <c r="AN132" s="57">
        <f ca="1">AVERAGE(OFFSET($AM$3,0,0,'Données projet'!$E$10+1,1))-AVERAGE(OFFSET($H$3,0,0,'Données projet'!$E$10+1,1))</f>
        <v>469.4210143164521</v>
      </c>
      <c r="AO132" s="57">
        <f t="shared" si="90"/>
        <v>308.4508386530556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40.282830223866902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40.282830223866902</v>
      </c>
      <c r="AY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68.273907158991761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7" t="e">
        <f t="shared" ref="BH132:BH195" si="116">BG132+(AY132+AZ132)*44/12</f>
        <v>#NUM!</v>
      </c>
      <c r="BI132" s="57">
        <f ca="1">AVERAGE(OFFSET($BH$3,0,0,'Données projet'!$E$11+1,1))-AVERAGE(OFFSET($H$3,0,0,'Données projet'!$E$11+1,1))</f>
        <v>344.32981377462971</v>
      </c>
      <c r="BJ132" s="57">
        <f t="shared" si="92"/>
        <v>334.42512656625763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43.989802627344432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43.989802627344432</v>
      </c>
      <c r="BT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68.273907158991761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4.5474735088646412E-13</v>
      </c>
      <c r="BZ132" s="13">
        <f>BY132*VLOOKUP('Données projet'!$B$12,Paramètres!$A$1:$I$89,3,0)*VLOOKUP('Données projet'!$B$12,Paramètres!$A$1:$I$89,5,0)</f>
        <v>4.3273757910355926E-13</v>
      </c>
      <c r="CA132" s="13">
        <f t="shared" si="93"/>
        <v>5.4817614357080839E-12</v>
      </c>
      <c r="CB132" s="20">
        <f t="shared" ref="CB132:CB153" si="118">(BZ132+CA132)*0.475*44/12</f>
        <v>1.0301085784130276E-11</v>
      </c>
      <c r="CC132" s="57">
        <f t="shared" ref="CC132:CC195" si="119">CB132+(BT132+BU132)*44/12</f>
        <v>287.00432624964674</v>
      </c>
      <c r="CD132" s="57">
        <f ca="1">AVERAGE(OFFSET($CC$3,0,0,'Données projet'!$E$12+1,1))-AVERAGE(OFFSET($H$3,0,0,'Données projet'!$E$12+1,1))</f>
        <v>498.77732039282807</v>
      </c>
      <c r="CE132" s="57">
        <f t="shared" si="94"/>
        <v>384.57317421826531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154.85244864320197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154.85244864320197</v>
      </c>
      <c r="CO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68.273907158991761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6.7133333333333338</v>
      </c>
      <c r="CT132" s="12">
        <f>IF('Données projet'!$A$140&gt;35,CT131+CS132-DB131,IF(A132&lt;'Données projet'!$A$140,$CQ$205^A132,IF(A132='Données projet'!$A$140,'Données projet'!$B$140,CT131+CS132-DB131)))</f>
        <v>319.39333333333343</v>
      </c>
      <c r="CU132" s="17">
        <f>CT132*VLOOKUP('Données projet'!$B$13,Paramètres!$A$1:$I$89,3,0)*VLOOKUP('Données projet'!$B$13,Paramètres!$A$1:$I$89,5,0)</f>
        <v>214.24904800000004</v>
      </c>
      <c r="CV132" s="13">
        <f t="shared" si="95"/>
        <v>52.863024313253689</v>
      </c>
      <c r="CW132" s="20">
        <f t="shared" ref="CW132:CW153" si="121">(CU132+CV132)*0.475*44/12</f>
        <v>465.22019261225029</v>
      </c>
      <c r="CX132" s="57">
        <f t="shared" ref="CX132:CX195" si="122">CW132+(CO132+CP132)*44/12</f>
        <v>752.22451886188674</v>
      </c>
      <c r="CY132" s="57">
        <f ca="1">AVERAGE(OFFSET($CX$3,0,0,'Données projet'!$E$13+1,1))-AVERAGE(OFFSET($H$3,0,0,'Données projet'!$E$13+1,1))</f>
        <v>365.99625753737246</v>
      </c>
      <c r="CZ132" s="57">
        <f t="shared" si="96"/>
        <v>242.84814712692287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36.810172445947344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36.810172445947344</v>
      </c>
      <c r="DJ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68.273907158991761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2.2737367544323206E-13</v>
      </c>
      <c r="DP132" s="17">
        <f>DO132*VLOOKUP('Données projet'!$B$14,Paramètres!$A$1:$I$89,3,0)*VLOOKUP('Données projet'!$B$14,Paramètres!$A$1:$I$89,5,0)</f>
        <v>1.4897523215040565E-13</v>
      </c>
      <c r="DQ132" s="13">
        <f t="shared" si="97"/>
        <v>2.136562777003313E-12</v>
      </c>
      <c r="DR132" s="20">
        <f t="shared" ref="DR132:DR153" si="124">(DP132+DQ132)*0.475*44/12</f>
        <v>3.9806453659427267E-12</v>
      </c>
      <c r="DS132" s="57">
        <f t="shared" ref="DS132:DS195" si="125">DR132+(DJ132+DK132)*44/12</f>
        <v>287.00432624964043</v>
      </c>
      <c r="DT132" s="57">
        <f ca="1">AVERAGE(OFFSET($DS$3,0,0,'Données projet'!$E$14+1,1))-AVERAGE(OFFSET($H$3,0,0,'Données projet'!$E$14+1,1))</f>
        <v>313.79279628660527</v>
      </c>
      <c r="DU132" s="57">
        <f t="shared" si="98"/>
        <v>317.45469955216254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42.74017183517622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42.74017183517622</v>
      </c>
      <c r="EE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68.273907158991761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-1.1368683772161603E-13</v>
      </c>
      <c r="EK132" s="17">
        <f>EJ132*VLOOKUP('Données projet'!$B$15,Paramètres!$A$1:$I$89,3,0)*VLOOKUP('Données projet'!$B$15,Paramètres!$A$1:$I$89,5,0)</f>
        <v>-9.7543306765146564E-14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7" t="e">
        <f t="shared" ref="EN132:EN195" si="128">EM132+(EE132+EF132)*44/12</f>
        <v>#NUM!</v>
      </c>
      <c r="EO132" s="57">
        <f ca="1">AVERAGE(OFFSET($EN$3,0,0,'Données projet'!$E$15+1,1))-AVERAGE(OFFSET($H$3,0,0,'Données projet'!$E$15+1,1))</f>
        <v>643.04899298561475</v>
      </c>
      <c r="EP132" s="57">
        <f t="shared" si="100"/>
        <v>474.94999304483031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158.42216172575451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158.42216172575451</v>
      </c>
      <c r="EZ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68.273907158991761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>
        <f>FE132*VLOOKUP('Données projet'!$B$16,Paramètres!$A$1:$I$89,3,0)*VLOOKUP('Données projet'!$B$16,Paramètres!$A$1:$I$89,5,0)</f>
        <v>0</v>
      </c>
      <c r="FG132" s="13" t="e">
        <f t="shared" si="101"/>
        <v>#NUM!</v>
      </c>
      <c r="FH132" s="20" t="e">
        <f t="shared" ref="FH132:FH153" si="130">(FF132+FG132)*0.475*44/12</f>
        <v>#NUM!</v>
      </c>
      <c r="FI132" s="57" t="e">
        <f t="shared" ref="FI132:FI195" si="131">FH132+(EZ132+FA132)*44/12</f>
        <v>#NUM!</v>
      </c>
      <c r="FJ132" s="57">
        <f ca="1">AVERAGE(OFFSET($FI$3,0,0,'Données projet'!$E$16+1,1))-AVERAGE(OFFSET($H$3,0,0,'Données projet'!$E$16+1,1))</f>
        <v>375.34603719604439</v>
      </c>
      <c r="FK132" s="57">
        <f t="shared" si="102"/>
        <v>363.99476973672211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59.988073251341554</v>
      </c>
      <c r="FR132" s="21">
        <f>EXP(-LN(2)/25)*FR131+(1-EXP(-LN(2)/25))/(LN(2)/25)*Calculateur!FM132*Calculateur!FO132*VLOOKUP('Données projet'!$B$16,Paramètres!$A$1:$I$89,3,0)*0.475*44/12</f>
        <v>0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59.988073251341554</v>
      </c>
      <c r="FU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68.273907158991761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-1.1368683772161603E-13</v>
      </c>
      <c r="GA132" s="17">
        <f>FZ132*VLOOKUP('Données projet'!$B$17,Paramètres!$A$1:$I$89,3,0)*VLOOKUP('Données projet'!$B$17,Paramètres!$A$1:$I$89,5,0)</f>
        <v>-6.3550942286383367E-14</v>
      </c>
      <c r="GB132" s="13" t="e">
        <f t="shared" si="103"/>
        <v>#NUM!</v>
      </c>
      <c r="GC132" s="20" t="e">
        <f t="shared" ref="GC132:GC153" si="133">(GA132+GB132)*0.475*44/12</f>
        <v>#NUM!</v>
      </c>
      <c r="GD132" s="57" t="e">
        <f t="shared" ref="GD132:GD195" si="134">GC132+(FU132+FV132)*44/12</f>
        <v>#NUM!</v>
      </c>
      <c r="GE132" s="57">
        <f ca="1">AVERAGE(OFFSET($GD$3,0,0,'Données projet'!$E$17+1,1))-AVERAGE(OFFSET($H$3,0,0,'Données projet'!$E$17+1,1))</f>
        <v>414.47327143450701</v>
      </c>
      <c r="GF132" s="57">
        <f t="shared" si="104"/>
        <v>546.83385887302961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68.191983711063131</v>
      </c>
      <c r="GM132" s="21">
        <f>EXP(-LN(2)/25)*GM131+(1-EXP(-LN(2)/25))/(LN(2)/25)*Calculateur!GH132*Calculateur!GJ132*VLOOKUP('Données projet'!$B$17,Paramètres!$A$1:$I$89,3,0)*0.475*44/12</f>
        <v>7.9582090064191577</v>
      </c>
      <c r="GN132" s="21">
        <f>EXP(-LN(2)/2)*GN131+(1-EXP(-LN(2)/2))/(LN(2)/2)*GH132*GK132*VLOOKUP('Données projet'!$B$17,Paramètres!$A$1:$I$89,3,0)*0.475*44/12</f>
        <v>2.1375413399130174E-10</v>
      </c>
      <c r="GO132" s="21">
        <f t="shared" ref="GO132:GO153" si="135">SUM(GL132:GN132)</f>
        <v>76.150192717696044</v>
      </c>
      <c r="GP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68.273907158991761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-2.2737367544323206E-13</v>
      </c>
      <c r="GV132" s="17">
        <f>GU132*VLOOKUP('Données projet'!$B$18,Paramètres!$A$1:$I$89,3,0)*VLOOKUP('Données projet'!$B$18,Paramètres!$A$1:$I$89,5,0)</f>
        <v>-1.2414602679200471E-13</v>
      </c>
      <c r="GW132" s="13" t="e">
        <f t="shared" si="105"/>
        <v>#NUM!</v>
      </c>
      <c r="GX132" s="20" t="e">
        <f t="shared" ref="GX132:GX153" si="136">(GV132+GW132)*0.475*44/12</f>
        <v>#NUM!</v>
      </c>
      <c r="GY132" s="57" t="e">
        <f t="shared" ref="GY132:GY195" si="137">GX132+(GP132+GQ132)*44/12</f>
        <v>#NUM!</v>
      </c>
      <c r="GZ132" s="57">
        <f ca="1">AVERAGE(OFFSET($GY$3,0,0,'Données projet'!$E$18+1,1))-AVERAGE(OFFSET($H$3,0,0,'Données projet'!$E$18+1,1))</f>
        <v>381.00532469288714</v>
      </c>
      <c r="HA132" s="57">
        <f t="shared" si="106"/>
        <v>314.875259641757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>
        <f>EXP(-LN(2)/35)*HG131+(1-EXP(-LN(2)/35))/(LN(2)/35)*HC132*HD132*VLOOKUP('Données projet'!$B$18,Paramètres!$A$1:$I$89,3,0)*0.475*44/12</f>
        <v>114.87935706229631</v>
      </c>
      <c r="HH132" s="21">
        <f>EXP(-LN(2)/25)*HH131+(1-EXP(-LN(2)/25))/(LN(2)/25)*Calculateur!HC132*Calculateur!HE132*VLOOKUP('Données projet'!$B$18,Paramètres!$A$1:$I$89,3,0)*0.475*44/12</f>
        <v>14.765219539079878</v>
      </c>
      <c r="HI132" s="21">
        <f>EXP(-LN(2)/2)*HI131+(1-EXP(-LN(2)/2))/(LN(2)/2)*HC132*HF132*VLOOKUP('Données projet'!$B$18,Paramètres!$A$1:$I$89,3,0)*0.475*44/12</f>
        <v>1.0777850935677472E-3</v>
      </c>
      <c r="HJ132" s="22">
        <f t="shared" ref="HJ132:HJ153" si="138">SUM(HG132:HI132)</f>
        <v>129.64565438646974</v>
      </c>
    </row>
    <row r="133" spans="1:218" x14ac:dyDescent="0.2">
      <c r="A133" s="10">
        <f t="shared" ref="A133:A152" si="139">A132+1</f>
        <v>130</v>
      </c>
      <c r="B133" s="71">
        <f>'Scénario référence'!$B$16*5+'Scénario référence'!$B$17*0+'Scénario référence'!$B$18*5</f>
        <v>3.3000000000000003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12.100000000000001</v>
      </c>
      <c r="H133" s="65">
        <f t="shared" si="110"/>
        <v>208.26666666666665</v>
      </c>
      <c r="I133" s="6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68.30385101081778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-1.1527845344971866E-13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7" t="e">
        <f t="shared" si="109"/>
        <v>#NUM!</v>
      </c>
      <c r="S133" s="57">
        <f ca="1">AVERAGE(OFFSET($R$3,0,0,'Données projet'!$E$9+1,1))-AVERAGE(OFFSET($H$3,0,0,'Données projet'!$E$9+1,1))</f>
        <v>332.70145542047612</v>
      </c>
      <c r="T133" s="57">
        <f t="shared" ref="T133:T196" si="142">$T$3</f>
        <v>172.22433737900428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93.137108722736684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93.137108722736684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68.30385101081778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6.7133333333333338</v>
      </c>
      <c r="AI133" s="13">
        <f>IF('Données projet'!$A$62&gt;35,AI132+AH133-AQ132,IF(A133&lt;'Données projet'!$A$62,$AF$205^A133,IF(A133='Données projet'!$A$62,'Données projet'!$B$62,AI132+AH133-AQ132)))</f>
        <v>326.10666666666674</v>
      </c>
      <c r="AJ133" s="13">
        <f>AI133*VLOOKUP('Données projet'!$B$10,Paramètres!$A$1:$I$89,3,0)*VLOOKUP('Données projet'!$B$10,Paramètres!$A$1:$I$89,5,0)</f>
        <v>295.06131200000004</v>
      </c>
      <c r="AK133" s="13">
        <f t="shared" ref="AK133:AK153" si="143">EXP(-1.0587+0.8836*LN(AJ133)+0.284)</f>
        <v>70.140126679697019</v>
      </c>
      <c r="AL133" s="20">
        <f t="shared" si="112"/>
        <v>636.05917236713901</v>
      </c>
      <c r="AM133" s="57">
        <f t="shared" si="113"/>
        <v>923.17329274013753</v>
      </c>
      <c r="AN133" s="57">
        <f ca="1">AVERAGE(OFFSET($AM$3,0,0,'Données projet'!$E$10+1,1))-AVERAGE(OFFSET($H$3,0,0,'Données projet'!$E$10+1,1))</f>
        <v>469.4210143164521</v>
      </c>
      <c r="AO133" s="57">
        <f t="shared" ref="AO133:AO196" si="144">$AO$3</f>
        <v>308.4508386530556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39.492908493277213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39.492908493277213</v>
      </c>
      <c r="AY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68.30385101081778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7" t="e">
        <f t="shared" si="116"/>
        <v>#NUM!</v>
      </c>
      <c r="BI133" s="57">
        <f ca="1">AVERAGE(OFFSET($BH$3,0,0,'Données projet'!$E$11+1,1))-AVERAGE(OFFSET($H$3,0,0,'Données projet'!$E$11+1,1))</f>
        <v>344.32981377462971</v>
      </c>
      <c r="BJ133" s="57">
        <f t="shared" ref="BJ133:BJ196" si="146">$BJ$3</f>
        <v>334.42512656625763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43.127189428952455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43.127189428952455</v>
      </c>
      <c r="BT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68.30385101081778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4.5474735088646412E-13</v>
      </c>
      <c r="BZ133" s="13">
        <f>BY133*VLOOKUP('Données projet'!$B$12,Paramètres!$A$1:$I$89,3,0)*VLOOKUP('Données projet'!$B$12,Paramètres!$A$1:$I$89,5,0)</f>
        <v>4.3273757910355926E-13</v>
      </c>
      <c r="CA133" s="13">
        <f t="shared" ref="CA133:CA153" si="147">EXP(-1.0587+0.8836*LN(BZ133)+0.284)</f>
        <v>5.4817614357080839E-12</v>
      </c>
      <c r="CB133" s="20">
        <f t="shared" si="118"/>
        <v>1.0301085784130276E-11</v>
      </c>
      <c r="CC133" s="57">
        <f t="shared" si="119"/>
        <v>287.1141203730088</v>
      </c>
      <c r="CD133" s="57">
        <f ca="1">AVERAGE(OFFSET($CC$3,0,0,'Données projet'!$E$12+1,1))-AVERAGE(OFFSET($H$3,0,0,'Données projet'!$E$12+1,1))</f>
        <v>498.77732039282807</v>
      </c>
      <c r="CE133" s="57">
        <f t="shared" ref="CE133:CE196" si="148">$CE$3</f>
        <v>384.57317421826531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151.81588657597621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151.81588657597621</v>
      </c>
      <c r="CO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68.30385101081778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6.7133333333333338</v>
      </c>
      <c r="CT133" s="12">
        <f>IF('Données projet'!$A$140&gt;35,CT132+CS133-DB132,IF(A133&lt;'Données projet'!$A$140,$CQ$205^A133,IF(A133='Données projet'!$A$140,'Données projet'!$B$140,CT132+CS133-DB132)))</f>
        <v>326.10666666666674</v>
      </c>
      <c r="CU133" s="17">
        <f>CT133*VLOOKUP('Données projet'!$B$13,Paramètres!$A$1:$I$89,3,0)*VLOOKUP('Données projet'!$B$13,Paramètres!$A$1:$I$89,5,0)</f>
        <v>218.75235200000003</v>
      </c>
      <c r="CV133" s="13">
        <f t="shared" ref="CV133:CV153" si="149">EXP(-1.0587+0.8836*LN(CU133)+0.284)</f>
        <v>53.843625900420577</v>
      </c>
      <c r="CW133" s="20">
        <f t="shared" si="121"/>
        <v>474.77132817656587</v>
      </c>
      <c r="CX133" s="57">
        <f t="shared" si="122"/>
        <v>761.88544854956444</v>
      </c>
      <c r="CY133" s="57">
        <f ca="1">AVERAGE(OFFSET($CX$3,0,0,'Données projet'!$E$13+1,1))-AVERAGE(OFFSET($H$3,0,0,'Données projet'!$E$13+1,1))</f>
        <v>365.99625753737246</v>
      </c>
      <c r="CZ133" s="57">
        <f t="shared" ref="CZ133:CZ196" si="150">$CZ$3</f>
        <v>242.84814712692287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36.088347416270558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36.088347416270558</v>
      </c>
      <c r="DJ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68.30385101081778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2.2737367544323206E-13</v>
      </c>
      <c r="DP133" s="17">
        <f>DO133*VLOOKUP('Données projet'!$B$14,Paramètres!$A$1:$I$89,3,0)*VLOOKUP('Données projet'!$B$14,Paramètres!$A$1:$I$89,5,0)</f>
        <v>1.4897523215040565E-13</v>
      </c>
      <c r="DQ133" s="13">
        <f t="shared" ref="DQ133:DQ153" si="151">EXP(-1.0587+0.8836*LN(DP133)+0.284)</f>
        <v>2.136562777003313E-12</v>
      </c>
      <c r="DR133" s="20">
        <f t="shared" si="124"/>
        <v>3.9806453659427267E-12</v>
      </c>
      <c r="DS133" s="57">
        <f t="shared" si="125"/>
        <v>287.11412037300249</v>
      </c>
      <c r="DT133" s="57">
        <f ca="1">AVERAGE(OFFSET($DS$3,0,0,'Données projet'!$E$14+1,1))-AVERAGE(OFFSET($H$3,0,0,'Données projet'!$E$14+1,1))</f>
        <v>313.79279628660527</v>
      </c>
      <c r="DU133" s="57">
        <f t="shared" ref="DU133:DU196" si="152">$DU$3</f>
        <v>317.45469955216254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41.902063134419137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41.902063134419137</v>
      </c>
      <c r="EE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68.30385101081778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-1.1368683772161603E-13</v>
      </c>
      <c r="EK133" s="17">
        <f>EJ133*VLOOKUP('Données projet'!$B$15,Paramètres!$A$1:$I$89,3,0)*VLOOKUP('Données projet'!$B$15,Paramètres!$A$1:$I$89,5,0)</f>
        <v>-9.7543306765146564E-14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7" t="e">
        <f t="shared" si="128"/>
        <v>#NUM!</v>
      </c>
      <c r="EO133" s="57">
        <f ca="1">AVERAGE(OFFSET($EN$3,0,0,'Données projet'!$E$15+1,1))-AVERAGE(OFFSET($H$3,0,0,'Données projet'!$E$15+1,1))</f>
        <v>643.04899298561475</v>
      </c>
      <c r="EP133" s="57">
        <f t="shared" ref="EP133:EP196" si="154">$EP$3</f>
        <v>474.94999304483031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155.31559976228991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155.31559976228991</v>
      </c>
      <c r="EZ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68.30385101081778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>
        <f>FE133*VLOOKUP('Données projet'!$B$16,Paramètres!$A$1:$I$89,3,0)*VLOOKUP('Données projet'!$B$16,Paramètres!$A$1:$I$89,5,0)</f>
        <v>0</v>
      </c>
      <c r="FG133" s="13" t="e">
        <f t="shared" ref="FG133:FG153" si="155">EXP(-1.0587+0.8836*LN(FF133)+0.284)</f>
        <v>#NUM!</v>
      </c>
      <c r="FH133" s="20" t="e">
        <f t="shared" si="130"/>
        <v>#NUM!</v>
      </c>
      <c r="FI133" s="57" t="e">
        <f t="shared" si="131"/>
        <v>#NUM!</v>
      </c>
      <c r="FJ133" s="57">
        <f ca="1">AVERAGE(OFFSET($FI$3,0,0,'Données projet'!$E$16+1,1))-AVERAGE(OFFSET($H$3,0,0,'Données projet'!$E$16+1,1))</f>
        <v>375.34603719604439</v>
      </c>
      <c r="FK133" s="57">
        <f t="shared" ref="FK133:FK196" si="156">$FK$3</f>
        <v>363.99476973672211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58.811743723994553</v>
      </c>
      <c r="FR133" s="21">
        <f>EXP(-LN(2)/25)*FR132+(1-EXP(-LN(2)/25))/(LN(2)/25)*Calculateur!FM133*Calculateur!FO133*VLOOKUP('Données projet'!$B$16,Paramètres!$A$1:$I$89,3,0)*0.475*44/12</f>
        <v>0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58.811743723994553</v>
      </c>
      <c r="FU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68.30385101081778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-1.1368683772161603E-13</v>
      </c>
      <c r="GA133" s="17">
        <f>FZ133*VLOOKUP('Données projet'!$B$17,Paramètres!$A$1:$I$89,3,0)*VLOOKUP('Données projet'!$B$17,Paramètres!$A$1:$I$89,5,0)</f>
        <v>-6.3550942286383367E-14</v>
      </c>
      <c r="GB133" s="13" t="e">
        <f t="shared" ref="GB133:GB153" si="157">EXP(-1.0587+0.8836*LN(GA133)+0.284)</f>
        <v>#NUM!</v>
      </c>
      <c r="GC133" s="20" t="e">
        <f t="shared" si="133"/>
        <v>#NUM!</v>
      </c>
      <c r="GD133" s="57" t="e">
        <f t="shared" si="134"/>
        <v>#NUM!</v>
      </c>
      <c r="GE133" s="57">
        <f ca="1">AVERAGE(OFFSET($GD$3,0,0,'Données projet'!$E$17+1,1))-AVERAGE(OFFSET($H$3,0,0,'Données projet'!$E$17+1,1))</f>
        <v>414.47327143450701</v>
      </c>
      <c r="GF133" s="57">
        <f t="shared" ref="GF133:GF196" si="158">$GF$3</f>
        <v>546.83385887302961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66.854780503492279</v>
      </c>
      <c r="GM133" s="21">
        <f>EXP(-LN(2)/25)*GM132+(1-EXP(-LN(2)/25))/(LN(2)/25)*Calculateur!GH133*Calculateur!GJ133*VLOOKUP('Données projet'!$B$17,Paramètres!$A$1:$I$89,3,0)*0.475*44/12</f>
        <v>7.7405913626346026</v>
      </c>
      <c r="GN133" s="21">
        <f>EXP(-LN(2)/2)*GN132+(1-EXP(-LN(2)/2))/(LN(2)/2)*GH133*GK133*VLOOKUP('Données projet'!$B$17,Paramètres!$A$1:$I$89,3,0)*0.475*44/12</f>
        <v>1.5114699765190736E-10</v>
      </c>
      <c r="GO133" s="21">
        <f t="shared" si="135"/>
        <v>74.595371866278029</v>
      </c>
      <c r="GP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68.30385101081778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-2.2737367544323206E-13</v>
      </c>
      <c r="GV133" s="17">
        <f>GU133*VLOOKUP('Données projet'!$B$18,Paramètres!$A$1:$I$89,3,0)*VLOOKUP('Données projet'!$B$18,Paramètres!$A$1:$I$89,5,0)</f>
        <v>-1.2414602679200471E-13</v>
      </c>
      <c r="GW133" s="13" t="e">
        <f t="shared" ref="GW133:GW153" si="159">EXP(-1.0587+0.8836*LN(GV133)+0.284)</f>
        <v>#NUM!</v>
      </c>
      <c r="GX133" s="20" t="e">
        <f t="shared" si="136"/>
        <v>#NUM!</v>
      </c>
      <c r="GY133" s="57" t="e">
        <f t="shared" si="137"/>
        <v>#NUM!</v>
      </c>
      <c r="GZ133" s="57">
        <f ca="1">AVERAGE(OFFSET($GY$3,0,0,'Données projet'!$E$18+1,1))-AVERAGE(OFFSET($H$3,0,0,'Données projet'!$E$18+1,1))</f>
        <v>381.00532469288714</v>
      </c>
      <c r="HA133" s="57">
        <f t="shared" ref="HA133:HA196" si="160">$HA$3</f>
        <v>314.875259641757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>
        <f>EXP(-LN(2)/35)*HG132+(1-EXP(-LN(2)/35))/(LN(2)/35)*HC133*HD133*VLOOKUP('Données projet'!$B$18,Paramètres!$A$1:$I$89,3,0)*0.475*44/12</f>
        <v>112.6266429397937</v>
      </c>
      <c r="HH133" s="21">
        <f>EXP(-LN(2)/25)*HH132+(1-EXP(-LN(2)/25))/(LN(2)/25)*Calculateur!HC133*Calculateur!HE133*VLOOKUP('Données projet'!$B$18,Paramètres!$A$1:$I$89,3,0)*0.475*44/12</f>
        <v>14.36146383431459</v>
      </c>
      <c r="HI133" s="21">
        <f>EXP(-LN(2)/2)*HI132+(1-EXP(-LN(2)/2))/(LN(2)/2)*HC133*HF133*VLOOKUP('Données projet'!$B$18,Paramètres!$A$1:$I$89,3,0)*0.475*44/12</f>
        <v>7.621091483235317E-4</v>
      </c>
      <c r="HJ133" s="22">
        <f t="shared" si="138"/>
        <v>126.98886888325661</v>
      </c>
    </row>
    <row r="134" spans="1:218" x14ac:dyDescent="0.2">
      <c r="A134" s="10">
        <f t="shared" si="139"/>
        <v>131</v>
      </c>
      <c r="B134" s="71">
        <f>'Scénario référence'!$B$16*5+'Scénario référence'!$B$17*0+'Scénario référence'!$B$18*5</f>
        <v>3.3000000000000003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12.100000000000001</v>
      </c>
      <c r="H134" s="65">
        <f t="shared" si="110"/>
        <v>208.26666666666665</v>
      </c>
      <c r="I134" s="6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68.333275403759046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-1.1527845344971866E-13</v>
      </c>
      <c r="P134" s="13" t="e">
        <f t="shared" si="141"/>
        <v>#NUM!</v>
      </c>
      <c r="Q134" s="20" t="e">
        <f t="shared" si="108"/>
        <v>#NUM!</v>
      </c>
      <c r="R134" s="57" t="e">
        <f t="shared" si="109"/>
        <v>#NUM!</v>
      </c>
      <c r="S134" s="57">
        <f ca="1">AVERAGE(OFFSET($R$3,0,0,'Données projet'!$E$9+1,1))-AVERAGE(OFFSET($H$3,0,0,'Données projet'!$E$9+1,1))</f>
        <v>332.70145542047612</v>
      </c>
      <c r="T134" s="57">
        <f t="shared" si="142"/>
        <v>172.22433737900428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91.310746828710819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91.310746828710819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68.333275403759046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6.7133333333333338</v>
      </c>
      <c r="AI134" s="13">
        <f>IF('Données projet'!$A$62&gt;35,AI133+AH134-AQ133,IF(A134&lt;'Données projet'!$A$62,$AF$205^A134,IF(A134='Données projet'!$A$62,'Données projet'!$B$62,AI133+AH134-AQ133)))</f>
        <v>332.82000000000005</v>
      </c>
      <c r="AJ134" s="13">
        <f>AI134*VLOOKUP('Données projet'!$B$10,Paramètres!$A$1:$I$89,3,0)*VLOOKUP('Données projet'!$B$10,Paramètres!$A$1:$I$89,5,0)</f>
        <v>301.13553600000006</v>
      </c>
      <c r="AK134" s="13">
        <f t="shared" si="143"/>
        <v>71.414463070011863</v>
      </c>
      <c r="AL134" s="20">
        <f t="shared" si="112"/>
        <v>648.85791504693748</v>
      </c>
      <c r="AM134" s="57">
        <f t="shared" si="113"/>
        <v>936.07992486072067</v>
      </c>
      <c r="AN134" s="57">
        <f ca="1">AVERAGE(OFFSET($AM$3,0,0,'Données projet'!$E$10+1,1))-AVERAGE(OFFSET($H$3,0,0,'Données projet'!$E$10+1,1))</f>
        <v>469.4210143164521</v>
      </c>
      <c r="AO134" s="57">
        <f t="shared" si="144"/>
        <v>308.4508386530556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38.718476646019703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38.718476646019703</v>
      </c>
      <c r="AY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68.333275403759046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7" t="e">
        <f t="shared" si="116"/>
        <v>#NUM!</v>
      </c>
      <c r="BI134" s="57">
        <f ca="1">AVERAGE(OFFSET($BH$3,0,0,'Données projet'!$E$11+1,1))-AVERAGE(OFFSET($H$3,0,0,'Données projet'!$E$11+1,1))</f>
        <v>344.32981377462971</v>
      </c>
      <c r="BJ134" s="57">
        <f t="shared" si="146"/>
        <v>334.42512656625763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42.281491549238851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42.281491549238851</v>
      </c>
      <c r="BT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68.333275403759046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4.5474735088646412E-13</v>
      </c>
      <c r="BZ134" s="13">
        <f>BY134*VLOOKUP('Données projet'!$B$12,Paramètres!$A$1:$I$89,3,0)*VLOOKUP('Données projet'!$B$12,Paramètres!$A$1:$I$89,5,0)</f>
        <v>4.3273757910355926E-13</v>
      </c>
      <c r="CA134" s="13">
        <f t="shared" si="147"/>
        <v>5.4817614357080839E-12</v>
      </c>
      <c r="CB134" s="20">
        <f t="shared" si="118"/>
        <v>1.0301085784130276E-11</v>
      </c>
      <c r="CC134" s="57">
        <f t="shared" si="119"/>
        <v>287.22200981379348</v>
      </c>
      <c r="CD134" s="57">
        <f ca="1">AVERAGE(OFFSET($CC$3,0,0,'Données projet'!$E$12+1,1))-AVERAGE(OFFSET($H$3,0,0,'Données projet'!$E$12+1,1))</f>
        <v>498.77732039282807</v>
      </c>
      <c r="CE134" s="57">
        <f t="shared" si="148"/>
        <v>384.57317421826531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148.83886963876878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148.83886963876878</v>
      </c>
      <c r="CO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68.333275403759046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6.7133333333333338</v>
      </c>
      <c r="CT134" s="12">
        <f>IF('Données projet'!$A$140&gt;35,CT133+CS134-DB133,IF(A134&lt;'Données projet'!$A$140,$CQ$205^A134,IF(A134='Données projet'!$A$140,'Données projet'!$B$140,CT133+CS134-DB133)))</f>
        <v>332.82000000000005</v>
      </c>
      <c r="CU134" s="17">
        <f>CT134*VLOOKUP('Données projet'!$B$13,Paramètres!$A$1:$I$89,3,0)*VLOOKUP('Données projet'!$B$13,Paramètres!$A$1:$I$89,5,0)</f>
        <v>223.25565600000004</v>
      </c>
      <c r="CV134" s="13">
        <f t="shared" si="149"/>
        <v>54.821880362160336</v>
      </c>
      <c r="CW134" s="20">
        <f t="shared" si="121"/>
        <v>484.3183758307627</v>
      </c>
      <c r="CX134" s="57">
        <f t="shared" si="122"/>
        <v>771.54038564454595</v>
      </c>
      <c r="CY134" s="57">
        <f ca="1">AVERAGE(OFFSET($CX$3,0,0,'Données projet'!$E$13+1,1))-AVERAGE(OFFSET($H$3,0,0,'Données projet'!$E$13+1,1))</f>
        <v>365.99625753737246</v>
      </c>
      <c r="CZ134" s="57">
        <f t="shared" si="150"/>
        <v>242.84814712692287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35.38067693515594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35.38067693515594</v>
      </c>
      <c r="DJ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68.333275403759046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2.2737367544323206E-13</v>
      </c>
      <c r="DP134" s="17">
        <f>DO134*VLOOKUP('Données projet'!$B$14,Paramètres!$A$1:$I$89,3,0)*VLOOKUP('Données projet'!$B$14,Paramètres!$A$1:$I$89,5,0)</f>
        <v>1.4897523215040565E-13</v>
      </c>
      <c r="DQ134" s="13">
        <f t="shared" si="151"/>
        <v>2.136562777003313E-12</v>
      </c>
      <c r="DR134" s="20">
        <f t="shared" si="124"/>
        <v>3.9806453659427267E-12</v>
      </c>
      <c r="DS134" s="57">
        <f t="shared" si="125"/>
        <v>287.22200981378717</v>
      </c>
      <c r="DT134" s="57">
        <f ca="1">AVERAGE(OFFSET($DS$3,0,0,'Données projet'!$E$14+1,1))-AVERAGE(OFFSET($H$3,0,0,'Données projet'!$E$14+1,1))</f>
        <v>313.79279628660527</v>
      </c>
      <c r="DU134" s="57">
        <f t="shared" si="152"/>
        <v>317.45469955216254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41.080389234088074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41.080389234088074</v>
      </c>
      <c r="EE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68.333275403759046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-1.1368683772161603E-13</v>
      </c>
      <c r="EK134" s="17">
        <f>EJ134*VLOOKUP('Données projet'!$B$15,Paramètres!$A$1:$I$89,3,0)*VLOOKUP('Données projet'!$B$15,Paramètres!$A$1:$I$89,5,0)</f>
        <v>-9.7543306765146564E-14</v>
      </c>
      <c r="EL134" s="13" t="e">
        <f t="shared" si="153"/>
        <v>#NUM!</v>
      </c>
      <c r="EM134" s="20" t="e">
        <f t="shared" si="127"/>
        <v>#NUM!</v>
      </c>
      <c r="EN134" s="57" t="e">
        <f t="shared" si="128"/>
        <v>#NUM!</v>
      </c>
      <c r="EO134" s="57">
        <f ca="1">AVERAGE(OFFSET($EN$3,0,0,'Données projet'!$E$15+1,1))-AVERAGE(OFFSET($H$3,0,0,'Données projet'!$E$15+1,1))</f>
        <v>643.04899298561475</v>
      </c>
      <c r="EP134" s="57">
        <f t="shared" si="154"/>
        <v>474.94999304483031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152.26995558411312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152.26995558411312</v>
      </c>
      <c r="EZ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68.333275403759046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>
        <f>FE134*VLOOKUP('Données projet'!$B$16,Paramètres!$A$1:$I$89,3,0)*VLOOKUP('Données projet'!$B$16,Paramètres!$A$1:$I$89,5,0)</f>
        <v>0</v>
      </c>
      <c r="FG134" s="13" t="e">
        <f t="shared" si="155"/>
        <v>#NUM!</v>
      </c>
      <c r="FH134" s="20" t="e">
        <f t="shared" si="130"/>
        <v>#NUM!</v>
      </c>
      <c r="FI134" s="57" t="e">
        <f t="shared" si="131"/>
        <v>#NUM!</v>
      </c>
      <c r="FJ134" s="57">
        <f ca="1">AVERAGE(OFFSET($FI$3,0,0,'Données projet'!$E$16+1,1))-AVERAGE(OFFSET($H$3,0,0,'Données projet'!$E$16+1,1))</f>
        <v>375.34603719604439</v>
      </c>
      <c r="FK134" s="57">
        <f t="shared" si="156"/>
        <v>363.99476973672211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57.658481301188665</v>
      </c>
      <c r="FR134" s="21">
        <f>EXP(-LN(2)/25)*FR133+(1-EXP(-LN(2)/25))/(LN(2)/25)*Calculateur!FM134*Calculateur!FO134*VLOOKUP('Données projet'!$B$16,Paramètres!$A$1:$I$89,3,0)*0.475*44/12</f>
        <v>0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57.658481301188665</v>
      </c>
      <c r="FU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68.333275403759046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-1.1368683772161603E-13</v>
      </c>
      <c r="GA134" s="17">
        <f>FZ134*VLOOKUP('Données projet'!$B$17,Paramètres!$A$1:$I$89,3,0)*VLOOKUP('Données projet'!$B$17,Paramètres!$A$1:$I$89,5,0)</f>
        <v>-6.3550942286383367E-14</v>
      </c>
      <c r="GB134" s="13" t="e">
        <f t="shared" si="157"/>
        <v>#NUM!</v>
      </c>
      <c r="GC134" s="20" t="e">
        <f t="shared" si="133"/>
        <v>#NUM!</v>
      </c>
      <c r="GD134" s="57" t="e">
        <f t="shared" si="134"/>
        <v>#NUM!</v>
      </c>
      <c r="GE134" s="57">
        <f ca="1">AVERAGE(OFFSET($GD$3,0,0,'Données projet'!$E$17+1,1))-AVERAGE(OFFSET($H$3,0,0,'Données projet'!$E$17+1,1))</f>
        <v>414.47327143450701</v>
      </c>
      <c r="GF134" s="57">
        <f t="shared" si="158"/>
        <v>546.83385887302961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65.543799035208465</v>
      </c>
      <c r="GM134" s="21">
        <f>EXP(-LN(2)/25)*GM133+(1-EXP(-LN(2)/25))/(LN(2)/25)*Calculateur!GH134*Calculateur!GJ134*VLOOKUP('Données projet'!$B$17,Paramètres!$A$1:$I$89,3,0)*0.475*44/12</f>
        <v>7.5289244847633512</v>
      </c>
      <c r="GN134" s="21">
        <f>EXP(-LN(2)/2)*GN133+(1-EXP(-LN(2)/2))/(LN(2)/2)*GH134*GK134*VLOOKUP('Données projet'!$B$17,Paramètres!$A$1:$I$89,3,0)*0.475*44/12</f>
        <v>1.0687706699565087E-10</v>
      </c>
      <c r="GO134" s="21">
        <f t="shared" si="135"/>
        <v>73.072723520078696</v>
      </c>
      <c r="GP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68.333275403759046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-2.2737367544323206E-13</v>
      </c>
      <c r="GV134" s="17">
        <f>GU134*VLOOKUP('Données projet'!$B$18,Paramètres!$A$1:$I$89,3,0)*VLOOKUP('Données projet'!$B$18,Paramètres!$A$1:$I$89,5,0)</f>
        <v>-1.2414602679200471E-13</v>
      </c>
      <c r="GW134" s="13" t="e">
        <f t="shared" si="159"/>
        <v>#NUM!</v>
      </c>
      <c r="GX134" s="20" t="e">
        <f t="shared" si="136"/>
        <v>#NUM!</v>
      </c>
      <c r="GY134" s="57" t="e">
        <f t="shared" si="137"/>
        <v>#NUM!</v>
      </c>
      <c r="GZ134" s="57">
        <f ca="1">AVERAGE(OFFSET($GY$3,0,0,'Données projet'!$E$18+1,1))-AVERAGE(OFFSET($H$3,0,0,'Données projet'!$E$18+1,1))</f>
        <v>381.00532469288714</v>
      </c>
      <c r="HA134" s="57">
        <f t="shared" si="160"/>
        <v>314.875259641757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>
        <f>EXP(-LN(2)/35)*HG133+(1-EXP(-LN(2)/35))/(LN(2)/35)*HC134*HD134*VLOOKUP('Données projet'!$B$18,Paramètres!$A$1:$I$89,3,0)*0.475*44/12</f>
        <v>110.41810316721342</v>
      </c>
      <c r="HH134" s="21">
        <f>EXP(-LN(2)/25)*HH133+(1-EXP(-LN(2)/25))/(LN(2)/25)*Calculateur!HC134*Calculateur!HE134*VLOOKUP('Données projet'!$B$18,Paramètres!$A$1:$I$89,3,0)*0.475*44/12</f>
        <v>13.968748850528698</v>
      </c>
      <c r="HI134" s="21">
        <f>EXP(-LN(2)/2)*HI133+(1-EXP(-LN(2)/2))/(LN(2)/2)*HC134*HF134*VLOOKUP('Données projet'!$B$18,Paramètres!$A$1:$I$89,3,0)*0.475*44/12</f>
        <v>5.3889254678387362E-4</v>
      </c>
      <c r="HJ134" s="22">
        <f t="shared" si="138"/>
        <v>124.3873909102889</v>
      </c>
    </row>
    <row r="135" spans="1:218" x14ac:dyDescent="0.2">
      <c r="A135" s="10">
        <f t="shared" si="139"/>
        <v>132</v>
      </c>
      <c r="B135" s="71">
        <f>'Scénario référence'!$B$16*5+'Scénario référence'!$B$17*0+'Scénario référence'!$B$18*5</f>
        <v>3.3000000000000003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12.100000000000001</v>
      </c>
      <c r="H135" s="65">
        <f t="shared" si="110"/>
        <v>208.26666666666665</v>
      </c>
      <c r="I135" s="6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68.362189349265847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-1.1527845344971866E-13</v>
      </c>
      <c r="P135" s="13" t="e">
        <f t="shared" si="141"/>
        <v>#NUM!</v>
      </c>
      <c r="Q135" s="20" t="e">
        <f t="shared" si="108"/>
        <v>#NUM!</v>
      </c>
      <c r="R135" s="57" t="e">
        <f t="shared" si="109"/>
        <v>#NUM!</v>
      </c>
      <c r="S135" s="57">
        <f ca="1">AVERAGE(OFFSET($R$3,0,0,'Données projet'!$E$9+1,1))-AVERAGE(OFFSET($H$3,0,0,'Données projet'!$E$9+1,1))</f>
        <v>332.70145542047612</v>
      </c>
      <c r="T135" s="57">
        <f t="shared" si="142"/>
        <v>172.22433737900428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89.520198777456031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89.520198777456031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68.362189349265847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6.7133333333333338</v>
      </c>
      <c r="AI135" s="13">
        <f>IF('Données projet'!$A$62&gt;35,AI134+AH135-AQ134,IF(A135&lt;'Données projet'!$A$62,$AF$205^A135,IF(A135='Données projet'!$A$62,'Données projet'!$B$62,AI134+AH135-AQ134)))</f>
        <v>339.53333333333336</v>
      </c>
      <c r="AJ135" s="13">
        <f>AI135*VLOOKUP('Données projet'!$B$10,Paramètres!$A$1:$I$89,3,0)*VLOOKUP('Données projet'!$B$10,Paramètres!$A$1:$I$89,5,0)</f>
        <v>307.20976000000002</v>
      </c>
      <c r="AK135" s="13">
        <f t="shared" si="143"/>
        <v>72.685810726425274</v>
      </c>
      <c r="AL135" s="20">
        <f t="shared" si="112"/>
        <v>661.651452348524</v>
      </c>
      <c r="AM135" s="57">
        <f t="shared" si="113"/>
        <v>948.97947996249877</v>
      </c>
      <c r="AN135" s="57">
        <f ca="1">AVERAGE(OFFSET($AM$3,0,0,'Données projet'!$E$10+1,1))-AVERAGE(OFFSET($H$3,0,0,'Données projet'!$E$10+1,1))</f>
        <v>469.4210143164521</v>
      </c>
      <c r="AO135" s="57">
        <f t="shared" si="144"/>
        <v>308.4508386530556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37.959230934930133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37.959230934930133</v>
      </c>
      <c r="AY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68.362189349265847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7" t="e">
        <f t="shared" si="116"/>
        <v>#NUM!</v>
      </c>
      <c r="BI135" s="57">
        <f ca="1">AVERAGE(OFFSET($BH$3,0,0,'Données projet'!$E$11+1,1))-AVERAGE(OFFSET($H$3,0,0,'Données projet'!$E$11+1,1))</f>
        <v>344.32981377462971</v>
      </c>
      <c r="BJ135" s="57">
        <f t="shared" si="146"/>
        <v>334.42512656625763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41.452377289121657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41.452377289121657</v>
      </c>
      <c r="BT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68.362189349265847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4.5474735088646412E-13</v>
      </c>
      <c r="BZ135" s="13">
        <f>BY135*VLOOKUP('Données projet'!$B$12,Paramètres!$A$1:$I$89,3,0)*VLOOKUP('Données projet'!$B$12,Paramètres!$A$1:$I$89,5,0)</f>
        <v>4.3273757910355926E-13</v>
      </c>
      <c r="CA135" s="13">
        <f t="shared" si="147"/>
        <v>5.4817614357080839E-12</v>
      </c>
      <c r="CB135" s="20">
        <f t="shared" si="118"/>
        <v>1.0301085784130276E-11</v>
      </c>
      <c r="CC135" s="57">
        <f t="shared" si="119"/>
        <v>287.32802761398506</v>
      </c>
      <c r="CD135" s="57">
        <f ca="1">AVERAGE(OFFSET($CC$3,0,0,'Données projet'!$E$12+1,1))-AVERAGE(OFFSET($H$3,0,0,'Données projet'!$E$12+1,1))</f>
        <v>498.77732039282807</v>
      </c>
      <c r="CE135" s="57">
        <f t="shared" si="148"/>
        <v>384.57317421826531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145.92023018789897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145.92023018789897</v>
      </c>
      <c r="CO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68.362189349265847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6.7133333333333338</v>
      </c>
      <c r="CT135" s="12">
        <f>IF('Données projet'!$A$140&gt;35,CT134+CS135-DB134,IF(A135&lt;'Données projet'!$A$140,$CQ$205^A135,IF(A135='Données projet'!$A$140,'Données projet'!$B$140,CT134+CS135-DB134)))</f>
        <v>339.53333333333336</v>
      </c>
      <c r="CU135" s="17">
        <f>CT135*VLOOKUP('Données projet'!$B$13,Paramètres!$A$1:$I$89,3,0)*VLOOKUP('Données projet'!$B$13,Paramètres!$A$1:$I$89,5,0)</f>
        <v>227.75896000000003</v>
      </c>
      <c r="CV135" s="13">
        <f t="shared" si="149"/>
        <v>55.797840498558422</v>
      </c>
      <c r="CW135" s="20">
        <f t="shared" si="121"/>
        <v>493.86142753498933</v>
      </c>
      <c r="CX135" s="57">
        <f t="shared" si="122"/>
        <v>781.18945514896404</v>
      </c>
      <c r="CY135" s="57">
        <f ca="1">AVERAGE(OFFSET($CX$3,0,0,'Données projet'!$E$13+1,1))-AVERAGE(OFFSET($H$3,0,0,'Données projet'!$E$13+1,1))</f>
        <v>365.99625753737246</v>
      </c>
      <c r="CZ135" s="57">
        <f t="shared" si="150"/>
        <v>242.84814712692287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34.686883440539603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34.686883440539603</v>
      </c>
      <c r="DJ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68.362189349265847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2.2737367544323206E-13</v>
      </c>
      <c r="DP135" s="17">
        <f>DO135*VLOOKUP('Données projet'!$B$14,Paramètres!$A$1:$I$89,3,0)*VLOOKUP('Données projet'!$B$14,Paramètres!$A$1:$I$89,5,0)</f>
        <v>1.4897523215040565E-13</v>
      </c>
      <c r="DQ135" s="13">
        <f t="shared" si="151"/>
        <v>2.136562777003313E-12</v>
      </c>
      <c r="DR135" s="20">
        <f t="shared" si="124"/>
        <v>3.9806453659427267E-12</v>
      </c>
      <c r="DS135" s="57">
        <f t="shared" si="125"/>
        <v>287.32802761397875</v>
      </c>
      <c r="DT135" s="57">
        <f ca="1">AVERAGE(OFFSET($DS$3,0,0,'Données projet'!$E$14+1,1))-AVERAGE(OFFSET($H$3,0,0,'Données projet'!$E$14+1,1))</f>
        <v>313.79279628660527</v>
      </c>
      <c r="DU135" s="57">
        <f t="shared" si="152"/>
        <v>317.45469955216254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40.274827857770909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40.274827857770909</v>
      </c>
      <c r="EE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68.362189349265847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-1.1368683772161603E-13</v>
      </c>
      <c r="EK135" s="17">
        <f>EJ135*VLOOKUP('Données projet'!$B$15,Paramètres!$A$1:$I$89,3,0)*VLOOKUP('Données projet'!$B$15,Paramètres!$A$1:$I$89,5,0)</f>
        <v>-9.7543306765146564E-14</v>
      </c>
      <c r="EL135" s="13" t="e">
        <f t="shared" si="153"/>
        <v>#NUM!</v>
      </c>
      <c r="EM135" s="20" t="e">
        <f t="shared" si="127"/>
        <v>#NUM!</v>
      </c>
      <c r="EN135" s="57" t="e">
        <f t="shared" si="128"/>
        <v>#NUM!</v>
      </c>
      <c r="EO135" s="57">
        <f ca="1">AVERAGE(OFFSET($EN$3,0,0,'Données projet'!$E$15+1,1))-AVERAGE(OFFSET($H$3,0,0,'Données projet'!$E$15+1,1))</f>
        <v>643.04899298561475</v>
      </c>
      <c r="EP135" s="57">
        <f t="shared" si="154"/>
        <v>474.94999304483031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149.28403463061088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149.28403463061088</v>
      </c>
      <c r="EZ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68.362189349265847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>
        <f>FE135*VLOOKUP('Données projet'!$B$16,Paramètres!$A$1:$I$89,3,0)*VLOOKUP('Données projet'!$B$16,Paramètres!$A$1:$I$89,5,0)</f>
        <v>0</v>
      </c>
      <c r="FG135" s="13" t="e">
        <f t="shared" si="155"/>
        <v>#NUM!</v>
      </c>
      <c r="FH135" s="20" t="e">
        <f t="shared" si="130"/>
        <v>#NUM!</v>
      </c>
      <c r="FI135" s="57" t="e">
        <f t="shared" si="131"/>
        <v>#NUM!</v>
      </c>
      <c r="FJ135" s="57">
        <f ca="1">AVERAGE(OFFSET($FI$3,0,0,'Données projet'!$E$16+1,1))-AVERAGE(OFFSET($H$3,0,0,'Données projet'!$E$16+1,1))</f>
        <v>375.34603719604439</v>
      </c>
      <c r="FK135" s="57">
        <f t="shared" si="156"/>
        <v>363.99476973672211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56.527833651073379</v>
      </c>
      <c r="FR135" s="21">
        <f>EXP(-LN(2)/25)*FR134+(1-EXP(-LN(2)/25))/(LN(2)/25)*Calculateur!FM135*Calculateur!FO135*VLOOKUP('Données projet'!$B$16,Paramètres!$A$1:$I$89,3,0)*0.475*44/12</f>
        <v>0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56.527833651073379</v>
      </c>
      <c r="FU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68.362189349265847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-1.1368683772161603E-13</v>
      </c>
      <c r="GA135" s="17">
        <f>FZ135*VLOOKUP('Données projet'!$B$17,Paramètres!$A$1:$I$89,3,0)*VLOOKUP('Données projet'!$B$17,Paramètres!$A$1:$I$89,5,0)</f>
        <v>-6.3550942286383367E-14</v>
      </c>
      <c r="GB135" s="13" t="e">
        <f t="shared" si="157"/>
        <v>#NUM!</v>
      </c>
      <c r="GC135" s="20" t="e">
        <f t="shared" si="133"/>
        <v>#NUM!</v>
      </c>
      <c r="GD135" s="57" t="e">
        <f t="shared" si="134"/>
        <v>#NUM!</v>
      </c>
      <c r="GE135" s="57">
        <f ca="1">AVERAGE(OFFSET($GD$3,0,0,'Données projet'!$E$17+1,1))-AVERAGE(OFFSET($H$3,0,0,'Données projet'!$E$17+1,1))</f>
        <v>414.47327143450701</v>
      </c>
      <c r="GF135" s="57">
        <f t="shared" si="158"/>
        <v>546.83385887302961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64.25852511389796</v>
      </c>
      <c r="GM135" s="21">
        <f>EXP(-LN(2)/25)*GM134+(1-EXP(-LN(2)/25))/(LN(2)/25)*Calculateur!GH135*Calculateur!GJ135*VLOOKUP('Données projet'!$B$17,Paramètres!$A$1:$I$89,3,0)*0.475*44/12</f>
        <v>7.3230456487985665</v>
      </c>
      <c r="GN135" s="21">
        <f>EXP(-LN(2)/2)*GN134+(1-EXP(-LN(2)/2))/(LN(2)/2)*GH135*GK135*VLOOKUP('Données projet'!$B$17,Paramètres!$A$1:$I$89,3,0)*0.475*44/12</f>
        <v>7.5573498825953678E-11</v>
      </c>
      <c r="GO135" s="21">
        <f t="shared" si="135"/>
        <v>71.581570762772103</v>
      </c>
      <c r="GP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68.362189349265847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-2.2737367544323206E-13</v>
      </c>
      <c r="GV135" s="17">
        <f>GU135*VLOOKUP('Données projet'!$B$18,Paramètres!$A$1:$I$89,3,0)*VLOOKUP('Données projet'!$B$18,Paramètres!$A$1:$I$89,5,0)</f>
        <v>-1.2414602679200471E-13</v>
      </c>
      <c r="GW135" s="13" t="e">
        <f t="shared" si="159"/>
        <v>#NUM!</v>
      </c>
      <c r="GX135" s="20" t="e">
        <f t="shared" si="136"/>
        <v>#NUM!</v>
      </c>
      <c r="GY135" s="57" t="e">
        <f t="shared" si="137"/>
        <v>#NUM!</v>
      </c>
      <c r="GZ135" s="57">
        <f ca="1">AVERAGE(OFFSET($GY$3,0,0,'Données projet'!$E$18+1,1))-AVERAGE(OFFSET($H$3,0,0,'Données projet'!$E$18+1,1))</f>
        <v>381.00532469288714</v>
      </c>
      <c r="HA135" s="57">
        <f t="shared" si="160"/>
        <v>314.875259641757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>
        <f>EXP(-LN(2)/35)*HG134+(1-EXP(-LN(2)/35))/(LN(2)/35)*HC135*HD135*VLOOKUP('Données projet'!$B$18,Paramètres!$A$1:$I$89,3,0)*0.475*44/12</f>
        <v>108.25287151249719</v>
      </c>
      <c r="HH135" s="21">
        <f>EXP(-LN(2)/25)*HH134+(1-EXP(-LN(2)/25))/(LN(2)/25)*Calculateur!HC135*Calculateur!HE135*VLOOKUP('Données projet'!$B$18,Paramètres!$A$1:$I$89,3,0)*0.475*44/12</f>
        <v>13.586772678626415</v>
      </c>
      <c r="HI135" s="21">
        <f>EXP(-LN(2)/2)*HI134+(1-EXP(-LN(2)/2))/(LN(2)/2)*HC135*HF135*VLOOKUP('Données projet'!$B$18,Paramètres!$A$1:$I$89,3,0)*0.475*44/12</f>
        <v>3.8105457416176585E-4</v>
      </c>
      <c r="HJ135" s="22">
        <f t="shared" si="138"/>
        <v>121.84002524569777</v>
      </c>
    </row>
    <row r="136" spans="1:218" x14ac:dyDescent="0.2">
      <c r="A136" s="10">
        <f t="shared" si="139"/>
        <v>133</v>
      </c>
      <c r="B136" s="71">
        <f>'Scénario référence'!$B$16*5+'Scénario référence'!$B$17*0+'Scénario référence'!$B$18*5</f>
        <v>3.3000000000000003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12.100000000000001</v>
      </c>
      <c r="H136" s="65">
        <f t="shared" si="110"/>
        <v>208.26666666666665</v>
      </c>
      <c r="I136" s="6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68.390601702460017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-1.1527845344971866E-13</v>
      </c>
      <c r="P136" s="13" t="e">
        <f t="shared" si="141"/>
        <v>#NUM!</v>
      </c>
      <c r="Q136" s="20" t="e">
        <f t="shared" si="108"/>
        <v>#NUM!</v>
      </c>
      <c r="R136" s="57" t="e">
        <f t="shared" si="109"/>
        <v>#NUM!</v>
      </c>
      <c r="S136" s="57">
        <f ca="1">AVERAGE(OFFSET($R$3,0,0,'Données projet'!$E$9+1,1))-AVERAGE(OFFSET($H$3,0,0,'Données projet'!$E$9+1,1))</f>
        <v>332.70145542047612</v>
      </c>
      <c r="T136" s="57">
        <f t="shared" si="142"/>
        <v>172.22433737900428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87.764762281359879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87.764762281359879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68.390601702460017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6.7133333333333338</v>
      </c>
      <c r="AI136" s="13">
        <f>IF('Données projet'!$A$62&gt;35,AI135+AH136-AQ135,IF(A136&lt;'Données projet'!$A$62,$AF$205^A136,IF(A136='Données projet'!$A$62,'Données projet'!$B$62,AI135+AH136-AQ135)))</f>
        <v>346.24666666666667</v>
      </c>
      <c r="AJ136" s="13">
        <f>AI136*VLOOKUP('Données projet'!$B$10,Paramètres!$A$1:$I$89,3,0)*VLOOKUP('Données projet'!$B$10,Paramètres!$A$1:$I$89,5,0)</f>
        <v>313.28398399999998</v>
      </c>
      <c r="AK136" s="13">
        <f t="shared" si="143"/>
        <v>73.954235554233009</v>
      </c>
      <c r="AL136" s="20">
        <f t="shared" si="112"/>
        <v>674.43989905695571</v>
      </c>
      <c r="AM136" s="57">
        <f t="shared" si="113"/>
        <v>961.87210529930917</v>
      </c>
      <c r="AN136" s="57">
        <f ca="1">AVERAGE(OFFSET($AM$3,0,0,'Données projet'!$E$10+1,1))-AVERAGE(OFFSET($H$3,0,0,'Données projet'!$E$10+1,1))</f>
        <v>469.4210143164521</v>
      </c>
      <c r="AO136" s="57">
        <f t="shared" si="144"/>
        <v>308.4508386530556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37.21487356914087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37.21487356914087</v>
      </c>
      <c r="AY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68.390601702460017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7" t="e">
        <f t="shared" si="116"/>
        <v>#NUM!</v>
      </c>
      <c r="BI136" s="57">
        <f ca="1">AVERAGE(OFFSET($BH$3,0,0,'Données projet'!$E$11+1,1))-AVERAGE(OFFSET($H$3,0,0,'Données projet'!$E$11+1,1))</f>
        <v>344.32981377462971</v>
      </c>
      <c r="BJ136" s="57">
        <f t="shared" si="146"/>
        <v>334.42512656625763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40.639521453935593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40.639521453935593</v>
      </c>
      <c r="BT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68.390601702460017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4.5474735088646412E-13</v>
      </c>
      <c r="BZ136" s="13">
        <f>BY136*VLOOKUP('Données projet'!$B$12,Paramètres!$A$1:$I$89,3,0)*VLOOKUP('Données projet'!$B$12,Paramètres!$A$1:$I$89,5,0)</f>
        <v>4.3273757910355926E-13</v>
      </c>
      <c r="CA136" s="13">
        <f t="shared" si="147"/>
        <v>5.4817614357080839E-12</v>
      </c>
      <c r="CB136" s="20">
        <f t="shared" si="118"/>
        <v>1.0301085784130276E-11</v>
      </c>
      <c r="CC136" s="57">
        <f t="shared" si="119"/>
        <v>287.43220624236369</v>
      </c>
      <c r="CD136" s="57">
        <f ca="1">AVERAGE(OFFSET($CC$3,0,0,'Données projet'!$E$12+1,1))-AVERAGE(OFFSET($H$3,0,0,'Données projet'!$E$12+1,1))</f>
        <v>498.77732039282807</v>
      </c>
      <c r="CE136" s="57">
        <f t="shared" si="148"/>
        <v>384.57317421826531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143.05882347646642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143.05882347646642</v>
      </c>
      <c r="CO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68.390601702460017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6.7133333333333338</v>
      </c>
      <c r="CT136" s="12">
        <f>IF('Données projet'!$A$140&gt;35,CT135+CS136-DB135,IF(A136&lt;'Données projet'!$A$140,$CQ$205^A136,IF(A136='Données projet'!$A$140,'Données projet'!$B$140,CT135+CS136-DB135)))</f>
        <v>346.24666666666667</v>
      </c>
      <c r="CU136" s="17">
        <f>CT136*VLOOKUP('Données projet'!$B$13,Paramètres!$A$1:$I$89,3,0)*VLOOKUP('Données projet'!$B$13,Paramètres!$A$1:$I$89,5,0)</f>
        <v>232.26226400000002</v>
      </c>
      <c r="CV136" s="13">
        <f t="shared" si="149"/>
        <v>56.771556902339277</v>
      </c>
      <c r="CW136" s="20">
        <f t="shared" si="121"/>
        <v>503.40057140490757</v>
      </c>
      <c r="CX136" s="57">
        <f t="shared" si="122"/>
        <v>790.83277764726097</v>
      </c>
      <c r="CY136" s="57">
        <f ca="1">AVERAGE(OFFSET($CX$3,0,0,'Données projet'!$E$13+1,1))-AVERAGE(OFFSET($H$3,0,0,'Données projet'!$E$13+1,1))</f>
        <v>365.99625753737246</v>
      </c>
      <c r="CZ136" s="57">
        <f t="shared" si="150"/>
        <v>242.84814712692287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34.006694813180445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34.006694813180445</v>
      </c>
      <c r="DJ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68.390601702460017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2.2737367544323206E-13</v>
      </c>
      <c r="DP136" s="17">
        <f>DO136*VLOOKUP('Données projet'!$B$14,Paramètres!$A$1:$I$89,3,0)*VLOOKUP('Données projet'!$B$14,Paramètres!$A$1:$I$89,5,0)</f>
        <v>1.4897523215040565E-13</v>
      </c>
      <c r="DQ136" s="13">
        <f t="shared" si="151"/>
        <v>2.136562777003313E-12</v>
      </c>
      <c r="DR136" s="20">
        <f t="shared" si="124"/>
        <v>3.9806453659427267E-12</v>
      </c>
      <c r="DS136" s="57">
        <f t="shared" si="125"/>
        <v>287.43220624235738</v>
      </c>
      <c r="DT136" s="57">
        <f ca="1">AVERAGE(OFFSET($DS$3,0,0,'Données projet'!$E$14+1,1))-AVERAGE(OFFSET($H$3,0,0,'Données projet'!$E$14+1,1))</f>
        <v>313.79279628660527</v>
      </c>
      <c r="DU136" s="57">
        <f t="shared" si="152"/>
        <v>317.45469955216254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39.485063048699402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39.485063048699402</v>
      </c>
      <c r="EE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68.390601702460017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-1.1368683772161603E-13</v>
      </c>
      <c r="EK136" s="17">
        <f>EJ136*VLOOKUP('Données projet'!$B$15,Paramètres!$A$1:$I$89,3,0)*VLOOKUP('Données projet'!$B$15,Paramètres!$A$1:$I$89,5,0)</f>
        <v>-9.7543306765146564E-14</v>
      </c>
      <c r="EL136" s="13" t="e">
        <f t="shared" si="153"/>
        <v>#NUM!</v>
      </c>
      <c r="EM136" s="20" t="e">
        <f t="shared" si="127"/>
        <v>#NUM!</v>
      </c>
      <c r="EN136" s="57" t="e">
        <f t="shared" si="128"/>
        <v>#NUM!</v>
      </c>
      <c r="EO136" s="57">
        <f ca="1">AVERAGE(OFFSET($EN$3,0,0,'Données projet'!$E$15+1,1))-AVERAGE(OFFSET($H$3,0,0,'Données projet'!$E$15+1,1))</f>
        <v>643.04899298561475</v>
      </c>
      <c r="EP136" s="57">
        <f t="shared" si="154"/>
        <v>474.94999304483031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146.35666576577486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146.35666576577486</v>
      </c>
      <c r="EZ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68.390601702460017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>
        <f>FE136*VLOOKUP('Données projet'!$B$16,Paramètres!$A$1:$I$89,3,0)*VLOOKUP('Données projet'!$B$16,Paramètres!$A$1:$I$89,5,0)</f>
        <v>0</v>
      </c>
      <c r="FG136" s="13" t="e">
        <f t="shared" si="155"/>
        <v>#NUM!</v>
      </c>
      <c r="FH136" s="20" t="e">
        <f t="shared" si="130"/>
        <v>#NUM!</v>
      </c>
      <c r="FI136" s="57" t="e">
        <f t="shared" si="131"/>
        <v>#NUM!</v>
      </c>
      <c r="FJ136" s="57">
        <f ca="1">AVERAGE(OFFSET($FI$3,0,0,'Données projet'!$E$16+1,1))-AVERAGE(OFFSET($H$3,0,0,'Données projet'!$E$16+1,1))</f>
        <v>375.34603719604439</v>
      </c>
      <c r="FK136" s="57">
        <f t="shared" si="156"/>
        <v>363.99476973672211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55.419357311749884</v>
      </c>
      <c r="FR136" s="21">
        <f>EXP(-LN(2)/25)*FR135+(1-EXP(-LN(2)/25))/(LN(2)/25)*Calculateur!FM136*Calculateur!FO136*VLOOKUP('Données projet'!$B$16,Paramètres!$A$1:$I$89,3,0)*0.475*44/12</f>
        <v>0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55.419357311749884</v>
      </c>
      <c r="FU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68.390601702460017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-1.1368683772161603E-13</v>
      </c>
      <c r="GA136" s="17">
        <f>FZ136*VLOOKUP('Données projet'!$B$17,Paramètres!$A$1:$I$89,3,0)*VLOOKUP('Données projet'!$B$17,Paramètres!$A$1:$I$89,5,0)</f>
        <v>-6.3550942286383367E-14</v>
      </c>
      <c r="GB136" s="13" t="e">
        <f t="shared" si="157"/>
        <v>#NUM!</v>
      </c>
      <c r="GC136" s="20" t="e">
        <f t="shared" si="133"/>
        <v>#NUM!</v>
      </c>
      <c r="GD136" s="57" t="e">
        <f t="shared" si="134"/>
        <v>#NUM!</v>
      </c>
      <c r="GE136" s="57">
        <f ca="1">AVERAGE(OFFSET($GD$3,0,0,'Données projet'!$E$17+1,1))-AVERAGE(OFFSET($H$3,0,0,'Données projet'!$E$17+1,1))</f>
        <v>414.47327143450701</v>
      </c>
      <c r="GF136" s="57">
        <f t="shared" si="158"/>
        <v>546.83385887302961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62.998454630244673</v>
      </c>
      <c r="GM136" s="21">
        <f>EXP(-LN(2)/25)*GM135+(1-EXP(-LN(2)/25))/(LN(2)/25)*Calculateur!GH136*Calculateur!GJ136*VLOOKUP('Données projet'!$B$17,Paramètres!$A$1:$I$89,3,0)*0.475*44/12</f>
        <v>7.1227965804299362</v>
      </c>
      <c r="GN136" s="21">
        <f>EXP(-LN(2)/2)*GN135+(1-EXP(-LN(2)/2))/(LN(2)/2)*GH136*GK136*VLOOKUP('Données projet'!$B$17,Paramètres!$A$1:$I$89,3,0)*0.475*44/12</f>
        <v>5.3438533497825434E-11</v>
      </c>
      <c r="GO136" s="21">
        <f t="shared" si="135"/>
        <v>70.121251210728047</v>
      </c>
      <c r="GP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68.390601702460017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-2.2737367544323206E-13</v>
      </c>
      <c r="GV136" s="17">
        <f>GU136*VLOOKUP('Données projet'!$B$18,Paramètres!$A$1:$I$89,3,0)*VLOOKUP('Données projet'!$B$18,Paramètres!$A$1:$I$89,5,0)</f>
        <v>-1.2414602679200471E-13</v>
      </c>
      <c r="GW136" s="13" t="e">
        <f t="shared" si="159"/>
        <v>#NUM!</v>
      </c>
      <c r="GX136" s="20" t="e">
        <f t="shared" si="136"/>
        <v>#NUM!</v>
      </c>
      <c r="GY136" s="57" t="e">
        <f t="shared" si="137"/>
        <v>#NUM!</v>
      </c>
      <c r="GZ136" s="57">
        <f ca="1">AVERAGE(OFFSET($GY$3,0,0,'Données projet'!$E$18+1,1))-AVERAGE(OFFSET($H$3,0,0,'Données projet'!$E$18+1,1))</f>
        <v>381.00532469288714</v>
      </c>
      <c r="HA136" s="57">
        <f t="shared" si="160"/>
        <v>314.875259641757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>
        <f>EXP(-LN(2)/35)*HG135+(1-EXP(-LN(2)/35))/(LN(2)/35)*HC136*HD136*VLOOKUP('Données projet'!$B$18,Paramètres!$A$1:$I$89,3,0)*0.475*44/12</f>
        <v>106.13009872986905</v>
      </c>
      <c r="HH136" s="21">
        <f>EXP(-LN(2)/25)*HH135+(1-EXP(-LN(2)/25))/(LN(2)/25)*Calculateur!HC136*Calculateur!HE136*VLOOKUP('Données projet'!$B$18,Paramètres!$A$1:$I$89,3,0)*0.475*44/12</f>
        <v>13.215241665232053</v>
      </c>
      <c r="HI136" s="21">
        <f>EXP(-LN(2)/2)*HI135+(1-EXP(-LN(2)/2))/(LN(2)/2)*HC136*HF136*VLOOKUP('Données projet'!$B$18,Paramètres!$A$1:$I$89,3,0)*0.475*44/12</f>
        <v>2.6944627339193681E-4</v>
      </c>
      <c r="HJ136" s="22">
        <f t="shared" si="138"/>
        <v>119.3456098413745</v>
      </c>
    </row>
    <row r="137" spans="1:218" x14ac:dyDescent="0.2">
      <c r="A137" s="10">
        <f t="shared" si="139"/>
        <v>134</v>
      </c>
      <c r="B137" s="71">
        <f>'Scénario référence'!$B$16*5+'Scénario référence'!$B$17*0+'Scénario référence'!$B$18*5</f>
        <v>3.3000000000000003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12.100000000000001</v>
      </c>
      <c r="H137" s="65">
        <f t="shared" si="110"/>
        <v>208.26666666666665</v>
      </c>
      <c r="I137" s="6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68.41852116484678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-1.1527845344971866E-13</v>
      </c>
      <c r="P137" s="13" t="e">
        <f t="shared" si="141"/>
        <v>#NUM!</v>
      </c>
      <c r="Q137" s="20" t="e">
        <f t="shared" si="108"/>
        <v>#NUM!</v>
      </c>
      <c r="R137" s="57" t="e">
        <f t="shared" si="109"/>
        <v>#NUM!</v>
      </c>
      <c r="S137" s="57">
        <f ca="1">AVERAGE(OFFSET($R$3,0,0,'Données projet'!$E$9+1,1))-AVERAGE(OFFSET($H$3,0,0,'Données projet'!$E$9+1,1))</f>
        <v>332.70145542047612</v>
      </c>
      <c r="T137" s="57">
        <f t="shared" si="142"/>
        <v>172.22433737900428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86.043748824241632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86.043748824241632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68.41852116484678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6.7133333333333338</v>
      </c>
      <c r="AI137" s="13">
        <f>IF('Données projet'!$A$62&gt;35,AI136+AH137-AQ136,IF(A137&lt;'Données projet'!$A$62,$AF$205^A137,IF(A137='Données projet'!$A$62,'Données projet'!$B$62,AI136+AH137-AQ136)))</f>
        <v>352.96</v>
      </c>
      <c r="AJ137" s="13">
        <f>AI137*VLOOKUP('Données projet'!$B$10,Paramètres!$A$1:$I$89,3,0)*VLOOKUP('Données projet'!$B$10,Paramètres!$A$1:$I$89,5,0)</f>
        <v>319.35820799999999</v>
      </c>
      <c r="AK137" s="13">
        <f t="shared" si="143"/>
        <v>75.219800756874776</v>
      </c>
      <c r="AL137" s="20">
        <f t="shared" si="112"/>
        <v>687.22336525155686</v>
      </c>
      <c r="AM137" s="57">
        <f t="shared" si="113"/>
        <v>974.757942855995</v>
      </c>
      <c r="AN137" s="57">
        <f ca="1">AVERAGE(OFFSET($AM$3,0,0,'Données projet'!$E$10+1,1))-AVERAGE(OFFSET($H$3,0,0,'Données projet'!$E$10+1,1))</f>
        <v>469.4210143164521</v>
      </c>
      <c r="AO137" s="57">
        <f t="shared" si="144"/>
        <v>308.4508386530556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36.485112597281571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36.485112597281571</v>
      </c>
      <c r="AY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68.41852116484678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7" t="e">
        <f t="shared" si="116"/>
        <v>#NUM!</v>
      </c>
      <c r="BI137" s="57">
        <f ca="1">AVERAGE(OFFSET($BH$3,0,0,'Données projet'!$E$11+1,1))-AVERAGE(OFFSET($H$3,0,0,'Données projet'!$E$11+1,1))</f>
        <v>344.32981377462971</v>
      </c>
      <c r="BJ137" s="57">
        <f t="shared" si="146"/>
        <v>334.42512656625763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39.842605225884427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39.842605225884427</v>
      </c>
      <c r="BT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68.41852116484678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4.5474735088646412E-13</v>
      </c>
      <c r="BZ137" s="13">
        <f>BY137*VLOOKUP('Données projet'!$B$12,Paramètres!$A$1:$I$89,3,0)*VLOOKUP('Données projet'!$B$12,Paramètres!$A$1:$I$89,5,0)</f>
        <v>4.3273757910355926E-13</v>
      </c>
      <c r="CA137" s="13">
        <f t="shared" si="147"/>
        <v>5.4817614357080839E-12</v>
      </c>
      <c r="CB137" s="20">
        <f t="shared" si="118"/>
        <v>1.0301085784130276E-11</v>
      </c>
      <c r="CC137" s="57">
        <f t="shared" si="119"/>
        <v>287.53457760444849</v>
      </c>
      <c r="CD137" s="57">
        <f ca="1">AVERAGE(OFFSET($CC$3,0,0,'Données projet'!$E$12+1,1))-AVERAGE(OFFSET($H$3,0,0,'Données projet'!$E$12+1,1))</f>
        <v>498.77732039282807</v>
      </c>
      <c r="CE137" s="57">
        <f t="shared" si="148"/>
        <v>384.57317421826531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140.25352720535929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140.25352720535929</v>
      </c>
      <c r="CO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68.41852116484678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6.7133333333333338</v>
      </c>
      <c r="CT137" s="12">
        <f>IF('Données projet'!$A$140&gt;35,CT136+CS137-DB136,IF(A137&lt;'Données projet'!$A$140,$CQ$205^A137,IF(A137='Données projet'!$A$140,'Données projet'!$B$140,CT136+CS137-DB136)))</f>
        <v>352.96</v>
      </c>
      <c r="CU137" s="17">
        <f>CT137*VLOOKUP('Données projet'!$B$13,Paramètres!$A$1:$I$89,3,0)*VLOOKUP('Données projet'!$B$13,Paramètres!$A$1:$I$89,5,0)</f>
        <v>236.765568</v>
      </c>
      <c r="CV137" s="13">
        <f t="shared" si="149"/>
        <v>57.743078092125756</v>
      </c>
      <c r="CW137" s="20">
        <f t="shared" si="121"/>
        <v>512.93589194378569</v>
      </c>
      <c r="CX137" s="57">
        <f t="shared" si="122"/>
        <v>800.47046954822395</v>
      </c>
      <c r="CY137" s="57">
        <f ca="1">AVERAGE(OFFSET($CX$3,0,0,'Données projet'!$E$13+1,1))-AVERAGE(OFFSET($H$3,0,0,'Données projet'!$E$13+1,1))</f>
        <v>365.99625753737246</v>
      </c>
      <c r="CZ137" s="57">
        <f t="shared" si="150"/>
        <v>242.84814712692287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33.339844269929706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33.339844269929706</v>
      </c>
      <c r="DJ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68.41852116484678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2.2737367544323206E-13</v>
      </c>
      <c r="DP137" s="17">
        <f>DO137*VLOOKUP('Données projet'!$B$14,Paramètres!$A$1:$I$89,3,0)*VLOOKUP('Données projet'!$B$14,Paramètres!$A$1:$I$89,5,0)</f>
        <v>1.4897523215040565E-13</v>
      </c>
      <c r="DQ137" s="13">
        <f t="shared" si="151"/>
        <v>2.136562777003313E-12</v>
      </c>
      <c r="DR137" s="20">
        <f t="shared" si="124"/>
        <v>3.9806453659427267E-12</v>
      </c>
      <c r="DS137" s="57">
        <f t="shared" si="125"/>
        <v>287.53457760444218</v>
      </c>
      <c r="DT137" s="57">
        <f ca="1">AVERAGE(OFFSET($DS$3,0,0,'Données projet'!$E$14+1,1))-AVERAGE(OFFSET($H$3,0,0,'Données projet'!$E$14+1,1))</f>
        <v>313.79279628660527</v>
      </c>
      <c r="DU137" s="57">
        <f t="shared" si="152"/>
        <v>317.45469955216254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38.710785045824821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38.710785045824821</v>
      </c>
      <c r="EE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68.41852116484678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-1.1368683772161603E-13</v>
      </c>
      <c r="EK137" s="17">
        <f>EJ137*VLOOKUP('Données projet'!$B$15,Paramètres!$A$1:$I$89,3,0)*VLOOKUP('Données projet'!$B$15,Paramètres!$A$1:$I$89,5,0)</f>
        <v>-9.7543306765146564E-14</v>
      </c>
      <c r="EL137" s="13" t="e">
        <f t="shared" si="153"/>
        <v>#NUM!</v>
      </c>
      <c r="EM137" s="20" t="e">
        <f t="shared" si="127"/>
        <v>#NUM!</v>
      </c>
      <c r="EN137" s="57" t="e">
        <f t="shared" si="128"/>
        <v>#NUM!</v>
      </c>
      <c r="EO137" s="57">
        <f ca="1">AVERAGE(OFFSET($EN$3,0,0,'Données projet'!$E$15+1,1))-AVERAGE(OFFSET($H$3,0,0,'Données projet'!$E$15+1,1))</f>
        <v>643.04899298561475</v>
      </c>
      <c r="EP137" s="57">
        <f t="shared" si="154"/>
        <v>474.94999304483031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143.48670081885959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143.48670081885959</v>
      </c>
      <c r="EZ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68.41852116484678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>
        <f>FE137*VLOOKUP('Données projet'!$B$16,Paramètres!$A$1:$I$89,3,0)*VLOOKUP('Données projet'!$B$16,Paramètres!$A$1:$I$89,5,0)</f>
        <v>0</v>
      </c>
      <c r="FG137" s="13" t="e">
        <f t="shared" si="155"/>
        <v>#NUM!</v>
      </c>
      <c r="FH137" s="20" t="e">
        <f t="shared" si="130"/>
        <v>#NUM!</v>
      </c>
      <c r="FI137" s="57" t="e">
        <f t="shared" si="131"/>
        <v>#NUM!</v>
      </c>
      <c r="FJ137" s="57">
        <f ca="1">AVERAGE(OFFSET($FI$3,0,0,'Données projet'!$E$16+1,1))-AVERAGE(OFFSET($H$3,0,0,'Données projet'!$E$16+1,1))</f>
        <v>375.34603719604439</v>
      </c>
      <c r="FK137" s="57">
        <f t="shared" si="156"/>
        <v>363.99476973672211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54.332617517336715</v>
      </c>
      <c r="FR137" s="21">
        <f>EXP(-LN(2)/25)*FR136+(1-EXP(-LN(2)/25))/(LN(2)/25)*Calculateur!FM137*Calculateur!FO137*VLOOKUP('Données projet'!$B$16,Paramètres!$A$1:$I$89,3,0)*0.475*44/12</f>
        <v>0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54.332617517336715</v>
      </c>
      <c r="FU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68.41852116484678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-1.1368683772161603E-13</v>
      </c>
      <c r="GA137" s="17">
        <f>FZ137*VLOOKUP('Données projet'!$B$17,Paramètres!$A$1:$I$89,3,0)*VLOOKUP('Données projet'!$B$17,Paramètres!$A$1:$I$89,5,0)</f>
        <v>-6.3550942286383367E-14</v>
      </c>
      <c r="GB137" s="13" t="e">
        <f t="shared" si="157"/>
        <v>#NUM!</v>
      </c>
      <c r="GC137" s="20" t="e">
        <f t="shared" si="133"/>
        <v>#NUM!</v>
      </c>
      <c r="GD137" s="57" t="e">
        <f t="shared" si="134"/>
        <v>#NUM!</v>
      </c>
      <c r="GE137" s="57">
        <f ca="1">AVERAGE(OFFSET($GD$3,0,0,'Données projet'!$E$17+1,1))-AVERAGE(OFFSET($H$3,0,0,'Données projet'!$E$17+1,1))</f>
        <v>414.47327143450701</v>
      </c>
      <c r="GF137" s="57">
        <f t="shared" si="158"/>
        <v>546.83385887302961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61.763093360208721</v>
      </c>
      <c r="GM137" s="21">
        <f>EXP(-LN(2)/25)*GM136+(1-EXP(-LN(2)/25))/(LN(2)/25)*Calculateur!GH137*Calculateur!GJ137*VLOOKUP('Données projet'!$B$17,Paramètres!$A$1:$I$89,3,0)*0.475*44/12</f>
        <v>6.9280233333664869</v>
      </c>
      <c r="GN137" s="21">
        <f>EXP(-LN(2)/2)*GN136+(1-EXP(-LN(2)/2))/(LN(2)/2)*GH137*GK137*VLOOKUP('Données projet'!$B$17,Paramètres!$A$1:$I$89,3,0)*0.475*44/12</f>
        <v>3.7786749412976839E-11</v>
      </c>
      <c r="GO137" s="21">
        <f t="shared" si="135"/>
        <v>68.691116693612997</v>
      </c>
      <c r="GP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68.41852116484678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-2.2737367544323206E-13</v>
      </c>
      <c r="GV137" s="17">
        <f>GU137*VLOOKUP('Données projet'!$B$18,Paramètres!$A$1:$I$89,3,0)*VLOOKUP('Données projet'!$B$18,Paramètres!$A$1:$I$89,5,0)</f>
        <v>-1.2414602679200471E-13</v>
      </c>
      <c r="GW137" s="13" t="e">
        <f t="shared" si="159"/>
        <v>#NUM!</v>
      </c>
      <c r="GX137" s="20" t="e">
        <f t="shared" si="136"/>
        <v>#NUM!</v>
      </c>
      <c r="GY137" s="57" t="e">
        <f t="shared" si="137"/>
        <v>#NUM!</v>
      </c>
      <c r="GZ137" s="57">
        <f ca="1">AVERAGE(OFFSET($GY$3,0,0,'Données projet'!$E$18+1,1))-AVERAGE(OFFSET($H$3,0,0,'Données projet'!$E$18+1,1))</f>
        <v>381.00532469288714</v>
      </c>
      <c r="HA137" s="57">
        <f t="shared" si="160"/>
        <v>314.875259641757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>
        <f>EXP(-LN(2)/35)*HG136+(1-EXP(-LN(2)/35))/(LN(2)/35)*HC137*HD137*VLOOKUP('Données projet'!$B$18,Paramètres!$A$1:$I$89,3,0)*0.475*44/12</f>
        <v>104.04895222674469</v>
      </c>
      <c r="HH137" s="21">
        <f>EXP(-LN(2)/25)*HH136+(1-EXP(-LN(2)/25))/(LN(2)/25)*Calculateur!HC137*Calculateur!HE137*VLOOKUP('Données projet'!$B$18,Paramètres!$A$1:$I$89,3,0)*0.475*44/12</f>
        <v>12.853870186936927</v>
      </c>
      <c r="HI137" s="21">
        <f>EXP(-LN(2)/2)*HI136+(1-EXP(-LN(2)/2))/(LN(2)/2)*HC137*HF137*VLOOKUP('Données projet'!$B$18,Paramètres!$A$1:$I$89,3,0)*0.475*44/12</f>
        <v>1.9052728708088292E-4</v>
      </c>
      <c r="HJ137" s="22">
        <f t="shared" si="138"/>
        <v>116.90301294096869</v>
      </c>
    </row>
    <row r="138" spans="1:218" x14ac:dyDescent="0.2">
      <c r="A138" s="10">
        <f t="shared" si="139"/>
        <v>135</v>
      </c>
      <c r="B138" s="71">
        <f>'Scénario référence'!$B$16*5+'Scénario référence'!$B$17*0+'Scénario référence'!$B$18*5</f>
        <v>3.3000000000000003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12.100000000000001</v>
      </c>
      <c r="H138" s="65">
        <f t="shared" si="110"/>
        <v>208.26666666666665</v>
      </c>
      <c r="I138" s="6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68.44595628697968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-1.1527845344971866E-13</v>
      </c>
      <c r="P138" s="13" t="e">
        <f t="shared" si="141"/>
        <v>#NUM!</v>
      </c>
      <c r="Q138" s="20" t="e">
        <f t="shared" si="108"/>
        <v>#NUM!</v>
      </c>
      <c r="R138" s="57" t="e">
        <f t="shared" si="109"/>
        <v>#NUM!</v>
      </c>
      <c r="S138" s="57">
        <f ca="1">AVERAGE(OFFSET($R$3,0,0,'Données projet'!$E$9+1,1))-AVERAGE(OFFSET($H$3,0,0,'Données projet'!$E$9+1,1))</f>
        <v>332.70145542047612</v>
      </c>
      <c r="T138" s="57">
        <f t="shared" si="142"/>
        <v>172.22433737900428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84.356483391302916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84.356483391302916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68.44595628697968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6.7133333333333338</v>
      </c>
      <c r="AI138" s="13">
        <f>IF('Données projet'!$A$62&gt;35,AI137+AH138-AQ137,IF(A138&lt;'Données projet'!$A$62,$AF$205^A138,IF(A138='Données projet'!$A$62,'Données projet'!$B$62,AI137+AH138-AQ137)))</f>
        <v>359.67333333333329</v>
      </c>
      <c r="AJ138" s="13">
        <f>AI138*VLOOKUP('Données projet'!$B$10,Paramètres!$A$1:$I$89,3,0)*VLOOKUP('Données projet'!$B$10,Paramètres!$A$1:$I$89,5,0)</f>
        <v>325.43243199999995</v>
      </c>
      <c r="AK138" s="13">
        <f t="shared" si="143"/>
        <v>76.482566995945305</v>
      </c>
      <c r="AL138" s="20">
        <f t="shared" si="112"/>
        <v>700.00195658460461</v>
      </c>
      <c r="AM138" s="57">
        <f t="shared" si="113"/>
        <v>987.63712963686339</v>
      </c>
      <c r="AN138" s="57">
        <f ca="1">AVERAGE(OFFSET($AM$3,0,0,'Données projet'!$E$10+1,1))-AVERAGE(OFFSET($H$3,0,0,'Données projet'!$E$10+1,1))</f>
        <v>469.4210143164521</v>
      </c>
      <c r="AO138" s="57">
        <f t="shared" si="144"/>
        <v>308.4508386530556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35.76966179297019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35.76966179297019</v>
      </c>
      <c r="AY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68.44595628697968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7" t="e">
        <f t="shared" si="116"/>
        <v>#NUM!</v>
      </c>
      <c r="BI138" s="57">
        <f ca="1">AVERAGE(OFFSET($BH$3,0,0,'Données projet'!$E$11+1,1))-AVERAGE(OFFSET($H$3,0,0,'Données projet'!$E$11+1,1))</f>
        <v>344.32981377462971</v>
      </c>
      <c r="BJ138" s="57">
        <f t="shared" si="146"/>
        <v>334.42512656625763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39.061316038994441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39.061316038994441</v>
      </c>
      <c r="BT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68.44595628697968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4.5474735088646412E-13</v>
      </c>
      <c r="BZ138" s="13">
        <f>BY138*VLOOKUP('Données projet'!$B$12,Paramètres!$A$1:$I$89,3,0)*VLOOKUP('Données projet'!$B$12,Paramètres!$A$1:$I$89,5,0)</f>
        <v>4.3273757910355926E-13</v>
      </c>
      <c r="CA138" s="13">
        <f t="shared" si="147"/>
        <v>5.4817614357080839E-12</v>
      </c>
      <c r="CB138" s="20">
        <f t="shared" si="118"/>
        <v>1.0301085784130276E-11</v>
      </c>
      <c r="CC138" s="57">
        <f t="shared" si="119"/>
        <v>287.63517305226912</v>
      </c>
      <c r="CD138" s="57">
        <f ca="1">AVERAGE(OFFSET($CC$3,0,0,'Données projet'!$E$12+1,1))-AVERAGE(OFFSET($H$3,0,0,'Données projet'!$E$12+1,1))</f>
        <v>498.77732039282807</v>
      </c>
      <c r="CE138" s="57">
        <f t="shared" si="148"/>
        <v>384.57317421826531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137.5032410830668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137.5032410830668</v>
      </c>
      <c r="CO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68.44595628697968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6.7133333333333338</v>
      </c>
      <c r="CT138" s="12">
        <f>IF('Données projet'!$A$140&gt;35,CT137+CS138-DB137,IF(A138&lt;'Données projet'!$A$140,$CQ$205^A138,IF(A138='Données projet'!$A$140,'Données projet'!$B$140,CT137+CS138-DB137)))</f>
        <v>359.67333333333329</v>
      </c>
      <c r="CU138" s="17">
        <f>CT138*VLOOKUP('Données projet'!$B$13,Paramètres!$A$1:$I$89,3,0)*VLOOKUP('Données projet'!$B$13,Paramètres!$A$1:$I$89,5,0)</f>
        <v>241.26887199999999</v>
      </c>
      <c r="CV138" s="13">
        <f t="shared" si="149"/>
        <v>58.712450635273434</v>
      </c>
      <c r="CW138" s="20">
        <f t="shared" si="121"/>
        <v>522.46747025643447</v>
      </c>
      <c r="CX138" s="57">
        <f t="shared" si="122"/>
        <v>810.10264330869336</v>
      </c>
      <c r="CY138" s="57">
        <f ca="1">AVERAGE(OFFSET($CX$3,0,0,'Données projet'!$E$13+1,1))-AVERAGE(OFFSET($H$3,0,0,'Données projet'!$E$13+1,1))</f>
        <v>365.99625753737246</v>
      </c>
      <c r="CZ138" s="57">
        <f t="shared" si="150"/>
        <v>242.84814712692287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32.686070259093448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32.686070259093448</v>
      </c>
      <c r="DJ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68.44595628697968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2.2737367544323206E-13</v>
      </c>
      <c r="DP138" s="17">
        <f>DO138*VLOOKUP('Données projet'!$B$14,Paramètres!$A$1:$I$89,3,0)*VLOOKUP('Données projet'!$B$14,Paramètres!$A$1:$I$89,5,0)</f>
        <v>1.4897523215040565E-13</v>
      </c>
      <c r="DQ138" s="13">
        <f t="shared" si="151"/>
        <v>2.136562777003313E-12</v>
      </c>
      <c r="DR138" s="20">
        <f t="shared" si="124"/>
        <v>3.9806453659427267E-12</v>
      </c>
      <c r="DS138" s="57">
        <f t="shared" si="125"/>
        <v>287.63517305226281</v>
      </c>
      <c r="DT138" s="57">
        <f ca="1">AVERAGE(OFFSET($DS$3,0,0,'Données projet'!$E$14+1,1))-AVERAGE(OFFSET($H$3,0,0,'Données projet'!$E$14+1,1))</f>
        <v>313.79279628660527</v>
      </c>
      <c r="DU138" s="57">
        <f t="shared" si="152"/>
        <v>317.45469955216254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37.951690162323658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37.951690162323658</v>
      </c>
      <c r="EE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68.44595628697968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-1.1368683772161603E-13</v>
      </c>
      <c r="EK138" s="17">
        <f>EJ138*VLOOKUP('Données projet'!$B$15,Paramètres!$A$1:$I$89,3,0)*VLOOKUP('Données projet'!$B$15,Paramètres!$A$1:$I$89,5,0)</f>
        <v>-9.7543306765146564E-14</v>
      </c>
      <c r="EL138" s="13" t="e">
        <f t="shared" si="153"/>
        <v>#NUM!</v>
      </c>
      <c r="EM138" s="20" t="e">
        <f t="shared" si="127"/>
        <v>#NUM!</v>
      </c>
      <c r="EN138" s="57" t="e">
        <f t="shared" si="128"/>
        <v>#NUM!</v>
      </c>
      <c r="EO138" s="57">
        <f ca="1">AVERAGE(OFFSET($EN$3,0,0,'Données projet'!$E$15+1,1))-AVERAGE(OFFSET($H$3,0,0,'Données projet'!$E$15+1,1))</f>
        <v>643.04899298561475</v>
      </c>
      <c r="EP138" s="57">
        <f t="shared" si="154"/>
        <v>474.94999304483031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140.67301413404755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140.67301413404755</v>
      </c>
      <c r="EZ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68.44595628697968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>
        <f>FE138*VLOOKUP('Données projet'!$B$16,Paramètres!$A$1:$I$89,3,0)*VLOOKUP('Données projet'!$B$16,Paramètres!$A$1:$I$89,5,0)</f>
        <v>0</v>
      </c>
      <c r="FG138" s="13" t="e">
        <f t="shared" si="155"/>
        <v>#NUM!</v>
      </c>
      <c r="FH138" s="20" t="e">
        <f t="shared" si="130"/>
        <v>#NUM!</v>
      </c>
      <c r="FI138" s="57" t="e">
        <f t="shared" si="131"/>
        <v>#NUM!</v>
      </c>
      <c r="FJ138" s="57">
        <f ca="1">AVERAGE(OFFSET($FI$3,0,0,'Données projet'!$E$16+1,1))-AVERAGE(OFFSET($H$3,0,0,'Données projet'!$E$16+1,1))</f>
        <v>375.34603719604439</v>
      </c>
      <c r="FK138" s="57">
        <f t="shared" si="156"/>
        <v>363.99476973672211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53.26718802744616</v>
      </c>
      <c r="FR138" s="21">
        <f>EXP(-LN(2)/25)*FR137+(1-EXP(-LN(2)/25))/(LN(2)/25)*Calculateur!FM138*Calculateur!FO138*VLOOKUP('Données projet'!$B$16,Paramètres!$A$1:$I$89,3,0)*0.475*44/12</f>
        <v>0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53.26718802744616</v>
      </c>
      <c r="FU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68.44595628697968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-1.1368683772161603E-13</v>
      </c>
      <c r="GA138" s="17">
        <f>FZ138*VLOOKUP('Données projet'!$B$17,Paramètres!$A$1:$I$89,3,0)*VLOOKUP('Données projet'!$B$17,Paramètres!$A$1:$I$89,5,0)</f>
        <v>-6.3550942286383367E-14</v>
      </c>
      <c r="GB138" s="13" t="e">
        <f t="shared" si="157"/>
        <v>#NUM!</v>
      </c>
      <c r="GC138" s="20" t="e">
        <f t="shared" si="133"/>
        <v>#NUM!</v>
      </c>
      <c r="GD138" s="57" t="e">
        <f t="shared" si="134"/>
        <v>#NUM!</v>
      </c>
      <c r="GE138" s="57">
        <f ca="1">AVERAGE(OFFSET($GD$3,0,0,'Données projet'!$E$17+1,1))-AVERAGE(OFFSET($H$3,0,0,'Données projet'!$E$17+1,1))</f>
        <v>414.47327143450701</v>
      </c>
      <c r="GF138" s="57">
        <f t="shared" si="158"/>
        <v>546.83385887302961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60.551956771182198</v>
      </c>
      <c r="GM138" s="21">
        <f>EXP(-LN(2)/25)*GM137+(1-EXP(-LN(2)/25))/(LN(2)/25)*Calculateur!GH138*Calculateur!GJ138*VLOOKUP('Données projet'!$B$17,Paramètres!$A$1:$I$89,3,0)*0.475*44/12</f>
        <v>6.7385761709866676</v>
      </c>
      <c r="GN138" s="21">
        <f>EXP(-LN(2)/2)*GN137+(1-EXP(-LN(2)/2))/(LN(2)/2)*GH138*GK138*VLOOKUP('Données projet'!$B$17,Paramètres!$A$1:$I$89,3,0)*0.475*44/12</f>
        <v>2.6719266748912717E-11</v>
      </c>
      <c r="GO138" s="21">
        <f t="shared" si="135"/>
        <v>67.290532942195583</v>
      </c>
      <c r="GP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68.44595628697968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-2.2737367544323206E-13</v>
      </c>
      <c r="GV138" s="17">
        <f>GU138*VLOOKUP('Données projet'!$B$18,Paramètres!$A$1:$I$89,3,0)*VLOOKUP('Données projet'!$B$18,Paramètres!$A$1:$I$89,5,0)</f>
        <v>-1.2414602679200471E-13</v>
      </c>
      <c r="GW138" s="13" t="e">
        <f t="shared" si="159"/>
        <v>#NUM!</v>
      </c>
      <c r="GX138" s="20" t="e">
        <f t="shared" si="136"/>
        <v>#NUM!</v>
      </c>
      <c r="GY138" s="57" t="e">
        <f t="shared" si="137"/>
        <v>#NUM!</v>
      </c>
      <c r="GZ138" s="57">
        <f ca="1">AVERAGE(OFFSET($GY$3,0,0,'Données projet'!$E$18+1,1))-AVERAGE(OFFSET($H$3,0,0,'Données projet'!$E$18+1,1))</f>
        <v>381.00532469288714</v>
      </c>
      <c r="HA138" s="57">
        <f t="shared" si="160"/>
        <v>314.875259641757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>
        <f>EXP(-LN(2)/35)*HG137+(1-EXP(-LN(2)/35))/(LN(2)/35)*HC138*HD138*VLOOKUP('Données projet'!$B$18,Paramètres!$A$1:$I$89,3,0)*0.475*44/12</f>
        <v>102.00861573717258</v>
      </c>
      <c r="HH138" s="21">
        <f>EXP(-LN(2)/25)*HH137+(1-EXP(-LN(2)/25))/(LN(2)/25)*Calculateur!HC138*Calculateur!HE138*VLOOKUP('Données projet'!$B$18,Paramètres!$A$1:$I$89,3,0)*0.475*44/12</f>
        <v>12.502380430719482</v>
      </c>
      <c r="HI138" s="21">
        <f>EXP(-LN(2)/2)*HI137+(1-EXP(-LN(2)/2))/(LN(2)/2)*HC138*HF138*VLOOKUP('Données projet'!$B$18,Paramètres!$A$1:$I$89,3,0)*0.475*44/12</f>
        <v>1.3472313669596841E-4</v>
      </c>
      <c r="HJ138" s="22">
        <f t="shared" si="138"/>
        <v>114.51113089102876</v>
      </c>
    </row>
    <row r="139" spans="1:218" x14ac:dyDescent="0.2">
      <c r="A139" s="10">
        <f t="shared" si="139"/>
        <v>136</v>
      </c>
      <c r="B139" s="71">
        <f>'Scénario référence'!$B$16*5+'Scénario référence'!$B$17*0+'Scénario référence'!$B$18*5</f>
        <v>3.3000000000000003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12.100000000000001</v>
      </c>
      <c r="H139" s="65">
        <f t="shared" si="110"/>
        <v>208.26666666666665</v>
      </c>
      <c r="I139" s="6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68.472915471079347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-1.1527845344971866E-13</v>
      </c>
      <c r="P139" s="13" t="e">
        <f t="shared" si="141"/>
        <v>#NUM!</v>
      </c>
      <c r="Q139" s="20" t="e">
        <f t="shared" si="108"/>
        <v>#NUM!</v>
      </c>
      <c r="R139" s="57" t="e">
        <f t="shared" si="109"/>
        <v>#NUM!</v>
      </c>
      <c r="S139" s="57">
        <f ca="1">AVERAGE(OFFSET($R$3,0,0,'Données projet'!$E$9+1,1))-AVERAGE(OFFSET($H$3,0,0,'Données projet'!$E$9+1,1))</f>
        <v>332.70145542047612</v>
      </c>
      <c r="T139" s="57">
        <f t="shared" si="142"/>
        <v>172.22433737900428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82.702304204373831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82.702304204373831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68.472915471079347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6.7133333333333338</v>
      </c>
      <c r="AI139" s="13">
        <f>IF('Données projet'!$A$62&gt;35,AI138+AH139-AQ138,IF(A139&lt;'Données projet'!$A$62,$AF$205^A139,IF(A139='Données projet'!$A$62,'Données projet'!$B$62,AI138+AH139-AQ138)))</f>
        <v>366.3866666666666</v>
      </c>
      <c r="AJ139" s="13">
        <f>AI139*VLOOKUP('Données projet'!$B$10,Paramètres!$A$1:$I$89,3,0)*VLOOKUP('Données projet'!$B$10,Paramètres!$A$1:$I$89,5,0)</f>
        <v>331.50665599999991</v>
      </c>
      <c r="AK139" s="13">
        <f t="shared" si="143"/>
        <v>77.742592538922509</v>
      </c>
      <c r="AL139" s="20">
        <f t="shared" si="112"/>
        <v>712.77577453862307</v>
      </c>
      <c r="AM139" s="57">
        <f t="shared" si="113"/>
        <v>1000.5097979325807</v>
      </c>
      <c r="AN139" s="57">
        <f ca="1">AVERAGE(OFFSET($AM$3,0,0,'Données projet'!$E$10+1,1))-AVERAGE(OFFSET($H$3,0,0,'Données projet'!$E$10+1,1))</f>
        <v>469.4210143164521</v>
      </c>
      <c r="AO139" s="57">
        <f t="shared" si="144"/>
        <v>308.4508386530556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35.068240542549454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35.068240542549454</v>
      </c>
      <c r="AY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68.472915471079347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7" t="e">
        <f t="shared" si="116"/>
        <v>#NUM!</v>
      </c>
      <c r="BI139" s="57">
        <f ca="1">AVERAGE(OFFSET($BH$3,0,0,'Données projet'!$E$11+1,1))-AVERAGE(OFFSET($H$3,0,0,'Données projet'!$E$11+1,1))</f>
        <v>344.32981377462971</v>
      </c>
      <c r="BJ139" s="57">
        <f t="shared" si="146"/>
        <v>334.42512656625763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38.295347456520012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38.295347456520012</v>
      </c>
      <c r="BT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68.472915471079347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4.5474735088646412E-13</v>
      </c>
      <c r="BZ139" s="13">
        <f>BY139*VLOOKUP('Données projet'!$B$12,Paramètres!$A$1:$I$89,3,0)*VLOOKUP('Données projet'!$B$12,Paramètres!$A$1:$I$89,5,0)</f>
        <v>4.3273757910355926E-13</v>
      </c>
      <c r="CA139" s="13">
        <f t="shared" si="147"/>
        <v>5.4817614357080839E-12</v>
      </c>
      <c r="CB139" s="20">
        <f t="shared" si="118"/>
        <v>1.0301085784130276E-11</v>
      </c>
      <c r="CC139" s="57">
        <f t="shared" si="119"/>
        <v>287.7340233939679</v>
      </c>
      <c r="CD139" s="57">
        <f ca="1">AVERAGE(OFFSET($CC$3,0,0,'Données projet'!$E$12+1,1))-AVERAGE(OFFSET($H$3,0,0,'Données projet'!$E$12+1,1))</f>
        <v>498.77732039282807</v>
      </c>
      <c r="CE139" s="57">
        <f t="shared" si="148"/>
        <v>384.57317421826531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134.80688639412358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134.80688639412358</v>
      </c>
      <c r="CO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68.472915471079347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6.7133333333333338</v>
      </c>
      <c r="CT139" s="12">
        <f>IF('Données projet'!$A$140&gt;35,CT138+CS139-DB138,IF(A139&lt;'Données projet'!$A$140,$CQ$205^A139,IF(A139='Données projet'!$A$140,'Données projet'!$B$140,CT138+CS139-DB138)))</f>
        <v>366.3866666666666</v>
      </c>
      <c r="CU139" s="17">
        <f>CT139*VLOOKUP('Données projet'!$B$13,Paramètres!$A$1:$I$89,3,0)*VLOOKUP('Données projet'!$B$13,Paramètres!$A$1:$I$89,5,0)</f>
        <v>245.77217599999997</v>
      </c>
      <c r="CV139" s="13">
        <f t="shared" si="149"/>
        <v>59.67971926127484</v>
      </c>
      <c r="CW139" s="20">
        <f t="shared" si="121"/>
        <v>531.99538424672016</v>
      </c>
      <c r="CX139" s="57">
        <f t="shared" si="122"/>
        <v>819.72940764067778</v>
      </c>
      <c r="CY139" s="57">
        <f ca="1">AVERAGE(OFFSET($CX$3,0,0,'Données projet'!$E$13+1,1))-AVERAGE(OFFSET($H$3,0,0,'Données projet'!$E$13+1,1))</f>
        <v>365.99625753737246</v>
      </c>
      <c r="CZ139" s="57">
        <f t="shared" si="150"/>
        <v>242.84814712692287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32.045116357846915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32.045116357846915</v>
      </c>
      <c r="DJ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68.472915471079347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2.2737367544323206E-13</v>
      </c>
      <c r="DP139" s="17">
        <f>DO139*VLOOKUP('Données projet'!$B$14,Paramètres!$A$1:$I$89,3,0)*VLOOKUP('Données projet'!$B$14,Paramètres!$A$1:$I$89,5,0)</f>
        <v>1.4897523215040565E-13</v>
      </c>
      <c r="DQ139" s="13">
        <f t="shared" si="151"/>
        <v>2.136562777003313E-12</v>
      </c>
      <c r="DR139" s="20">
        <f t="shared" si="124"/>
        <v>3.9806453659427267E-12</v>
      </c>
      <c r="DS139" s="57">
        <f t="shared" si="125"/>
        <v>287.73402339396159</v>
      </c>
      <c r="DT139" s="57">
        <f ca="1">AVERAGE(OFFSET($DS$3,0,0,'Données projet'!$E$14+1,1))-AVERAGE(OFFSET($H$3,0,0,'Données projet'!$E$14+1,1))</f>
        <v>313.79279628660527</v>
      </c>
      <c r="DU139" s="57">
        <f t="shared" si="152"/>
        <v>317.45469955216254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37.207480666485793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37.207480666485793</v>
      </c>
      <c r="EE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68.472915471079347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-1.1368683772161603E-13</v>
      </c>
      <c r="EK139" s="17">
        <f>EJ139*VLOOKUP('Données projet'!$B$15,Paramètres!$A$1:$I$89,3,0)*VLOOKUP('Données projet'!$B$15,Paramètres!$A$1:$I$89,5,0)</f>
        <v>-9.7543306765146564E-14</v>
      </c>
      <c r="EL139" s="13" t="e">
        <f t="shared" si="153"/>
        <v>#NUM!</v>
      </c>
      <c r="EM139" s="20" t="e">
        <f t="shared" si="127"/>
        <v>#NUM!</v>
      </c>
      <c r="EN139" s="57" t="e">
        <f t="shared" si="128"/>
        <v>#NUM!</v>
      </c>
      <c r="EO139" s="57">
        <f ca="1">AVERAGE(OFFSET($EN$3,0,0,'Données projet'!$E$15+1,1))-AVERAGE(OFFSET($H$3,0,0,'Données projet'!$E$15+1,1))</f>
        <v>643.04899298561475</v>
      </c>
      <c r="EP139" s="57">
        <f t="shared" si="154"/>
        <v>474.94999304483031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137.91450212894526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137.91450212894526</v>
      </c>
      <c r="EZ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68.472915471079347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>
        <f>FE139*VLOOKUP('Données projet'!$B$16,Paramètres!$A$1:$I$89,3,0)*VLOOKUP('Données projet'!$B$16,Paramètres!$A$1:$I$89,5,0)</f>
        <v>0</v>
      </c>
      <c r="FG139" s="13" t="e">
        <f t="shared" si="155"/>
        <v>#NUM!</v>
      </c>
      <c r="FH139" s="20" t="e">
        <f t="shared" si="130"/>
        <v>#NUM!</v>
      </c>
      <c r="FI139" s="57" t="e">
        <f t="shared" si="131"/>
        <v>#NUM!</v>
      </c>
      <c r="FJ139" s="57">
        <f ca="1">AVERAGE(OFFSET($FI$3,0,0,'Données projet'!$E$16+1,1))-AVERAGE(OFFSET($H$3,0,0,'Données projet'!$E$16+1,1))</f>
        <v>375.34603719604439</v>
      </c>
      <c r="FK139" s="57">
        <f t="shared" si="156"/>
        <v>363.99476973672211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52.222650960004536</v>
      </c>
      <c r="FR139" s="21">
        <f>EXP(-LN(2)/25)*FR138+(1-EXP(-LN(2)/25))/(LN(2)/25)*Calculateur!FM139*Calculateur!FO139*VLOOKUP('Données projet'!$B$16,Paramètres!$A$1:$I$89,3,0)*0.475*44/12</f>
        <v>0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52.222650960004536</v>
      </c>
      <c r="FU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68.472915471079347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-1.1368683772161603E-13</v>
      </c>
      <c r="GA139" s="17">
        <f>FZ139*VLOOKUP('Données projet'!$B$17,Paramètres!$A$1:$I$89,3,0)*VLOOKUP('Données projet'!$B$17,Paramètres!$A$1:$I$89,5,0)</f>
        <v>-6.3550942286383367E-14</v>
      </c>
      <c r="GB139" s="13" t="e">
        <f t="shared" si="157"/>
        <v>#NUM!</v>
      </c>
      <c r="GC139" s="20" t="e">
        <f t="shared" si="133"/>
        <v>#NUM!</v>
      </c>
      <c r="GD139" s="57" t="e">
        <f t="shared" si="134"/>
        <v>#NUM!</v>
      </c>
      <c r="GE139" s="57">
        <f ca="1">AVERAGE(OFFSET($GD$3,0,0,'Données projet'!$E$17+1,1))-AVERAGE(OFFSET($H$3,0,0,'Données projet'!$E$17+1,1))</f>
        <v>414.47327143450701</v>
      </c>
      <c r="GF139" s="57">
        <f t="shared" si="158"/>
        <v>546.83385887302961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59.364569831946113</v>
      </c>
      <c r="GM139" s="21">
        <f>EXP(-LN(2)/25)*GM138+(1-EXP(-LN(2)/25))/(LN(2)/25)*Calculateur!GH139*Calculateur!GJ139*VLOOKUP('Données projet'!$B$17,Paramètres!$A$1:$I$89,3,0)*0.475*44/12</f>
        <v>6.554309451224718</v>
      </c>
      <c r="GN139" s="21">
        <f>EXP(-LN(2)/2)*GN138+(1-EXP(-LN(2)/2))/(LN(2)/2)*GH139*GK139*VLOOKUP('Données projet'!$B$17,Paramètres!$A$1:$I$89,3,0)*0.475*44/12</f>
        <v>1.8893374706488419E-11</v>
      </c>
      <c r="GO139" s="21">
        <f t="shared" si="135"/>
        <v>65.918879283189739</v>
      </c>
      <c r="GP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68.472915471079347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-2.2737367544323206E-13</v>
      </c>
      <c r="GV139" s="17">
        <f>GU139*VLOOKUP('Données projet'!$B$18,Paramètres!$A$1:$I$89,3,0)*VLOOKUP('Données projet'!$B$18,Paramètres!$A$1:$I$89,5,0)</f>
        <v>-1.2414602679200471E-13</v>
      </c>
      <c r="GW139" s="13" t="e">
        <f t="shared" si="159"/>
        <v>#NUM!</v>
      </c>
      <c r="GX139" s="20" t="e">
        <f t="shared" si="136"/>
        <v>#NUM!</v>
      </c>
      <c r="GY139" s="57" t="e">
        <f t="shared" si="137"/>
        <v>#NUM!</v>
      </c>
      <c r="GZ139" s="57">
        <f ca="1">AVERAGE(OFFSET($GY$3,0,0,'Données projet'!$E$18+1,1))-AVERAGE(OFFSET($H$3,0,0,'Données projet'!$E$18+1,1))</f>
        <v>381.00532469288714</v>
      </c>
      <c r="HA139" s="57">
        <f t="shared" si="160"/>
        <v>314.875259641757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>
        <f>EXP(-LN(2)/35)*HG138+(1-EXP(-LN(2)/35))/(LN(2)/35)*HC139*HD139*VLOOKUP('Données projet'!$B$18,Paramètres!$A$1:$I$89,3,0)*0.475*44/12</f>
        <v>100.00828900167859</v>
      </c>
      <c r="HH139" s="21">
        <f>EXP(-LN(2)/25)*HH138+(1-EXP(-LN(2)/25))/(LN(2)/25)*Calculateur!HC139*Calculateur!HE139*VLOOKUP('Données projet'!$B$18,Paramètres!$A$1:$I$89,3,0)*0.475*44/12</f>
        <v>12.160502180369845</v>
      </c>
      <c r="HI139" s="21">
        <f>EXP(-LN(2)/2)*HI138+(1-EXP(-LN(2)/2))/(LN(2)/2)*HC139*HF139*VLOOKUP('Données projet'!$B$18,Paramètres!$A$1:$I$89,3,0)*0.475*44/12</f>
        <v>9.5263643540441462E-5</v>
      </c>
      <c r="HJ139" s="22">
        <f t="shared" si="138"/>
        <v>112.16888644569198</v>
      </c>
    </row>
    <row r="140" spans="1:218" x14ac:dyDescent="0.2">
      <c r="A140" s="10">
        <f t="shared" si="139"/>
        <v>137</v>
      </c>
      <c r="B140" s="71">
        <f>'Scénario référence'!$B$16*5+'Scénario référence'!$B$17*0+'Scénario référence'!$B$18*5</f>
        <v>3.3000000000000003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12.100000000000001</v>
      </c>
      <c r="H140" s="65">
        <f t="shared" si="110"/>
        <v>208.26666666666665</v>
      </c>
      <c r="I140" s="6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68.499406973606568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-1.1527845344971866E-13</v>
      </c>
      <c r="P140" s="13" t="e">
        <f t="shared" si="141"/>
        <v>#NUM!</v>
      </c>
      <c r="Q140" s="20" t="e">
        <f t="shared" si="108"/>
        <v>#NUM!</v>
      </c>
      <c r="R140" s="57" t="e">
        <f t="shared" si="109"/>
        <v>#NUM!</v>
      </c>
      <c r="S140" s="57">
        <f ca="1">AVERAGE(OFFSET($R$3,0,0,'Données projet'!$E$9+1,1))-AVERAGE(OFFSET($H$3,0,0,'Données projet'!$E$9+1,1))</f>
        <v>332.70145542047612</v>
      </c>
      <c r="T140" s="57">
        <f t="shared" si="142"/>
        <v>172.22433737900428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81.080562462350755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81.080562462350755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68.499406973606568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>
        <f>VLOOKUP(A140,'Données projet'!$A$61:$I$81,2,0)</f>
        <v>373.1</v>
      </c>
      <c r="AG140" s="12">
        <f>VLOOKUP(A140,'Données projet'!$A$61:$I$81,9,0)</f>
        <v>6.7133333333333338</v>
      </c>
      <c r="AH140" s="12">
        <f t="array" ref="AH140">INDEX(AG:AG,MIN(IF(ISNUMBER(AG140:AG336),ROW(AG140:AG336),"")))</f>
        <v>6.7133333333333338</v>
      </c>
      <c r="AI140" s="13">
        <f>IF('Données projet'!$A$62&gt;35,AI139+AH140-AQ139,IF(A140&lt;'Données projet'!$A$62,$AF$205^A140,IF(A140='Données projet'!$A$62,'Données projet'!$B$62,AI139+AH140-AQ139)))</f>
        <v>373.09999999999991</v>
      </c>
      <c r="AJ140" s="13">
        <f>AI140*VLOOKUP('Données projet'!$B$10,Paramètres!$A$1:$I$89,3,0)*VLOOKUP('Données projet'!$B$10,Paramètres!$A$1:$I$89,5,0)</f>
        <v>337.58087999999992</v>
      </c>
      <c r="AK140" s="13">
        <f t="shared" si="143"/>
        <v>78.999933395760593</v>
      </c>
      <c r="AL140" s="20">
        <f t="shared" si="112"/>
        <v>725.54491666428282</v>
      </c>
      <c r="AM140" s="57">
        <f t="shared" si="113"/>
        <v>1013.3760755675069</v>
      </c>
      <c r="AN140" s="57">
        <f ca="1">AVERAGE(OFFSET($AM$3,0,0,'Données projet'!$E$10+1,1))-AVERAGE(OFFSET($H$3,0,0,'Données projet'!$E$10+1,1))</f>
        <v>469.4210143164521</v>
      </c>
      <c r="AO140" s="57">
        <f t="shared" si="144"/>
        <v>308.4508386530556</v>
      </c>
      <c r="AP140" s="15">
        <f>IF(ISNA(VLOOKUP(A140,'Données projet'!$A$61:$I$81,3,0)),0,VLOOKUP(A140,'Données projet'!$A$61:$I$81,3,0))</f>
        <v>11</v>
      </c>
      <c r="AQ140" s="15">
        <f>IF(ISNA(VLOOKUP(A140,'Données projet'!$A$61:$I$81,4,0)),0,VLOOKUP(A140,'Données projet'!$A$61:$I$81,4,0))</f>
        <v>65.53</v>
      </c>
      <c r="AR140" s="16">
        <f>IF(ISNA(VLOOKUP(A140,'Données projet'!$A$61:$I$81,5,0)),0%,VLOOKUP(A140,'Données projet'!$A$61:$I$81,5,0)*VLOOKUP('Données projet'!$B$10,Paramètres!$A$1:$I$89,7,0))</f>
        <v>0.30099999999999999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54.109632475305915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54.109632475305915</v>
      </c>
      <c r="AY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68.499406973606568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7" t="e">
        <f t="shared" si="116"/>
        <v>#NUM!</v>
      </c>
      <c r="BI140" s="57">
        <f ca="1">AVERAGE(OFFSET($BH$3,0,0,'Données projet'!$E$11+1,1))-AVERAGE(OFFSET($H$3,0,0,'Données projet'!$E$11+1,1))</f>
        <v>344.32981377462971</v>
      </c>
      <c r="BJ140" s="57">
        <f t="shared" si="146"/>
        <v>334.42512656625763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37.544399050753206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37.544399050753206</v>
      </c>
      <c r="BT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68.499406973606568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4.5474735088646412E-13</v>
      </c>
      <c r="BZ140" s="13">
        <f>BY140*VLOOKUP('Données projet'!$B$12,Paramètres!$A$1:$I$89,3,0)*VLOOKUP('Données projet'!$B$12,Paramètres!$A$1:$I$89,5,0)</f>
        <v>4.3273757910355926E-13</v>
      </c>
      <c r="CA140" s="13">
        <f t="shared" si="147"/>
        <v>5.4817614357080839E-12</v>
      </c>
      <c r="CB140" s="20">
        <f t="shared" si="118"/>
        <v>1.0301085784130276E-11</v>
      </c>
      <c r="CC140" s="57">
        <f t="shared" si="119"/>
        <v>287.83115890323438</v>
      </c>
      <c r="CD140" s="57">
        <f ca="1">AVERAGE(OFFSET($CC$3,0,0,'Données projet'!$E$12+1,1))-AVERAGE(OFFSET($H$3,0,0,'Données projet'!$E$12+1,1))</f>
        <v>498.77732039282807</v>
      </c>
      <c r="CE140" s="57">
        <f t="shared" si="148"/>
        <v>384.57317421826531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132.16340557601657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132.16340557601657</v>
      </c>
      <c r="CO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68.499406973606568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>
        <f>VLOOKUP(A140,'Données projet'!$A$139:$I$159,2,0)</f>
        <v>373.1</v>
      </c>
      <c r="CR140" s="12">
        <f>VLOOKUP(A140,'Données projet'!$A$139:$I$159,9,0)</f>
        <v>6.7133333333333338</v>
      </c>
      <c r="CS140" s="12">
        <f t="array" ref="CS140">INDEX(CR:CR,MIN(IF(ISNUMBER(CR140:CR336),ROW(CR140:CR336),"")))</f>
        <v>6.7133333333333338</v>
      </c>
      <c r="CT140" s="12">
        <f>IF('Données projet'!$A$140&gt;35,CT139+CS140-DB139,IF(A140&lt;'Données projet'!$A$140,$CQ$205^A140,IF(A140='Données projet'!$A$140,'Données projet'!$B$140,CT139+CS140-DB139)))</f>
        <v>373.09999999999991</v>
      </c>
      <c r="CU140" s="17">
        <f>CT140*VLOOKUP('Données projet'!$B$13,Paramètres!$A$1:$I$89,3,0)*VLOOKUP('Données projet'!$B$13,Paramètres!$A$1:$I$89,5,0)</f>
        <v>250.27547999999996</v>
      </c>
      <c r="CV140" s="13">
        <f t="shared" si="149"/>
        <v>60.644926966616787</v>
      </c>
      <c r="CW140" s="20">
        <f t="shared" si="121"/>
        <v>541.51970880019076</v>
      </c>
      <c r="CX140" s="57">
        <f t="shared" si="122"/>
        <v>829.35086770341491</v>
      </c>
      <c r="CY140" s="57">
        <f ca="1">AVERAGE(OFFSET($CX$3,0,0,'Données projet'!$E$13+1,1))-AVERAGE(OFFSET($H$3,0,0,'Données projet'!$E$13+1,1))</f>
        <v>365.99625753737246</v>
      </c>
      <c r="CZ140" s="57">
        <f t="shared" si="150"/>
        <v>242.84814712692287</v>
      </c>
      <c r="DA140" s="15">
        <f>IF(ISNA(VLOOKUP(A140,'Données projet'!$A$139:$I$159,3,0)),0,VLOOKUP(A140,'Données projet'!$A$139:$I$159,3,0))</f>
        <v>11</v>
      </c>
      <c r="DB140" s="15">
        <f>IF(ISNA(VLOOKUP(A140,'Données projet'!$A$139:$I$159,4,0)),0,VLOOKUP(A140,'Données projet'!$A$139:$I$159,4,0))</f>
        <v>65.53</v>
      </c>
      <c r="DC140" s="16">
        <f>IF(ISNA(VLOOKUP(A140,'Données projet'!$A$139:$I$159,5,0)),0%,VLOOKUP(A140,'Données projet'!$A$139:$I$159,5,0)*VLOOKUP('Données projet'!$B$13,Paramètres!$A$1:$I$89,7,0))</f>
        <v>0.371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49.445008986055399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49.445008986055399</v>
      </c>
      <c r="DJ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68.499406973606568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2.2737367544323206E-13</v>
      </c>
      <c r="DP140" s="17">
        <f>DO140*VLOOKUP('Données projet'!$B$14,Paramètres!$A$1:$I$89,3,0)*VLOOKUP('Données projet'!$B$14,Paramètres!$A$1:$I$89,5,0)</f>
        <v>1.4897523215040565E-13</v>
      </c>
      <c r="DQ140" s="13">
        <f t="shared" si="151"/>
        <v>2.136562777003313E-12</v>
      </c>
      <c r="DR140" s="20">
        <f t="shared" si="124"/>
        <v>3.9806453659427267E-12</v>
      </c>
      <c r="DS140" s="57">
        <f t="shared" si="125"/>
        <v>287.83115890322807</v>
      </c>
      <c r="DT140" s="57">
        <f ca="1">AVERAGE(OFFSET($DS$3,0,0,'Données projet'!$E$14+1,1))-AVERAGE(OFFSET($H$3,0,0,'Données projet'!$E$14+1,1))</f>
        <v>313.79279628660527</v>
      </c>
      <c r="DU140" s="57">
        <f t="shared" si="152"/>
        <v>317.45469955216254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36.477864664938338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36.477864664938338</v>
      </c>
      <c r="EE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68.499406973606568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-1.1368683772161603E-13</v>
      </c>
      <c r="EK140" s="17">
        <f>EJ140*VLOOKUP('Données projet'!$B$15,Paramètres!$A$1:$I$89,3,0)*VLOOKUP('Données projet'!$B$15,Paramètres!$A$1:$I$89,5,0)</f>
        <v>-9.7543306765146564E-14</v>
      </c>
      <c r="EL140" s="13" t="e">
        <f t="shared" si="153"/>
        <v>#NUM!</v>
      </c>
      <c r="EM140" s="20" t="e">
        <f t="shared" si="127"/>
        <v>#NUM!</v>
      </c>
      <c r="EN140" s="57" t="e">
        <f t="shared" si="128"/>
        <v>#NUM!</v>
      </c>
      <c r="EO140" s="57">
        <f ca="1">AVERAGE(OFFSET($EN$3,0,0,'Données projet'!$E$15+1,1))-AVERAGE(OFFSET($H$3,0,0,'Données projet'!$E$15+1,1))</f>
        <v>643.04899298561475</v>
      </c>
      <c r="EP140" s="57">
        <f t="shared" si="154"/>
        <v>474.94999304483031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135.21008286173682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135.21008286173682</v>
      </c>
      <c r="EZ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68.499406973606568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>
        <f>FE140*VLOOKUP('Données projet'!$B$16,Paramètres!$A$1:$I$89,3,0)*VLOOKUP('Données projet'!$B$16,Paramètres!$A$1:$I$89,5,0)</f>
        <v>0</v>
      </c>
      <c r="FG140" s="13" t="e">
        <f t="shared" si="155"/>
        <v>#NUM!</v>
      </c>
      <c r="FH140" s="20" t="e">
        <f t="shared" si="130"/>
        <v>#NUM!</v>
      </c>
      <c r="FI140" s="57" t="e">
        <f t="shared" si="131"/>
        <v>#NUM!</v>
      </c>
      <c r="FJ140" s="57">
        <f ca="1">AVERAGE(OFFSET($FI$3,0,0,'Données projet'!$E$16+1,1))-AVERAGE(OFFSET($H$3,0,0,'Données projet'!$E$16+1,1))</f>
        <v>375.34603719604439</v>
      </c>
      <c r="FK140" s="57">
        <f t="shared" si="156"/>
        <v>363.99476973672211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51.198596627350746</v>
      </c>
      <c r="FR140" s="21">
        <f>EXP(-LN(2)/25)*FR139+(1-EXP(-LN(2)/25))/(LN(2)/25)*Calculateur!FM140*Calculateur!FO140*VLOOKUP('Données projet'!$B$16,Paramètres!$A$1:$I$89,3,0)*0.475*44/12</f>
        <v>0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51.198596627350746</v>
      </c>
      <c r="FU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68.499406973606568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-1.1368683772161603E-13</v>
      </c>
      <c r="GA140" s="17">
        <f>FZ140*VLOOKUP('Données projet'!$B$17,Paramètres!$A$1:$I$89,3,0)*VLOOKUP('Données projet'!$B$17,Paramètres!$A$1:$I$89,5,0)</f>
        <v>-6.3550942286383367E-14</v>
      </c>
      <c r="GB140" s="13" t="e">
        <f t="shared" si="157"/>
        <v>#NUM!</v>
      </c>
      <c r="GC140" s="20" t="e">
        <f t="shared" si="133"/>
        <v>#NUM!</v>
      </c>
      <c r="GD140" s="57" t="e">
        <f t="shared" si="134"/>
        <v>#NUM!</v>
      </c>
      <c r="GE140" s="57">
        <f ca="1">AVERAGE(OFFSET($GD$3,0,0,'Données projet'!$E$17+1,1))-AVERAGE(OFFSET($H$3,0,0,'Données projet'!$E$17+1,1))</f>
        <v>414.47327143450701</v>
      </c>
      <c r="GF140" s="57">
        <f t="shared" si="158"/>
        <v>546.83385887302961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58.200466826353924</v>
      </c>
      <c r="GM140" s="21">
        <f>EXP(-LN(2)/25)*GM139+(1-EXP(-LN(2)/25))/(LN(2)/25)*Calculateur!GH140*Calculateur!GJ140*VLOOKUP('Données projet'!$B$17,Paramètres!$A$1:$I$89,3,0)*0.475*44/12</f>
        <v>6.3750815146048243</v>
      </c>
      <c r="GN140" s="21">
        <f>EXP(-LN(2)/2)*GN139+(1-EXP(-LN(2)/2))/(LN(2)/2)*GH140*GK140*VLOOKUP('Données projet'!$B$17,Paramètres!$A$1:$I$89,3,0)*0.475*44/12</f>
        <v>1.3359633374456359E-11</v>
      </c>
      <c r="GO140" s="21">
        <f t="shared" si="135"/>
        <v>64.575548340972105</v>
      </c>
      <c r="GP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68.499406973606568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-2.2737367544323206E-13</v>
      </c>
      <c r="GV140" s="17">
        <f>GU140*VLOOKUP('Données projet'!$B$18,Paramètres!$A$1:$I$89,3,0)*VLOOKUP('Données projet'!$B$18,Paramètres!$A$1:$I$89,5,0)</f>
        <v>-1.2414602679200471E-13</v>
      </c>
      <c r="GW140" s="13" t="e">
        <f t="shared" si="159"/>
        <v>#NUM!</v>
      </c>
      <c r="GX140" s="20" t="e">
        <f t="shared" si="136"/>
        <v>#NUM!</v>
      </c>
      <c r="GY140" s="57" t="e">
        <f t="shared" si="137"/>
        <v>#NUM!</v>
      </c>
      <c r="GZ140" s="57">
        <f ca="1">AVERAGE(OFFSET($GY$3,0,0,'Données projet'!$E$18+1,1))-AVERAGE(OFFSET($H$3,0,0,'Données projet'!$E$18+1,1))</f>
        <v>381.00532469288714</v>
      </c>
      <c r="HA140" s="57">
        <f t="shared" si="160"/>
        <v>314.875259641757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>
        <f>EXP(-LN(2)/35)*HG139+(1-EXP(-LN(2)/35))/(LN(2)/35)*HC140*HD140*VLOOKUP('Données projet'!$B$18,Paramètres!$A$1:$I$89,3,0)*0.475*44/12</f>
        <v>98.047187453388815</v>
      </c>
      <c r="HH140" s="21">
        <f>EXP(-LN(2)/25)*HH139+(1-EXP(-LN(2)/25))/(LN(2)/25)*Calculateur!HC140*Calculateur!HE140*VLOOKUP('Données projet'!$B$18,Paramètres!$A$1:$I$89,3,0)*0.475*44/12</f>
        <v>11.827972608754616</v>
      </c>
      <c r="HI140" s="21">
        <f>EXP(-LN(2)/2)*HI139+(1-EXP(-LN(2)/2))/(LN(2)/2)*HC140*HF140*VLOOKUP('Données projet'!$B$18,Paramètres!$A$1:$I$89,3,0)*0.475*44/12</f>
        <v>6.7361568347984203E-5</v>
      </c>
      <c r="HJ140" s="22">
        <f t="shared" si="138"/>
        <v>109.87522742371178</v>
      </c>
    </row>
    <row r="141" spans="1:218" x14ac:dyDescent="0.2">
      <c r="A141" s="10">
        <f t="shared" si="139"/>
        <v>138</v>
      </c>
      <c r="B141" s="71">
        <f>'Scénario référence'!$B$16*5+'Scénario référence'!$B$17*0+'Scénario référence'!$B$18*5</f>
        <v>3.3000000000000003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12.100000000000001</v>
      </c>
      <c r="H141" s="65">
        <f t="shared" si="110"/>
        <v>208.26666666666665</v>
      </c>
      <c r="I141" s="6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68.52543890779107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-1.1527845344971866E-13</v>
      </c>
      <c r="P141" s="13" t="e">
        <f t="shared" si="141"/>
        <v>#NUM!</v>
      </c>
      <c r="Q141" s="20" t="e">
        <f t="shared" si="108"/>
        <v>#NUM!</v>
      </c>
      <c r="R141" s="57" t="e">
        <f t="shared" si="109"/>
        <v>#NUM!</v>
      </c>
      <c r="S141" s="57">
        <f ca="1">AVERAGE(OFFSET($R$3,0,0,'Données projet'!$E$9+1,1))-AVERAGE(OFFSET($H$3,0,0,'Données projet'!$E$9+1,1))</f>
        <v>332.70145542047612</v>
      </c>
      <c r="T141" s="57">
        <f t="shared" si="142"/>
        <v>172.22433737900428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79.49062208672396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79.49062208672396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68.52543890779107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6.5224999999999937</v>
      </c>
      <c r="AI141" s="13">
        <f>IF('Données projet'!$A$62&gt;35,AI140+AH141-AQ140,IF(A141&lt;'Données projet'!$A$62,$AF$205^A141,IF(A141='Données projet'!$A$62,'Données projet'!$B$62,AI140+AH141-AQ140)))</f>
        <v>314.09249999999986</v>
      </c>
      <c r="AJ141" s="13">
        <f>AI141*VLOOKUP('Données projet'!$B$10,Paramètres!$A$1:$I$89,3,0)*VLOOKUP('Données projet'!$B$10,Paramètres!$A$1:$I$89,5,0)</f>
        <v>284.19089399999984</v>
      </c>
      <c r="AK141" s="13">
        <f t="shared" si="143"/>
        <v>67.851898019027914</v>
      </c>
      <c r="AL141" s="20">
        <f t="shared" si="112"/>
        <v>613.14119609980662</v>
      </c>
      <c r="AM141" s="57">
        <f t="shared" si="113"/>
        <v>901.06780542837396</v>
      </c>
      <c r="AN141" s="57">
        <f ca="1">AVERAGE(OFFSET($AM$3,0,0,'Données projet'!$E$10+1,1))-AVERAGE(OFFSET($H$3,0,0,'Données projet'!$E$10+1,1))</f>
        <v>469.4210143164521</v>
      </c>
      <c r="AO141" s="57">
        <f t="shared" si="144"/>
        <v>308.4508386530556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53.048575586082137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53.048575586082137</v>
      </c>
      <c r="AY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68.52543890779107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7" t="e">
        <f t="shared" si="116"/>
        <v>#NUM!</v>
      </c>
      <c r="BI141" s="57">
        <f ca="1">AVERAGE(OFFSET($BH$3,0,0,'Données projet'!$E$11+1,1))-AVERAGE(OFFSET($H$3,0,0,'Données projet'!$E$11+1,1))</f>
        <v>344.32981377462971</v>
      </c>
      <c r="BJ141" s="57">
        <f t="shared" si="146"/>
        <v>334.42512656625763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36.808176285190186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36.808176285190186</v>
      </c>
      <c r="BT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68.52543890779107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4.5474735088646412E-13</v>
      </c>
      <c r="BZ141" s="13">
        <f>BY141*VLOOKUP('Données projet'!$B$12,Paramètres!$A$1:$I$89,3,0)*VLOOKUP('Données projet'!$B$12,Paramètres!$A$1:$I$89,5,0)</f>
        <v>4.3273757910355926E-13</v>
      </c>
      <c r="CA141" s="13">
        <f t="shared" si="147"/>
        <v>5.4817614357080839E-12</v>
      </c>
      <c r="CB141" s="20">
        <f t="shared" si="118"/>
        <v>1.0301085784130276E-11</v>
      </c>
      <c r="CC141" s="57">
        <f t="shared" si="119"/>
        <v>287.92660932857757</v>
      </c>
      <c r="CD141" s="57">
        <f ca="1">AVERAGE(OFFSET($CC$3,0,0,'Données projet'!$E$12+1,1))-AVERAGE(OFFSET($H$3,0,0,'Données projet'!$E$12+1,1))</f>
        <v>498.77732039282807</v>
      </c>
      <c r="CE141" s="57">
        <f t="shared" si="148"/>
        <v>384.57317421826531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129.57176180438853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129.57176180438853</v>
      </c>
      <c r="CO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68.52543890779107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6.5224999999999937</v>
      </c>
      <c r="CT141" s="12">
        <f>IF('Données projet'!$A$140&gt;35,CT140+CS141-DB140,IF(A141&lt;'Données projet'!$A$140,$CQ$205^A141,IF(A141='Données projet'!$A$140,'Données projet'!$B$140,CT140+CS141-DB140)))</f>
        <v>314.09249999999986</v>
      </c>
      <c r="CU141" s="17">
        <f>CT141*VLOOKUP('Données projet'!$B$13,Paramètres!$A$1:$I$89,3,0)*VLOOKUP('Données projet'!$B$13,Paramètres!$A$1:$I$89,5,0)</f>
        <v>210.69324899999992</v>
      </c>
      <c r="CV141" s="13">
        <f t="shared" si="149"/>
        <v>52.087048976310868</v>
      </c>
      <c r="CW141" s="20">
        <f t="shared" si="121"/>
        <v>457.6756856420746</v>
      </c>
      <c r="CX141" s="57">
        <f t="shared" si="122"/>
        <v>745.60229497064188</v>
      </c>
      <c r="CY141" s="57">
        <f ca="1">AVERAGE(OFFSET($CX$3,0,0,'Données projet'!$E$13+1,1))-AVERAGE(OFFSET($H$3,0,0,'Données projet'!$E$13+1,1))</f>
        <v>365.99625753737246</v>
      </c>
      <c r="CZ141" s="57">
        <f t="shared" si="150"/>
        <v>242.84814712692287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48.475422518316428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48.475422518316428</v>
      </c>
      <c r="DJ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68.52543890779107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2.2737367544323206E-13</v>
      </c>
      <c r="DP141" s="17">
        <f>DO141*VLOOKUP('Données projet'!$B$14,Paramètres!$A$1:$I$89,3,0)*VLOOKUP('Données projet'!$B$14,Paramètres!$A$1:$I$89,5,0)</f>
        <v>1.4897523215040565E-13</v>
      </c>
      <c r="DQ141" s="13">
        <f t="shared" si="151"/>
        <v>2.136562777003313E-12</v>
      </c>
      <c r="DR141" s="20">
        <f t="shared" si="124"/>
        <v>3.9806453659427267E-12</v>
      </c>
      <c r="DS141" s="57">
        <f t="shared" si="125"/>
        <v>287.92660932857126</v>
      </c>
      <c r="DT141" s="57">
        <f ca="1">AVERAGE(OFFSET($DS$3,0,0,'Données projet'!$E$14+1,1))-AVERAGE(OFFSET($H$3,0,0,'Données projet'!$E$14+1,1))</f>
        <v>313.79279628660527</v>
      </c>
      <c r="DU141" s="57">
        <f t="shared" si="152"/>
        <v>317.45469955216254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35.762555988159406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35.762555988159406</v>
      </c>
      <c r="EE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68.52543890779107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-1.1368683772161603E-13</v>
      </c>
      <c r="EK141" s="17">
        <f>EJ141*VLOOKUP('Données projet'!$B$15,Paramètres!$A$1:$I$89,3,0)*VLOOKUP('Données projet'!$B$15,Paramètres!$A$1:$I$89,5,0)</f>
        <v>-9.7543306765146564E-14</v>
      </c>
      <c r="EL141" s="13" t="e">
        <f t="shared" si="153"/>
        <v>#NUM!</v>
      </c>
      <c r="EM141" s="20" t="e">
        <f t="shared" si="127"/>
        <v>#NUM!</v>
      </c>
      <c r="EN141" s="57" t="e">
        <f t="shared" si="128"/>
        <v>#NUM!</v>
      </c>
      <c r="EO141" s="57">
        <f ca="1">AVERAGE(OFFSET($EN$3,0,0,'Données projet'!$E$15+1,1))-AVERAGE(OFFSET($H$3,0,0,'Données projet'!$E$15+1,1))</f>
        <v>643.04899298561475</v>
      </c>
      <c r="EP141" s="57">
        <f t="shared" si="154"/>
        <v>474.94999304483031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132.55869560682547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132.55869560682547</v>
      </c>
      <c r="EZ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68.52543890779107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>
        <f>FE141*VLOOKUP('Données projet'!$B$16,Paramètres!$A$1:$I$89,3,0)*VLOOKUP('Données projet'!$B$16,Paramètres!$A$1:$I$89,5,0)</f>
        <v>0</v>
      </c>
      <c r="FG141" s="13" t="e">
        <f t="shared" si="155"/>
        <v>#NUM!</v>
      </c>
      <c r="FH141" s="20" t="e">
        <f t="shared" si="130"/>
        <v>#NUM!</v>
      </c>
      <c r="FI141" s="57" t="e">
        <f t="shared" si="131"/>
        <v>#NUM!</v>
      </c>
      <c r="FJ141" s="57">
        <f ca="1">AVERAGE(OFFSET($FI$3,0,0,'Données projet'!$E$16+1,1))-AVERAGE(OFFSET($H$3,0,0,'Données projet'!$E$16+1,1))</f>
        <v>375.34603719604439</v>
      </c>
      <c r="FK141" s="57">
        <f t="shared" si="156"/>
        <v>363.99476973672211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50.194623375548822</v>
      </c>
      <c r="FR141" s="21">
        <f>EXP(-LN(2)/25)*FR140+(1-EXP(-LN(2)/25))/(LN(2)/25)*Calculateur!FM141*Calculateur!FO141*VLOOKUP('Données projet'!$B$16,Paramètres!$A$1:$I$89,3,0)*0.475*44/12</f>
        <v>0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50.194623375548822</v>
      </c>
      <c r="FU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68.52543890779107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-1.1368683772161603E-13</v>
      </c>
      <c r="GA141" s="17">
        <f>FZ141*VLOOKUP('Données projet'!$B$17,Paramètres!$A$1:$I$89,3,0)*VLOOKUP('Données projet'!$B$17,Paramètres!$A$1:$I$89,5,0)</f>
        <v>-6.3550942286383367E-14</v>
      </c>
      <c r="GB141" s="13" t="e">
        <f t="shared" si="157"/>
        <v>#NUM!</v>
      </c>
      <c r="GC141" s="20" t="e">
        <f t="shared" si="133"/>
        <v>#NUM!</v>
      </c>
      <c r="GD141" s="57" t="e">
        <f t="shared" si="134"/>
        <v>#NUM!</v>
      </c>
      <c r="GE141" s="57">
        <f ca="1">AVERAGE(OFFSET($GD$3,0,0,'Données projet'!$E$17+1,1))-AVERAGE(OFFSET($H$3,0,0,'Données projet'!$E$17+1,1))</f>
        <v>414.47327143450701</v>
      </c>
      <c r="GF141" s="57">
        <f t="shared" si="158"/>
        <v>546.83385887302961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57.059191170668676</v>
      </c>
      <c r="GM141" s="21">
        <f>EXP(-LN(2)/25)*GM140+(1-EXP(-LN(2)/25))/(LN(2)/25)*Calculateur!GH141*Calculateur!GJ141*VLOOKUP('Données projet'!$B$17,Paramètres!$A$1:$I$89,3,0)*0.475*44/12</f>
        <v>6.2007545753369886</v>
      </c>
      <c r="GN141" s="21">
        <f>EXP(-LN(2)/2)*GN140+(1-EXP(-LN(2)/2))/(LN(2)/2)*GH141*GK141*VLOOKUP('Données projet'!$B$17,Paramètres!$A$1:$I$89,3,0)*0.475*44/12</f>
        <v>9.4466873532442097E-12</v>
      </c>
      <c r="GO141" s="21">
        <f t="shared" si="135"/>
        <v>63.259945746015113</v>
      </c>
      <c r="GP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68.52543890779107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-2.2737367544323206E-13</v>
      </c>
      <c r="GV141" s="17">
        <f>GU141*VLOOKUP('Données projet'!$B$18,Paramètres!$A$1:$I$89,3,0)*VLOOKUP('Données projet'!$B$18,Paramètres!$A$1:$I$89,5,0)</f>
        <v>-1.2414602679200471E-13</v>
      </c>
      <c r="GW141" s="13" t="e">
        <f t="shared" si="159"/>
        <v>#NUM!</v>
      </c>
      <c r="GX141" s="20" t="e">
        <f t="shared" si="136"/>
        <v>#NUM!</v>
      </c>
      <c r="GY141" s="57" t="e">
        <f t="shared" si="137"/>
        <v>#NUM!</v>
      </c>
      <c r="GZ141" s="57">
        <f ca="1">AVERAGE(OFFSET($GY$3,0,0,'Données projet'!$E$18+1,1))-AVERAGE(OFFSET($H$3,0,0,'Données projet'!$E$18+1,1))</f>
        <v>381.00532469288714</v>
      </c>
      <c r="HA141" s="57">
        <f t="shared" si="160"/>
        <v>314.875259641757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>
        <f>EXP(-LN(2)/35)*HG140+(1-EXP(-LN(2)/35))/(LN(2)/35)*HC141*HD141*VLOOKUP('Données projet'!$B$18,Paramètres!$A$1:$I$89,3,0)*0.475*44/12</f>
        <v>96.124541910307158</v>
      </c>
      <c r="HH141" s="21">
        <f>EXP(-LN(2)/25)*HH140+(1-EXP(-LN(2)/25))/(LN(2)/25)*Calculateur!HC141*Calculateur!HE141*VLOOKUP('Données projet'!$B$18,Paramètres!$A$1:$I$89,3,0)*0.475*44/12</f>
        <v>11.504536075762175</v>
      </c>
      <c r="HI141" s="21">
        <f>EXP(-LN(2)/2)*HI140+(1-EXP(-LN(2)/2))/(LN(2)/2)*HC141*HF141*VLOOKUP('Données projet'!$B$18,Paramètres!$A$1:$I$89,3,0)*0.475*44/12</f>
        <v>4.7631821770220731E-5</v>
      </c>
      <c r="HJ141" s="22">
        <f t="shared" si="138"/>
        <v>107.62912561789111</v>
      </c>
    </row>
    <row r="142" spans="1:218" x14ac:dyDescent="0.2">
      <c r="A142" s="10">
        <f t="shared" si="139"/>
        <v>139</v>
      </c>
      <c r="B142" s="71">
        <f>'Scénario référence'!$B$16*5+'Scénario référence'!$B$17*0+'Scénario référence'!$B$18*5</f>
        <v>3.3000000000000003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12.100000000000001</v>
      </c>
      <c r="H142" s="65">
        <f t="shared" si="110"/>
        <v>208.26666666666665</v>
      </c>
      <c r="I142" s="6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68.551019246116169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-1.1527845344971866E-13</v>
      </c>
      <c r="P142" s="13" t="e">
        <f t="shared" si="141"/>
        <v>#NUM!</v>
      </c>
      <c r="Q142" s="20" t="e">
        <f t="shared" si="108"/>
        <v>#NUM!</v>
      </c>
      <c r="R142" s="57" t="e">
        <f t="shared" si="109"/>
        <v>#NUM!</v>
      </c>
      <c r="S142" s="57">
        <f ca="1">AVERAGE(OFFSET($R$3,0,0,'Données projet'!$E$9+1,1))-AVERAGE(OFFSET($H$3,0,0,'Données projet'!$E$9+1,1))</f>
        <v>332.70145542047612</v>
      </c>
      <c r="T142" s="57">
        <f t="shared" si="142"/>
        <v>172.22433737900428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77.931859472095326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77.931859472095326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68.551019246116169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6.5224999999999937</v>
      </c>
      <c r="AI142" s="13">
        <f>IF('Données projet'!$A$62&gt;35,AI141+AH142-AQ141,IF(A142&lt;'Données projet'!$A$62,$AF$205^A142,IF(A142='Données projet'!$A$62,'Données projet'!$B$62,AI141+AH142-AQ141)))</f>
        <v>320.61499999999984</v>
      </c>
      <c r="AJ142" s="13">
        <f>AI142*VLOOKUP('Données projet'!$B$10,Paramètres!$A$1:$I$89,3,0)*VLOOKUP('Données projet'!$B$10,Paramètres!$A$1:$I$89,5,0)</f>
        <v>290.09245199999987</v>
      </c>
      <c r="AK142" s="13">
        <f t="shared" si="143"/>
        <v>69.095418791455359</v>
      </c>
      <c r="AL142" s="20">
        <f t="shared" si="112"/>
        <v>625.5855416284511</v>
      </c>
      <c r="AM142" s="57">
        <f t="shared" si="113"/>
        <v>913.60594553087708</v>
      </c>
      <c r="AN142" s="57">
        <f ca="1">AVERAGE(OFFSET($AM$3,0,0,'Données projet'!$E$10+1,1))-AVERAGE(OFFSET($H$3,0,0,'Données projet'!$E$10+1,1))</f>
        <v>469.4210143164521</v>
      </c>
      <c r="AO142" s="57">
        <f t="shared" si="144"/>
        <v>308.4508386530556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52.008325375275241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52.008325375275241</v>
      </c>
      <c r="AY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68.551019246116169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7" t="e">
        <f t="shared" si="116"/>
        <v>#NUM!</v>
      </c>
      <c r="BI142" s="57">
        <f ca="1">AVERAGE(OFFSET($BH$3,0,0,'Données projet'!$E$11+1,1))-AVERAGE(OFFSET($H$3,0,0,'Données projet'!$E$11+1,1))</f>
        <v>344.32981377462971</v>
      </c>
      <c r="BJ142" s="57">
        <f t="shared" si="146"/>
        <v>334.42512656625763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36.086390399008309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36.086390399008309</v>
      </c>
      <c r="BT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68.551019246116169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4.5474735088646412E-13</v>
      </c>
      <c r="BZ142" s="13">
        <f>BY142*VLOOKUP('Données projet'!$B$12,Paramètres!$A$1:$I$89,3,0)*VLOOKUP('Données projet'!$B$12,Paramètres!$A$1:$I$89,5,0)</f>
        <v>4.3273757910355926E-13</v>
      </c>
      <c r="CA142" s="13">
        <f t="shared" si="147"/>
        <v>5.4817614357080839E-12</v>
      </c>
      <c r="CB142" s="20">
        <f t="shared" si="118"/>
        <v>1.0301085784130276E-11</v>
      </c>
      <c r="CC142" s="57">
        <f t="shared" si="119"/>
        <v>288.02040390243621</v>
      </c>
      <c r="CD142" s="57">
        <f ca="1">AVERAGE(OFFSET($CC$3,0,0,'Données projet'!$E$12+1,1))-AVERAGE(OFFSET($H$3,0,0,'Données projet'!$E$12+1,1))</f>
        <v>498.77732039282807</v>
      </c>
      <c r="CE142" s="57">
        <f t="shared" si="148"/>
        <v>384.57317421826531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127.03093858637551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127.03093858637551</v>
      </c>
      <c r="CO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68.551019246116169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6.5224999999999937</v>
      </c>
      <c r="CT142" s="12">
        <f>IF('Données projet'!$A$140&gt;35,CT141+CS142-DB141,IF(A142&lt;'Données projet'!$A$140,$CQ$205^A142,IF(A142='Données projet'!$A$140,'Données projet'!$B$140,CT141+CS142-DB141)))</f>
        <v>320.61499999999984</v>
      </c>
      <c r="CU142" s="17">
        <f>CT142*VLOOKUP('Données projet'!$B$13,Paramètres!$A$1:$I$89,3,0)*VLOOKUP('Données projet'!$B$13,Paramètres!$A$1:$I$89,5,0)</f>
        <v>215.06854199999989</v>
      </c>
      <c r="CV142" s="13">
        <f t="shared" si="149"/>
        <v>53.041647583977294</v>
      </c>
      <c r="CW142" s="20">
        <f t="shared" si="121"/>
        <v>466.95858019209362</v>
      </c>
      <c r="CX142" s="57">
        <f t="shared" si="122"/>
        <v>754.97898409451955</v>
      </c>
      <c r="CY142" s="57">
        <f ca="1">AVERAGE(OFFSET($CX$3,0,0,'Données projet'!$E$13+1,1))-AVERAGE(OFFSET($H$3,0,0,'Données projet'!$E$13+1,1))</f>
        <v>365.99625753737246</v>
      </c>
      <c r="CZ142" s="57">
        <f t="shared" si="150"/>
        <v>242.84814712692287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47.524849049820475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47.524849049820475</v>
      </c>
      <c r="DJ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68.551019246116169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2.2737367544323206E-13</v>
      </c>
      <c r="DP142" s="17">
        <f>DO142*VLOOKUP('Données projet'!$B$14,Paramètres!$A$1:$I$89,3,0)*VLOOKUP('Données projet'!$B$14,Paramètres!$A$1:$I$89,5,0)</f>
        <v>1.4897523215040565E-13</v>
      </c>
      <c r="DQ142" s="13">
        <f t="shared" si="151"/>
        <v>2.136562777003313E-12</v>
      </c>
      <c r="DR142" s="20">
        <f t="shared" si="124"/>
        <v>3.9806453659427267E-12</v>
      </c>
      <c r="DS142" s="57">
        <f t="shared" si="125"/>
        <v>288.0204039024299</v>
      </c>
      <c r="DT142" s="57">
        <f ca="1">AVERAGE(OFFSET($DS$3,0,0,'Données projet'!$E$14+1,1))-AVERAGE(OFFSET($H$3,0,0,'Données projet'!$E$14+1,1))</f>
        <v>313.79279628660527</v>
      </c>
      <c r="DU142" s="57">
        <f t="shared" si="152"/>
        <v>317.45469955216254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35.061274078236899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35.061274078236899</v>
      </c>
      <c r="EE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68.551019246116169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-1.1368683772161603E-13</v>
      </c>
      <c r="EK142" s="17">
        <f>EJ142*VLOOKUP('Données projet'!$B$15,Paramètres!$A$1:$I$89,3,0)*VLOOKUP('Données projet'!$B$15,Paramètres!$A$1:$I$89,5,0)</f>
        <v>-9.7543306765146564E-14</v>
      </c>
      <c r="EL142" s="13" t="e">
        <f t="shared" si="153"/>
        <v>#NUM!</v>
      </c>
      <c r="EM142" s="20" t="e">
        <f t="shared" si="127"/>
        <v>#NUM!</v>
      </c>
      <c r="EN142" s="57" t="e">
        <f t="shared" si="128"/>
        <v>#NUM!</v>
      </c>
      <c r="EO142" s="57">
        <f ca="1">AVERAGE(OFFSET($EN$3,0,0,'Données projet'!$E$15+1,1))-AVERAGE(OFFSET($H$3,0,0,'Données projet'!$E$15+1,1))</f>
        <v>643.04899298561475</v>
      </c>
      <c r="EP142" s="57">
        <f t="shared" si="154"/>
        <v>474.94999304483031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129.95930043879639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129.95930043879639</v>
      </c>
      <c r="EZ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68.551019246116169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>
        <f>FE142*VLOOKUP('Données projet'!$B$16,Paramètres!$A$1:$I$89,3,0)*VLOOKUP('Données projet'!$B$16,Paramètres!$A$1:$I$89,5,0)</f>
        <v>0</v>
      </c>
      <c r="FG142" s="13" t="e">
        <f t="shared" si="155"/>
        <v>#NUM!</v>
      </c>
      <c r="FH142" s="20" t="e">
        <f t="shared" si="130"/>
        <v>#NUM!</v>
      </c>
      <c r="FI142" s="57" t="e">
        <f t="shared" si="131"/>
        <v>#NUM!</v>
      </c>
      <c r="FJ142" s="57">
        <f ca="1">AVERAGE(OFFSET($FI$3,0,0,'Données projet'!$E$16+1,1))-AVERAGE(OFFSET($H$3,0,0,'Données projet'!$E$16+1,1))</f>
        <v>375.34603719604439</v>
      </c>
      <c r="FK142" s="57">
        <f t="shared" si="156"/>
        <v>363.99476973672211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49.210337426851517</v>
      </c>
      <c r="FR142" s="21">
        <f>EXP(-LN(2)/25)*FR141+(1-EXP(-LN(2)/25))/(LN(2)/25)*Calculateur!FM142*Calculateur!FO142*VLOOKUP('Données projet'!$B$16,Paramètres!$A$1:$I$89,3,0)*0.475*44/12</f>
        <v>0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49.210337426851517</v>
      </c>
      <c r="FU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68.551019246116169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-1.1368683772161603E-13</v>
      </c>
      <c r="GA142" s="17">
        <f>FZ142*VLOOKUP('Données projet'!$B$17,Paramètres!$A$1:$I$89,3,0)*VLOOKUP('Données projet'!$B$17,Paramètres!$A$1:$I$89,5,0)</f>
        <v>-6.3550942286383367E-14</v>
      </c>
      <c r="GB142" s="13" t="e">
        <f t="shared" si="157"/>
        <v>#NUM!</v>
      </c>
      <c r="GC142" s="20" t="e">
        <f t="shared" si="133"/>
        <v>#NUM!</v>
      </c>
      <c r="GD142" s="57" t="e">
        <f t="shared" si="134"/>
        <v>#NUM!</v>
      </c>
      <c r="GE142" s="57">
        <f ca="1">AVERAGE(OFFSET($GD$3,0,0,'Données projet'!$E$17+1,1))-AVERAGE(OFFSET($H$3,0,0,'Données projet'!$E$17+1,1))</f>
        <v>414.47327143450701</v>
      </c>
      <c r="GF142" s="57">
        <f t="shared" si="158"/>
        <v>546.83385887302961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55.940295234482001</v>
      </c>
      <c r="GM142" s="21">
        <f>EXP(-LN(2)/25)*GM141+(1-EXP(-LN(2)/25))/(LN(2)/25)*Calculateur!GH142*Calculateur!GJ142*VLOOKUP('Données projet'!$B$17,Paramètres!$A$1:$I$89,3,0)*0.475*44/12</f>
        <v>6.0311946153908877</v>
      </c>
      <c r="GN142" s="21">
        <f>EXP(-LN(2)/2)*GN141+(1-EXP(-LN(2)/2))/(LN(2)/2)*GH142*GK142*VLOOKUP('Données projet'!$B$17,Paramètres!$A$1:$I$89,3,0)*0.475*44/12</f>
        <v>6.6798166872281793E-12</v>
      </c>
      <c r="GO142" s="21">
        <f t="shared" si="135"/>
        <v>61.971489849879568</v>
      </c>
      <c r="GP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68.551019246116169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-2.2737367544323206E-13</v>
      </c>
      <c r="GV142" s="17">
        <f>GU142*VLOOKUP('Données projet'!$B$18,Paramètres!$A$1:$I$89,3,0)*VLOOKUP('Données projet'!$B$18,Paramètres!$A$1:$I$89,5,0)</f>
        <v>-1.2414602679200471E-13</v>
      </c>
      <c r="GW142" s="13" t="e">
        <f t="shared" si="159"/>
        <v>#NUM!</v>
      </c>
      <c r="GX142" s="20" t="e">
        <f t="shared" si="136"/>
        <v>#NUM!</v>
      </c>
      <c r="GY142" s="57" t="e">
        <f t="shared" si="137"/>
        <v>#NUM!</v>
      </c>
      <c r="GZ142" s="57">
        <f ca="1">AVERAGE(OFFSET($GY$3,0,0,'Données projet'!$E$18+1,1))-AVERAGE(OFFSET($H$3,0,0,'Données projet'!$E$18+1,1))</f>
        <v>381.00532469288714</v>
      </c>
      <c r="HA142" s="57">
        <f t="shared" si="160"/>
        <v>314.875259641757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>
        <f>EXP(-LN(2)/35)*HG141+(1-EXP(-LN(2)/35))/(LN(2)/35)*HC142*HD142*VLOOKUP('Données projet'!$B$18,Paramètres!$A$1:$I$89,3,0)*0.475*44/12</f>
        <v>94.239598273627351</v>
      </c>
      <c r="HH142" s="21">
        <f>EXP(-LN(2)/25)*HH141+(1-EXP(-LN(2)/25))/(LN(2)/25)*Calculateur!HC142*Calculateur!HE142*VLOOKUP('Données projet'!$B$18,Paramètres!$A$1:$I$89,3,0)*0.475*44/12</f>
        <v>11.1899439317732</v>
      </c>
      <c r="HI142" s="21">
        <f>EXP(-LN(2)/2)*HI141+(1-EXP(-LN(2)/2))/(LN(2)/2)*HC142*HF142*VLOOKUP('Données projet'!$B$18,Paramètres!$A$1:$I$89,3,0)*0.475*44/12</f>
        <v>3.3680784173992101E-5</v>
      </c>
      <c r="HJ142" s="22">
        <f t="shared" si="138"/>
        <v>105.42957588618472</v>
      </c>
    </row>
    <row r="143" spans="1:218" x14ac:dyDescent="0.2">
      <c r="A143" s="10">
        <f t="shared" si="139"/>
        <v>140</v>
      </c>
      <c r="B143" s="71">
        <f>'Scénario référence'!$B$16*5+'Scénario référence'!$B$17*0+'Scénario référence'!$B$18*5</f>
        <v>3.3000000000000003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12.100000000000001</v>
      </c>
      <c r="H143" s="65">
        <f t="shared" si="110"/>
        <v>208.26666666666665</v>
      </c>
      <c r="I143" s="6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68.576155822760384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-1.1527845344971866E-13</v>
      </c>
      <c r="P143" s="13" t="e">
        <f t="shared" si="141"/>
        <v>#NUM!</v>
      </c>
      <c r="Q143" s="20" t="e">
        <f t="shared" si="108"/>
        <v>#NUM!</v>
      </c>
      <c r="R143" s="57" t="e">
        <f t="shared" si="109"/>
        <v>#NUM!</v>
      </c>
      <c r="S143" s="57">
        <f ca="1">AVERAGE(OFFSET($R$3,0,0,'Données projet'!$E$9+1,1))-AVERAGE(OFFSET($H$3,0,0,'Données projet'!$E$9+1,1))</f>
        <v>332.70145542047612</v>
      </c>
      <c r="T143" s="57">
        <f t="shared" si="142"/>
        <v>172.22433737900428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76.403663241588248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76.403663241588248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68.576155822760384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6.5224999999999937</v>
      </c>
      <c r="AI143" s="13">
        <f>IF('Données projet'!$A$62&gt;35,AI142+AH143-AQ142,IF(A143&lt;'Données projet'!$A$62,$AF$205^A143,IF(A143='Données projet'!$A$62,'Données projet'!$B$62,AI142+AH143-AQ142)))</f>
        <v>327.13749999999982</v>
      </c>
      <c r="AJ143" s="13">
        <f>AI143*VLOOKUP('Données projet'!$B$10,Paramètres!$A$1:$I$89,3,0)*VLOOKUP('Données projet'!$B$10,Paramètres!$A$1:$I$89,5,0)</f>
        <v>295.99400999999983</v>
      </c>
      <c r="AK143" s="13">
        <f t="shared" si="143"/>
        <v>70.335998165580676</v>
      </c>
      <c r="AL143" s="20">
        <f t="shared" si="112"/>
        <v>638.02476422171935</v>
      </c>
      <c r="AM143" s="57">
        <f t="shared" si="113"/>
        <v>926.13733557184082</v>
      </c>
      <c r="AN143" s="57">
        <f ca="1">AVERAGE(OFFSET($AM$3,0,0,'Données projet'!$E$10+1,1))-AVERAGE(OFFSET($H$3,0,0,'Données projet'!$E$10+1,1))</f>
        <v>469.4210143164521</v>
      </c>
      <c r="AO143" s="57">
        <f t="shared" si="144"/>
        <v>308.4508386530556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50.988473836612293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50.988473836612293</v>
      </c>
      <c r="AY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68.576155822760384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7" t="e">
        <f t="shared" si="116"/>
        <v>#NUM!</v>
      </c>
      <c r="BI143" s="57">
        <f ca="1">AVERAGE(OFFSET($BH$3,0,0,'Données projet'!$E$11+1,1))-AVERAGE(OFFSET($H$3,0,0,'Données projet'!$E$11+1,1))</f>
        <v>344.32981377462971</v>
      </c>
      <c r="BJ143" s="57">
        <f t="shared" si="146"/>
        <v>334.42512656625763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35.378758293808538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35.378758293808538</v>
      </c>
      <c r="BT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68.576155822760384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4.5474735088646412E-13</v>
      </c>
      <c r="BZ143" s="13">
        <f>BY143*VLOOKUP('Données projet'!$B$12,Paramètres!$A$1:$I$89,3,0)*VLOOKUP('Données projet'!$B$12,Paramètres!$A$1:$I$89,5,0)</f>
        <v>4.3273757910355926E-13</v>
      </c>
      <c r="CA143" s="13">
        <f t="shared" si="147"/>
        <v>5.4817614357080839E-12</v>
      </c>
      <c r="CB143" s="20">
        <f t="shared" si="118"/>
        <v>1.0301085784130276E-11</v>
      </c>
      <c r="CC143" s="57">
        <f t="shared" si="119"/>
        <v>288.1125713501317</v>
      </c>
      <c r="CD143" s="57">
        <f ca="1">AVERAGE(OFFSET($CC$3,0,0,'Données projet'!$E$12+1,1))-AVERAGE(OFFSET($H$3,0,0,'Données projet'!$E$12+1,1))</f>
        <v>498.77732039282807</v>
      </c>
      <c r="CE143" s="57">
        <f t="shared" si="148"/>
        <v>384.57317421826531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124.53993936191858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124.53993936191858</v>
      </c>
      <c r="CO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68.576155822760384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6.5224999999999937</v>
      </c>
      <c r="CT143" s="12">
        <f>IF('Données projet'!$A$140&gt;35,CT142+CS143-DB142,IF(A143&lt;'Données projet'!$A$140,$CQ$205^A143,IF(A143='Données projet'!$A$140,'Données projet'!$B$140,CT142+CS143-DB142)))</f>
        <v>327.13749999999982</v>
      </c>
      <c r="CU143" s="17">
        <f>CT143*VLOOKUP('Données projet'!$B$13,Paramètres!$A$1:$I$89,3,0)*VLOOKUP('Données projet'!$B$13,Paramètres!$A$1:$I$89,5,0)</f>
        <v>219.44383499999989</v>
      </c>
      <c r="CV143" s="13">
        <f t="shared" si="149"/>
        <v>53.993988203851266</v>
      </c>
      <c r="CW143" s="20">
        <f t="shared" si="121"/>
        <v>476.23754208004078</v>
      </c>
      <c r="CX143" s="57">
        <f t="shared" si="122"/>
        <v>764.3501134301622</v>
      </c>
      <c r="CY143" s="57">
        <f ca="1">AVERAGE(OFFSET($CX$3,0,0,'Données projet'!$E$13+1,1))-AVERAGE(OFFSET($H$3,0,0,'Données projet'!$E$13+1,1))</f>
        <v>365.99625753737246</v>
      </c>
      <c r="CZ143" s="57">
        <f t="shared" si="150"/>
        <v>242.84814712692287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46.592915747249158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46.592915747249158</v>
      </c>
      <c r="DJ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68.576155822760384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2.2737367544323206E-13</v>
      </c>
      <c r="DP143" s="17">
        <f>DO143*VLOOKUP('Données projet'!$B$14,Paramètres!$A$1:$I$89,3,0)*VLOOKUP('Données projet'!$B$14,Paramètres!$A$1:$I$89,5,0)</f>
        <v>1.4897523215040565E-13</v>
      </c>
      <c r="DQ143" s="13">
        <f t="shared" si="151"/>
        <v>2.136562777003313E-12</v>
      </c>
      <c r="DR143" s="20">
        <f t="shared" si="124"/>
        <v>3.9806453659427267E-12</v>
      </c>
      <c r="DS143" s="57">
        <f t="shared" si="125"/>
        <v>288.11257135012539</v>
      </c>
      <c r="DT143" s="57">
        <f ca="1">AVERAGE(OFFSET($DS$3,0,0,'Données projet'!$E$14+1,1))-AVERAGE(OFFSET($H$3,0,0,'Données projet'!$E$14+1,1))</f>
        <v>313.79279628660527</v>
      </c>
      <c r="DU143" s="57">
        <f t="shared" si="152"/>
        <v>317.45469955216254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34.373743878828243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34.373743878828243</v>
      </c>
      <c r="EE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68.576155822760384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-1.1368683772161603E-13</v>
      </c>
      <c r="EK143" s="17">
        <f>EJ143*VLOOKUP('Données projet'!$B$15,Paramètres!$A$1:$I$89,3,0)*VLOOKUP('Données projet'!$B$15,Paramètres!$A$1:$I$89,5,0)</f>
        <v>-9.7543306765146564E-14</v>
      </c>
      <c r="EL143" s="13" t="e">
        <f t="shared" si="153"/>
        <v>#NUM!</v>
      </c>
      <c r="EM143" s="20" t="e">
        <f t="shared" si="127"/>
        <v>#NUM!</v>
      </c>
      <c r="EN143" s="57" t="e">
        <f t="shared" si="128"/>
        <v>#NUM!</v>
      </c>
      <c r="EO143" s="57">
        <f ca="1">AVERAGE(OFFSET($EN$3,0,0,'Données projet'!$E$15+1,1))-AVERAGE(OFFSET($H$3,0,0,'Données projet'!$E$15+1,1))</f>
        <v>643.04899298561475</v>
      </c>
      <c r="EP143" s="57">
        <f t="shared" si="154"/>
        <v>474.94999304483031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127.41087782453786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127.41087782453786</v>
      </c>
      <c r="EZ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68.576155822760384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>
        <f>FE143*VLOOKUP('Données projet'!$B$16,Paramètres!$A$1:$I$89,3,0)*VLOOKUP('Données projet'!$B$16,Paramètres!$A$1:$I$89,5,0)</f>
        <v>0</v>
      </c>
      <c r="FG143" s="13" t="e">
        <f t="shared" si="155"/>
        <v>#NUM!</v>
      </c>
      <c r="FH143" s="20" t="e">
        <f t="shared" si="130"/>
        <v>#NUM!</v>
      </c>
      <c r="FI143" s="57" t="e">
        <f t="shared" si="131"/>
        <v>#NUM!</v>
      </c>
      <c r="FJ143" s="57">
        <f ca="1">AVERAGE(OFFSET($FI$3,0,0,'Données projet'!$E$16+1,1))-AVERAGE(OFFSET($H$3,0,0,'Données projet'!$E$16+1,1))</f>
        <v>375.34603719604439</v>
      </c>
      <c r="FK143" s="57">
        <f t="shared" si="156"/>
        <v>363.99476973672211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48.245352725253021</v>
      </c>
      <c r="FR143" s="21">
        <f>EXP(-LN(2)/25)*FR142+(1-EXP(-LN(2)/25))/(LN(2)/25)*Calculateur!FM143*Calculateur!FO143*VLOOKUP('Données projet'!$B$16,Paramètres!$A$1:$I$89,3,0)*0.475*44/12</f>
        <v>0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48.245352725253021</v>
      </c>
      <c r="FU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68.576155822760384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-1.1368683772161603E-13</v>
      </c>
      <c r="GA143" s="17">
        <f>FZ143*VLOOKUP('Données projet'!$B$17,Paramètres!$A$1:$I$89,3,0)*VLOOKUP('Données projet'!$B$17,Paramètres!$A$1:$I$89,5,0)</f>
        <v>-6.3550942286383367E-14</v>
      </c>
      <c r="GB143" s="13" t="e">
        <f t="shared" si="157"/>
        <v>#NUM!</v>
      </c>
      <c r="GC143" s="20" t="e">
        <f t="shared" si="133"/>
        <v>#NUM!</v>
      </c>
      <c r="GD143" s="57" t="e">
        <f t="shared" si="134"/>
        <v>#NUM!</v>
      </c>
      <c r="GE143" s="57">
        <f ca="1">AVERAGE(OFFSET($GD$3,0,0,'Données projet'!$E$17+1,1))-AVERAGE(OFFSET($H$3,0,0,'Données projet'!$E$17+1,1))</f>
        <v>414.47327143450701</v>
      </c>
      <c r="GF143" s="57">
        <f t="shared" si="158"/>
        <v>546.83385887302961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54.843340165144809</v>
      </c>
      <c r="GM143" s="21">
        <f>EXP(-LN(2)/25)*GM142+(1-EXP(-LN(2)/25))/(LN(2)/25)*Calculateur!GH143*Calculateur!GJ143*VLOOKUP('Données projet'!$B$17,Paramètres!$A$1:$I$89,3,0)*0.475*44/12</f>
        <v>5.8662712814662834</v>
      </c>
      <c r="GN143" s="21">
        <f>EXP(-LN(2)/2)*GN142+(1-EXP(-LN(2)/2))/(LN(2)/2)*GH143*GK143*VLOOKUP('Données projet'!$B$17,Paramètres!$A$1:$I$89,3,0)*0.475*44/12</f>
        <v>4.7233436766221049E-12</v>
      </c>
      <c r="GO143" s="21">
        <f t="shared" si="135"/>
        <v>60.709611446615817</v>
      </c>
      <c r="GP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68.576155822760384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-2.2737367544323206E-13</v>
      </c>
      <c r="GV143" s="17">
        <f>GU143*VLOOKUP('Données projet'!$B$18,Paramètres!$A$1:$I$89,3,0)*VLOOKUP('Données projet'!$B$18,Paramètres!$A$1:$I$89,5,0)</f>
        <v>-1.2414602679200471E-13</v>
      </c>
      <c r="GW143" s="13" t="e">
        <f t="shared" si="159"/>
        <v>#NUM!</v>
      </c>
      <c r="GX143" s="20" t="e">
        <f t="shared" si="136"/>
        <v>#NUM!</v>
      </c>
      <c r="GY143" s="57" t="e">
        <f t="shared" si="137"/>
        <v>#NUM!</v>
      </c>
      <c r="GZ143" s="57">
        <f ca="1">AVERAGE(OFFSET($GY$3,0,0,'Données projet'!$E$18+1,1))-AVERAGE(OFFSET($H$3,0,0,'Données projet'!$E$18+1,1))</f>
        <v>381.00532469288714</v>
      </c>
      <c r="HA143" s="57">
        <f t="shared" si="160"/>
        <v>314.875259641757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>
        <f>EXP(-LN(2)/35)*HG142+(1-EXP(-LN(2)/35))/(LN(2)/35)*HC143*HD143*VLOOKUP('Données projet'!$B$18,Paramètres!$A$1:$I$89,3,0)*0.475*44/12</f>
        <v>92.391617231960737</v>
      </c>
      <c r="HH143" s="21">
        <f>EXP(-LN(2)/25)*HH142+(1-EXP(-LN(2)/25))/(LN(2)/25)*Calculateur!HC143*Calculateur!HE143*VLOOKUP('Données projet'!$B$18,Paramètres!$A$1:$I$89,3,0)*0.475*44/12</f>
        <v>10.883954326505286</v>
      </c>
      <c r="HI143" s="21">
        <f>EXP(-LN(2)/2)*HI142+(1-EXP(-LN(2)/2))/(LN(2)/2)*HC143*HF143*VLOOKUP('Données projet'!$B$18,Paramètres!$A$1:$I$89,3,0)*0.475*44/12</f>
        <v>2.3815910885110366E-5</v>
      </c>
      <c r="HJ143" s="22">
        <f t="shared" si="138"/>
        <v>103.27559537437691</v>
      </c>
    </row>
    <row r="144" spans="1:218" x14ac:dyDescent="0.2">
      <c r="A144" s="10">
        <f t="shared" si="139"/>
        <v>141</v>
      </c>
      <c r="B144" s="71">
        <f>'Scénario référence'!$B$16*5+'Scénario référence'!$B$17*0+'Scénario référence'!$B$18*5</f>
        <v>3.3000000000000003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12.100000000000001</v>
      </c>
      <c r="H144" s="65">
        <f t="shared" si="110"/>
        <v>208.26666666666665</v>
      </c>
      <c r="I144" s="6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68.600856335996795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-1.1527845344971866E-13</v>
      </c>
      <c r="P144" s="13" t="e">
        <f t="shared" si="141"/>
        <v>#NUM!</v>
      </c>
      <c r="Q144" s="20" t="e">
        <f t="shared" si="108"/>
        <v>#NUM!</v>
      </c>
      <c r="R144" s="57" t="e">
        <f t="shared" si="109"/>
        <v>#NUM!</v>
      </c>
      <c r="S144" s="57">
        <f ca="1">AVERAGE(OFFSET($R$3,0,0,'Données projet'!$E$9+1,1))-AVERAGE(OFFSET($H$3,0,0,'Données projet'!$E$9+1,1))</f>
        <v>332.70145542047612</v>
      </c>
      <c r="T144" s="57">
        <f t="shared" si="142"/>
        <v>172.22433737900428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74.905434007053756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74.905434007053756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68.600856335996795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6.5224999999999937</v>
      </c>
      <c r="AI144" s="13">
        <f>IF('Données projet'!$A$62&gt;35,AI143+AH144-AQ143,IF(A144&lt;'Données projet'!$A$62,$AF$205^A144,IF(A144='Données projet'!$A$62,'Données projet'!$B$62,AI143+AH144-AQ143)))</f>
        <v>333.6599999999998</v>
      </c>
      <c r="AJ144" s="13">
        <f>AI144*VLOOKUP('Données projet'!$B$10,Paramètres!$A$1:$I$89,3,0)*VLOOKUP('Données projet'!$B$10,Paramètres!$A$1:$I$89,5,0)</f>
        <v>301.8955679999998</v>
      </c>
      <c r="AK144" s="13">
        <f t="shared" si="143"/>
        <v>71.573701546507976</v>
      </c>
      <c r="AL144" s="20">
        <f t="shared" si="112"/>
        <v>650.45897779350105</v>
      </c>
      <c r="AM144" s="57">
        <f t="shared" si="113"/>
        <v>938.66211769215602</v>
      </c>
      <c r="AN144" s="57">
        <f ca="1">AVERAGE(OFFSET($AM$3,0,0,'Données projet'!$E$10+1,1))-AVERAGE(OFFSET($H$3,0,0,'Données projet'!$E$10+1,1))</f>
        <v>469.4210143164521</v>
      </c>
      <c r="AO144" s="57">
        <f t="shared" si="144"/>
        <v>308.4508386530556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49.988620964574508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49.988620964574508</v>
      </c>
      <c r="AY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68.600856335996795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7" t="e">
        <f t="shared" si="116"/>
        <v>#NUM!</v>
      </c>
      <c r="BI144" s="57">
        <f ca="1">AVERAGE(OFFSET($BH$3,0,0,'Données projet'!$E$11+1,1))-AVERAGE(OFFSET($H$3,0,0,'Données projet'!$E$11+1,1))</f>
        <v>344.32981377462971</v>
      </c>
      <c r="BJ144" s="57">
        <f t="shared" si="146"/>
        <v>334.42512656625763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34.685002422578769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34.685002422578769</v>
      </c>
      <c r="BT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68.600856335996795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4.5474735088646412E-13</v>
      </c>
      <c r="BZ144" s="13">
        <f>BY144*VLOOKUP('Données projet'!$B$12,Paramètres!$A$1:$I$89,3,0)*VLOOKUP('Données projet'!$B$12,Paramètres!$A$1:$I$89,5,0)</f>
        <v>4.3273757910355926E-13</v>
      </c>
      <c r="CA144" s="13">
        <f t="shared" si="147"/>
        <v>5.4817614357080839E-12</v>
      </c>
      <c r="CB144" s="20">
        <f t="shared" si="118"/>
        <v>1.0301085784130276E-11</v>
      </c>
      <c r="CC144" s="57">
        <f t="shared" si="119"/>
        <v>288.2031398986652</v>
      </c>
      <c r="CD144" s="57">
        <f ca="1">AVERAGE(OFFSET($CC$3,0,0,'Données projet'!$E$12+1,1))-AVERAGE(OFFSET($H$3,0,0,'Données projet'!$E$12+1,1))</f>
        <v>498.77732039282807</v>
      </c>
      <c r="CE144" s="57">
        <f t="shared" si="148"/>
        <v>384.57317421826531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122.09778711289376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122.09778711289376</v>
      </c>
      <c r="CO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68.600856335996795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6.5224999999999937</v>
      </c>
      <c r="CT144" s="12">
        <f>IF('Données projet'!$A$140&gt;35,CT143+CS144-DB143,IF(A144&lt;'Données projet'!$A$140,$CQ$205^A144,IF(A144='Données projet'!$A$140,'Données projet'!$B$140,CT143+CS144-DB143)))</f>
        <v>333.6599999999998</v>
      </c>
      <c r="CU144" s="17">
        <f>CT144*VLOOKUP('Données projet'!$B$13,Paramètres!$A$1:$I$89,3,0)*VLOOKUP('Données projet'!$B$13,Paramètres!$A$1:$I$89,5,0)</f>
        <v>223.81912799999984</v>
      </c>
      <c r="CV144" s="13">
        <f t="shared" si="149"/>
        <v>54.944121044680962</v>
      </c>
      <c r="CW144" s="20">
        <f t="shared" si="121"/>
        <v>485.51265875281905</v>
      </c>
      <c r="CX144" s="57">
        <f t="shared" si="122"/>
        <v>773.71579865147396</v>
      </c>
      <c r="CY144" s="57">
        <f ca="1">AVERAGE(OFFSET($CX$3,0,0,'Données projet'!$E$13+1,1))-AVERAGE(OFFSET($H$3,0,0,'Données projet'!$E$13+1,1))</f>
        <v>365.99625753737246</v>
      </c>
      <c r="CZ144" s="57">
        <f t="shared" si="150"/>
        <v>242.84814712692287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45.679257088318074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45.679257088318074</v>
      </c>
      <c r="DJ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68.600856335996795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2.2737367544323206E-13</v>
      </c>
      <c r="DP144" s="17">
        <f>DO144*VLOOKUP('Données projet'!$B$14,Paramètres!$A$1:$I$89,3,0)*VLOOKUP('Données projet'!$B$14,Paramètres!$A$1:$I$89,5,0)</f>
        <v>1.4897523215040565E-13</v>
      </c>
      <c r="DQ144" s="13">
        <f t="shared" si="151"/>
        <v>2.136562777003313E-12</v>
      </c>
      <c r="DR144" s="20">
        <f t="shared" si="124"/>
        <v>3.9806453659427267E-12</v>
      </c>
      <c r="DS144" s="57">
        <f t="shared" si="125"/>
        <v>288.20313989865889</v>
      </c>
      <c r="DT144" s="57">
        <f ca="1">AVERAGE(OFFSET($DS$3,0,0,'Données projet'!$E$14+1,1))-AVERAGE(OFFSET($H$3,0,0,'Données projet'!$E$14+1,1))</f>
        <v>313.79279628660527</v>
      </c>
      <c r="DU144" s="57">
        <f t="shared" si="152"/>
        <v>317.45469955216254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33.699695727277977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33.699695727277977</v>
      </c>
      <c r="EE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68.600856335996795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-1.1368683772161603E-13</v>
      </c>
      <c r="EK144" s="17">
        <f>EJ144*VLOOKUP('Données projet'!$B$15,Paramètres!$A$1:$I$89,3,0)*VLOOKUP('Données projet'!$B$15,Paramètres!$A$1:$I$89,5,0)</f>
        <v>-9.7543306765146564E-14</v>
      </c>
      <c r="EL144" s="13" t="e">
        <f t="shared" si="153"/>
        <v>#NUM!</v>
      </c>
      <c r="EM144" s="20" t="e">
        <f t="shared" si="127"/>
        <v>#NUM!</v>
      </c>
      <c r="EN144" s="57" t="e">
        <f t="shared" si="128"/>
        <v>#NUM!</v>
      </c>
      <c r="EO144" s="57">
        <f ca="1">AVERAGE(OFFSET($EN$3,0,0,'Données projet'!$E$15+1,1))-AVERAGE(OFFSET($H$3,0,0,'Données projet'!$E$15+1,1))</f>
        <v>643.04899298561475</v>
      </c>
      <c r="EP144" s="57">
        <f t="shared" si="154"/>
        <v>474.94999304483031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124.91242822336064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124.91242822336064</v>
      </c>
      <c r="EZ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68.600856335996795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>
        <f>FE144*VLOOKUP('Données projet'!$B$16,Paramètres!$A$1:$I$89,3,0)*VLOOKUP('Données projet'!$B$16,Paramètres!$A$1:$I$89,5,0)</f>
        <v>0</v>
      </c>
      <c r="FG144" s="13" t="e">
        <f t="shared" si="155"/>
        <v>#NUM!</v>
      </c>
      <c r="FH144" s="20" t="e">
        <f t="shared" si="130"/>
        <v>#NUM!</v>
      </c>
      <c r="FI144" s="57" t="e">
        <f t="shared" si="131"/>
        <v>#NUM!</v>
      </c>
      <c r="FJ144" s="57">
        <f ca="1">AVERAGE(OFFSET($FI$3,0,0,'Données projet'!$E$16+1,1))-AVERAGE(OFFSET($H$3,0,0,'Données projet'!$E$16+1,1))</f>
        <v>375.34603719604439</v>
      </c>
      <c r="FK144" s="57">
        <f t="shared" si="156"/>
        <v>363.99476973672211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47.299290785070319</v>
      </c>
      <c r="FR144" s="21">
        <f>EXP(-LN(2)/25)*FR143+(1-EXP(-LN(2)/25))/(LN(2)/25)*Calculateur!FM144*Calculateur!FO144*VLOOKUP('Données projet'!$B$16,Paramètres!$A$1:$I$89,3,0)*0.475*44/12</f>
        <v>0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47.299290785070319</v>
      </c>
      <c r="FU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68.600856335996795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-1.1368683772161603E-13</v>
      </c>
      <c r="GA144" s="17">
        <f>FZ144*VLOOKUP('Données projet'!$B$17,Paramètres!$A$1:$I$89,3,0)*VLOOKUP('Données projet'!$B$17,Paramètres!$A$1:$I$89,5,0)</f>
        <v>-6.3550942286383367E-14</v>
      </c>
      <c r="GB144" s="13" t="e">
        <f t="shared" si="157"/>
        <v>#NUM!</v>
      </c>
      <c r="GC144" s="20" t="e">
        <f t="shared" si="133"/>
        <v>#NUM!</v>
      </c>
      <c r="GD144" s="57" t="e">
        <f t="shared" si="134"/>
        <v>#NUM!</v>
      </c>
      <c r="GE144" s="57">
        <f ca="1">AVERAGE(OFFSET($GD$3,0,0,'Données projet'!$E$17+1,1))-AVERAGE(OFFSET($H$3,0,0,'Données projet'!$E$17+1,1))</f>
        <v>414.47327143450701</v>
      </c>
      <c r="GF144" s="57">
        <f t="shared" si="158"/>
        <v>546.83385887302961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53.767895715640798</v>
      </c>
      <c r="GM144" s="21">
        <f>EXP(-LN(2)/25)*GM143+(1-EXP(-LN(2)/25))/(LN(2)/25)*Calculateur!GH144*Calculateur!GJ144*VLOOKUP('Données projet'!$B$17,Paramètres!$A$1:$I$89,3,0)*0.475*44/12</f>
        <v>5.7058577847807888</v>
      </c>
      <c r="GN144" s="21">
        <f>EXP(-LN(2)/2)*GN143+(1-EXP(-LN(2)/2))/(LN(2)/2)*GH144*GK144*VLOOKUP('Données projet'!$B$17,Paramètres!$A$1:$I$89,3,0)*0.475*44/12</f>
        <v>3.3399083436140896E-12</v>
      </c>
      <c r="GO144" s="21">
        <f t="shared" si="135"/>
        <v>59.473753500424927</v>
      </c>
      <c r="GP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68.600856335996795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-2.2737367544323206E-13</v>
      </c>
      <c r="GV144" s="17">
        <f>GU144*VLOOKUP('Données projet'!$B$18,Paramètres!$A$1:$I$89,3,0)*VLOOKUP('Données projet'!$B$18,Paramètres!$A$1:$I$89,5,0)</f>
        <v>-1.2414602679200471E-13</v>
      </c>
      <c r="GW144" s="13" t="e">
        <f t="shared" si="159"/>
        <v>#NUM!</v>
      </c>
      <c r="GX144" s="20" t="e">
        <f t="shared" si="136"/>
        <v>#NUM!</v>
      </c>
      <c r="GY144" s="57" t="e">
        <f t="shared" si="137"/>
        <v>#NUM!</v>
      </c>
      <c r="GZ144" s="57">
        <f ca="1">AVERAGE(OFFSET($GY$3,0,0,'Données projet'!$E$18+1,1))-AVERAGE(OFFSET($H$3,0,0,'Données projet'!$E$18+1,1))</f>
        <v>381.00532469288714</v>
      </c>
      <c r="HA144" s="57">
        <f t="shared" si="160"/>
        <v>314.875259641757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>
        <f>EXP(-LN(2)/35)*HG143+(1-EXP(-LN(2)/35))/(LN(2)/35)*HC144*HD144*VLOOKUP('Données projet'!$B$18,Paramètres!$A$1:$I$89,3,0)*0.475*44/12</f>
        <v>90.579873971364066</v>
      </c>
      <c r="HH144" s="21">
        <f>EXP(-LN(2)/25)*HH143+(1-EXP(-LN(2)/25))/(LN(2)/25)*Calculateur!HC144*Calculateur!HE144*VLOOKUP('Données projet'!$B$18,Paramètres!$A$1:$I$89,3,0)*0.475*44/12</f>
        <v>10.586332023084717</v>
      </c>
      <c r="HI144" s="21">
        <f>EXP(-LN(2)/2)*HI143+(1-EXP(-LN(2)/2))/(LN(2)/2)*HC144*HF144*VLOOKUP('Données projet'!$B$18,Paramètres!$A$1:$I$89,3,0)*0.475*44/12</f>
        <v>1.6840392086996051E-5</v>
      </c>
      <c r="HJ144" s="22">
        <f t="shared" si="138"/>
        <v>101.16622283484088</v>
      </c>
    </row>
    <row r="145" spans="1:218" x14ac:dyDescent="0.2">
      <c r="A145" s="10">
        <f t="shared" si="139"/>
        <v>142</v>
      </c>
      <c r="B145" s="71">
        <f>'Scénario référence'!$B$16*5+'Scénario référence'!$B$17*0+'Scénario référence'!$B$18*5</f>
        <v>3.3000000000000003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12.100000000000001</v>
      </c>
      <c r="H145" s="65">
        <f t="shared" si="110"/>
        <v>208.26666666666665</v>
      </c>
      <c r="I145" s="6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68.625128350550639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-1.1527845344971866E-13</v>
      </c>
      <c r="P145" s="13" t="e">
        <f t="shared" si="141"/>
        <v>#NUM!</v>
      </c>
      <c r="Q145" s="20" t="e">
        <f t="shared" si="108"/>
        <v>#NUM!</v>
      </c>
      <c r="R145" s="57" t="e">
        <f t="shared" si="109"/>
        <v>#NUM!</v>
      </c>
      <c r="S145" s="57">
        <f ca="1">AVERAGE(OFFSET($R$3,0,0,'Données projet'!$E$9+1,1))-AVERAGE(OFFSET($H$3,0,0,'Données projet'!$E$9+1,1))</f>
        <v>332.70145542047612</v>
      </c>
      <c r="T145" s="57">
        <f t="shared" si="142"/>
        <v>172.22433737900428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73.436584133978883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73.436584133978883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68.625128350550639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6.5224999999999937</v>
      </c>
      <c r="AI145" s="13">
        <f>IF('Données projet'!$A$62&gt;35,AI144+AH145-AQ144,IF(A145&lt;'Données projet'!$A$62,$AF$205^A145,IF(A145='Données projet'!$A$62,'Données projet'!$B$62,AI144+AH145-AQ144)))</f>
        <v>340.18249999999978</v>
      </c>
      <c r="AJ145" s="13">
        <f>AI145*VLOOKUP('Données projet'!$B$10,Paramètres!$A$1:$I$89,3,0)*VLOOKUP('Données projet'!$B$10,Paramètres!$A$1:$I$89,5,0)</f>
        <v>307.79712599999976</v>
      </c>
      <c r="AK145" s="13">
        <f t="shared" si="143"/>
        <v>72.808591635954159</v>
      </c>
      <c r="AL145" s="20">
        <f t="shared" si="112"/>
        <v>662.88829154928635</v>
      </c>
      <c r="AM145" s="57">
        <f t="shared" si="113"/>
        <v>951.18042883463863</v>
      </c>
      <c r="AN145" s="57">
        <f ca="1">AVERAGE(OFFSET($AM$3,0,0,'Données projet'!$E$10+1,1))-AVERAGE(OFFSET($H$3,0,0,'Données projet'!$E$10+1,1))</f>
        <v>469.4210143164521</v>
      </c>
      <c r="AO145" s="57">
        <f t="shared" si="144"/>
        <v>308.4508386530556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49.008374597507348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49.008374597507348</v>
      </c>
      <c r="AY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68.625128350550639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7" t="e">
        <f t="shared" si="116"/>
        <v>#NUM!</v>
      </c>
      <c r="BI145" s="57">
        <f ca="1">AVERAGE(OFFSET($BH$3,0,0,'Données projet'!$E$11+1,1))-AVERAGE(OFFSET($H$3,0,0,'Données projet'!$E$11+1,1))</f>
        <v>344.32981377462971</v>
      </c>
      <c r="BJ145" s="57">
        <f t="shared" si="146"/>
        <v>334.42512656625763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34.004850680834522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34.004850680834522</v>
      </c>
      <c r="BT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68.625128350550639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4.5474735088646412E-13</v>
      </c>
      <c r="BZ145" s="13">
        <f>BY145*VLOOKUP('Données projet'!$B$12,Paramètres!$A$1:$I$89,3,0)*VLOOKUP('Données projet'!$B$12,Paramètres!$A$1:$I$89,5,0)</f>
        <v>4.3273757910355926E-13</v>
      </c>
      <c r="CA145" s="13">
        <f t="shared" si="147"/>
        <v>5.4817614357080839E-12</v>
      </c>
      <c r="CB145" s="20">
        <f t="shared" si="118"/>
        <v>1.0301085784130276E-11</v>
      </c>
      <c r="CC145" s="57">
        <f t="shared" si="119"/>
        <v>288.29213728536263</v>
      </c>
      <c r="CD145" s="57">
        <f ca="1">AVERAGE(OFFSET($CC$3,0,0,'Données projet'!$E$12+1,1))-AVERAGE(OFFSET($H$3,0,0,'Données projet'!$E$12+1,1))</f>
        <v>498.77732039282807</v>
      </c>
      <c r="CE145" s="57">
        <f t="shared" si="148"/>
        <v>384.57317421826531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119.70352397990652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119.70352397990652</v>
      </c>
      <c r="CO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68.625128350550639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6.5224999999999937</v>
      </c>
      <c r="CT145" s="12">
        <f>IF('Données projet'!$A$140&gt;35,CT144+CS145-DB144,IF(A145&lt;'Données projet'!$A$140,$CQ$205^A145,IF(A145='Données projet'!$A$140,'Données projet'!$B$140,CT144+CS145-DB144)))</f>
        <v>340.18249999999978</v>
      </c>
      <c r="CU145" s="17">
        <f>CT145*VLOOKUP('Données projet'!$B$13,Paramètres!$A$1:$I$89,3,0)*VLOOKUP('Données projet'!$B$13,Paramètres!$A$1:$I$89,5,0)</f>
        <v>228.19442099999986</v>
      </c>
      <c r="CV145" s="13">
        <f t="shared" si="149"/>
        <v>55.892094239937819</v>
      </c>
      <c r="CW145" s="20">
        <f t="shared" si="121"/>
        <v>494.78401404289144</v>
      </c>
      <c r="CX145" s="57">
        <f t="shared" si="122"/>
        <v>783.07615132824378</v>
      </c>
      <c r="CY145" s="57">
        <f ca="1">AVERAGE(OFFSET($CX$3,0,0,'Données projet'!$E$13+1,1))-AVERAGE(OFFSET($H$3,0,0,'Données projet'!$E$13+1,1))</f>
        <v>365.99625753737246</v>
      </c>
      <c r="CZ145" s="57">
        <f t="shared" si="150"/>
        <v>242.84814712692287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44.78351471841188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44.78351471841188</v>
      </c>
      <c r="DJ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68.625128350550639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2.2737367544323206E-13</v>
      </c>
      <c r="DP145" s="17">
        <f>DO145*VLOOKUP('Données projet'!$B$14,Paramètres!$A$1:$I$89,3,0)*VLOOKUP('Données projet'!$B$14,Paramètres!$A$1:$I$89,5,0)</f>
        <v>1.4897523215040565E-13</v>
      </c>
      <c r="DQ145" s="13">
        <f t="shared" si="151"/>
        <v>2.136562777003313E-12</v>
      </c>
      <c r="DR145" s="20">
        <f t="shared" si="124"/>
        <v>3.9806453659427267E-12</v>
      </c>
      <c r="DS145" s="57">
        <f t="shared" si="125"/>
        <v>288.29213728535632</v>
      </c>
      <c r="DT145" s="57">
        <f ca="1">AVERAGE(OFFSET($DS$3,0,0,'Données projet'!$E$14+1,1))-AVERAGE(OFFSET($H$3,0,0,'Données projet'!$E$14+1,1))</f>
        <v>313.79279628660527</v>
      </c>
      <c r="DU145" s="57">
        <f t="shared" si="152"/>
        <v>317.45469955216254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33.038865248850833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33.038865248850833</v>
      </c>
      <c r="EE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68.625128350550639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-1.1368683772161603E-13</v>
      </c>
      <c r="EK145" s="17">
        <f>EJ145*VLOOKUP('Données projet'!$B$15,Paramètres!$A$1:$I$89,3,0)*VLOOKUP('Données projet'!$B$15,Paramètres!$A$1:$I$89,5,0)</f>
        <v>-9.7543306765146564E-14</v>
      </c>
      <c r="EL145" s="13" t="e">
        <f t="shared" si="153"/>
        <v>#NUM!</v>
      </c>
      <c r="EM145" s="20" t="e">
        <f t="shared" si="127"/>
        <v>#NUM!</v>
      </c>
      <c r="EN145" s="57" t="e">
        <f t="shared" si="128"/>
        <v>#NUM!</v>
      </c>
      <c r="EO145" s="57">
        <f ca="1">AVERAGE(OFFSET($EN$3,0,0,'Données projet'!$E$15+1,1))-AVERAGE(OFFSET($H$3,0,0,'Données projet'!$E$15+1,1))</f>
        <v>643.04899298561475</v>
      </c>
      <c r="EP145" s="57">
        <f t="shared" si="154"/>
        <v>474.94999304483031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122.46297169495871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122.46297169495871</v>
      </c>
      <c r="EZ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68.625128350550639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>
        <f>FE145*VLOOKUP('Données projet'!$B$16,Paramètres!$A$1:$I$89,3,0)*VLOOKUP('Données projet'!$B$16,Paramètres!$A$1:$I$89,5,0)</f>
        <v>0</v>
      </c>
      <c r="FG145" s="13" t="e">
        <f t="shared" si="155"/>
        <v>#NUM!</v>
      </c>
      <c r="FH145" s="20" t="e">
        <f t="shared" si="130"/>
        <v>#NUM!</v>
      </c>
      <c r="FI145" s="57" t="e">
        <f t="shared" si="131"/>
        <v>#NUM!</v>
      </c>
      <c r="FJ145" s="57">
        <f ca="1">AVERAGE(OFFSET($FI$3,0,0,'Données projet'!$E$16+1,1))-AVERAGE(OFFSET($H$3,0,0,'Données projet'!$E$16+1,1))</f>
        <v>375.34603719604439</v>
      </c>
      <c r="FK145" s="57">
        <f t="shared" si="156"/>
        <v>363.99476973672211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46.371780542493795</v>
      </c>
      <c r="FR145" s="21">
        <f>EXP(-LN(2)/25)*FR144+(1-EXP(-LN(2)/25))/(LN(2)/25)*Calculateur!FM145*Calculateur!FO145*VLOOKUP('Données projet'!$B$16,Paramètres!$A$1:$I$89,3,0)*0.475*44/12</f>
        <v>0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46.371780542493795</v>
      </c>
      <c r="FU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68.625128350550639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-1.1368683772161603E-13</v>
      </c>
      <c r="GA145" s="17">
        <f>FZ145*VLOOKUP('Données projet'!$B$17,Paramètres!$A$1:$I$89,3,0)*VLOOKUP('Données projet'!$B$17,Paramètres!$A$1:$I$89,5,0)</f>
        <v>-6.3550942286383367E-14</v>
      </c>
      <c r="GB145" s="13" t="e">
        <f t="shared" si="157"/>
        <v>#NUM!</v>
      </c>
      <c r="GC145" s="20" t="e">
        <f t="shared" si="133"/>
        <v>#NUM!</v>
      </c>
      <c r="GD145" s="57" t="e">
        <f t="shared" si="134"/>
        <v>#NUM!</v>
      </c>
      <c r="GE145" s="57">
        <f ca="1">AVERAGE(OFFSET($GD$3,0,0,'Données projet'!$E$17+1,1))-AVERAGE(OFFSET($H$3,0,0,'Données projet'!$E$17+1,1))</f>
        <v>414.47327143450701</v>
      </c>
      <c r="GF145" s="57">
        <f t="shared" si="158"/>
        <v>546.83385887302961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52.713540075835212</v>
      </c>
      <c r="GM145" s="21">
        <f>EXP(-LN(2)/25)*GM144+(1-EXP(-LN(2)/25))/(LN(2)/25)*Calculateur!GH145*Calculateur!GJ145*VLOOKUP('Données projet'!$B$17,Paramètres!$A$1:$I$89,3,0)*0.475*44/12</f>
        <v>5.5498308035979385</v>
      </c>
      <c r="GN145" s="21">
        <f>EXP(-LN(2)/2)*GN144+(1-EXP(-LN(2)/2))/(LN(2)/2)*GH145*GK145*VLOOKUP('Données projet'!$B$17,Paramètres!$A$1:$I$89,3,0)*0.475*44/12</f>
        <v>2.3616718383110524E-12</v>
      </c>
      <c r="GO145" s="21">
        <f t="shared" si="135"/>
        <v>58.263370879435513</v>
      </c>
      <c r="GP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68.625128350550639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-2.2737367544323206E-13</v>
      </c>
      <c r="GV145" s="17">
        <f>GU145*VLOOKUP('Données projet'!$B$18,Paramètres!$A$1:$I$89,3,0)*VLOOKUP('Données projet'!$B$18,Paramètres!$A$1:$I$89,5,0)</f>
        <v>-1.2414602679200471E-13</v>
      </c>
      <c r="GW145" s="13" t="e">
        <f t="shared" si="159"/>
        <v>#NUM!</v>
      </c>
      <c r="GX145" s="20" t="e">
        <f t="shared" si="136"/>
        <v>#NUM!</v>
      </c>
      <c r="GY145" s="57" t="e">
        <f t="shared" si="137"/>
        <v>#NUM!</v>
      </c>
      <c r="GZ145" s="57">
        <f ca="1">AVERAGE(OFFSET($GY$3,0,0,'Données projet'!$E$18+1,1))-AVERAGE(OFFSET($H$3,0,0,'Données projet'!$E$18+1,1))</f>
        <v>381.00532469288714</v>
      </c>
      <c r="HA145" s="57">
        <f t="shared" si="160"/>
        <v>314.875259641757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>
        <f>EXP(-LN(2)/35)*HG144+(1-EXP(-LN(2)/35))/(LN(2)/35)*HC145*HD145*VLOOKUP('Données projet'!$B$18,Paramètres!$A$1:$I$89,3,0)*0.475*44/12</f>
        <v>88.803657891053419</v>
      </c>
      <c r="HH145" s="21">
        <f>EXP(-LN(2)/25)*HH144+(1-EXP(-LN(2)/25))/(LN(2)/25)*Calculateur!HC145*Calculateur!HE145*VLOOKUP('Données projet'!$B$18,Paramètres!$A$1:$I$89,3,0)*0.475*44/12</f>
        <v>10.296848217202459</v>
      </c>
      <c r="HI145" s="21">
        <f>EXP(-LN(2)/2)*HI144+(1-EXP(-LN(2)/2))/(LN(2)/2)*HC145*HF145*VLOOKUP('Données projet'!$B$18,Paramètres!$A$1:$I$89,3,0)*0.475*44/12</f>
        <v>1.1907955442555183E-5</v>
      </c>
      <c r="HJ145" s="22">
        <f t="shared" si="138"/>
        <v>99.100518016211311</v>
      </c>
    </row>
    <row r="146" spans="1:218" x14ac:dyDescent="0.2">
      <c r="A146" s="10">
        <f t="shared" si="139"/>
        <v>143</v>
      </c>
      <c r="B146" s="71">
        <f>'Scénario référence'!$B$16*5+'Scénario référence'!$B$17*0+'Scénario référence'!$B$18*5</f>
        <v>3.3000000000000003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12.100000000000001</v>
      </c>
      <c r="H146" s="65">
        <f t="shared" si="110"/>
        <v>208.26666666666665</v>
      </c>
      <c r="I146" s="6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68.64897929991605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-1.1527845344971866E-13</v>
      </c>
      <c r="P146" s="13" t="e">
        <f t="shared" si="141"/>
        <v>#NUM!</v>
      </c>
      <c r="Q146" s="20" t="e">
        <f t="shared" si="108"/>
        <v>#NUM!</v>
      </c>
      <c r="R146" s="57" t="e">
        <f t="shared" si="109"/>
        <v>#NUM!</v>
      </c>
      <c r="S146" s="57">
        <f ca="1">AVERAGE(OFFSET($R$3,0,0,'Données projet'!$E$9+1,1))-AVERAGE(OFFSET($H$3,0,0,'Données projet'!$E$9+1,1))</f>
        <v>332.70145542047612</v>
      </c>
      <c r="T146" s="57">
        <f t="shared" si="142"/>
        <v>172.22433737900428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71.996537511005045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71.996537511005045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68.64897929991605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6.5224999999999937</v>
      </c>
      <c r="AI146" s="13">
        <f>IF('Données projet'!$A$62&gt;35,AI145+AH146-AQ145,IF(A146&lt;'Données projet'!$A$62,$AF$205^A146,IF(A146='Données projet'!$A$62,'Données projet'!$B$62,AI145+AH146-AQ145)))</f>
        <v>346.70499999999976</v>
      </c>
      <c r="AJ146" s="13">
        <f>AI146*VLOOKUP('Données projet'!$B$10,Paramètres!$A$1:$I$89,3,0)*VLOOKUP('Données projet'!$B$10,Paramètres!$A$1:$I$89,5,0)</f>
        <v>313.69868399999979</v>
      </c>
      <c r="AK146" s="13">
        <f t="shared" si="143"/>
        <v>74.040728593641816</v>
      </c>
      <c r="AL146" s="20">
        <f t="shared" si="112"/>
        <v>675.31281026725912</v>
      </c>
      <c r="AM146" s="57">
        <f t="shared" si="113"/>
        <v>963.6924010336179</v>
      </c>
      <c r="AN146" s="57">
        <f ca="1">AVERAGE(OFFSET($AM$3,0,0,'Données projet'!$E$10+1,1))-AVERAGE(OFFSET($H$3,0,0,'Données projet'!$E$10+1,1))</f>
        <v>469.4210143164521</v>
      </c>
      <c r="AO146" s="57">
        <f t="shared" si="144"/>
        <v>308.4508386530556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48.047350263807125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48.047350263807125</v>
      </c>
      <c r="AY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68.64897929991605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7" t="e">
        <f t="shared" si="116"/>
        <v>#NUM!</v>
      </c>
      <c r="BI146" s="57">
        <f ca="1">AVERAGE(OFFSET($BH$3,0,0,'Données projet'!$E$11+1,1))-AVERAGE(OFFSET($H$3,0,0,'Données projet'!$E$11+1,1))</f>
        <v>344.32981377462971</v>
      </c>
      <c r="BJ146" s="57">
        <f t="shared" si="146"/>
        <v>334.42512656625763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33.338036299894277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33.338036299894277</v>
      </c>
      <c r="BT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68.64897929991605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4.5474735088646412E-13</v>
      </c>
      <c r="BZ146" s="13">
        <f>BY146*VLOOKUP('Données projet'!$B$12,Paramètres!$A$1:$I$89,3,0)*VLOOKUP('Données projet'!$B$12,Paramètres!$A$1:$I$89,5,0)</f>
        <v>4.3273757910355926E-13</v>
      </c>
      <c r="CA146" s="13">
        <f t="shared" si="147"/>
        <v>5.4817614357080839E-12</v>
      </c>
      <c r="CB146" s="20">
        <f t="shared" si="118"/>
        <v>1.0301085784130276E-11</v>
      </c>
      <c r="CC146" s="57">
        <f t="shared" si="119"/>
        <v>288.37959076636912</v>
      </c>
      <c r="CD146" s="57">
        <f ca="1">AVERAGE(OFFSET($CC$3,0,0,'Données projet'!$E$12+1,1))-AVERAGE(OFFSET($H$3,0,0,'Données projet'!$E$12+1,1))</f>
        <v>498.77732039282807</v>
      </c>
      <c r="CE146" s="57">
        <f t="shared" si="148"/>
        <v>384.57317421826531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117.35621088660085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117.35621088660085</v>
      </c>
      <c r="CO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68.64897929991605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6.5224999999999937</v>
      </c>
      <c r="CT146" s="12">
        <f>IF('Données projet'!$A$140&gt;35,CT145+CS146-DB145,IF(A146&lt;'Données projet'!$A$140,$CQ$205^A146,IF(A146='Données projet'!$A$140,'Données projet'!$B$140,CT145+CS146-DB145)))</f>
        <v>346.70499999999976</v>
      </c>
      <c r="CU146" s="17">
        <f>CT146*VLOOKUP('Données projet'!$B$13,Paramètres!$A$1:$I$89,3,0)*VLOOKUP('Données projet'!$B$13,Paramètres!$A$1:$I$89,5,0)</f>
        <v>232.56971399999986</v>
      </c>
      <c r="CV146" s="13">
        <f t="shared" si="149"/>
        <v>56.837953971711407</v>
      </c>
      <c r="CW146" s="20">
        <f t="shared" si="121"/>
        <v>504.05168838406371</v>
      </c>
      <c r="CX146" s="57">
        <f t="shared" si="122"/>
        <v>792.4312791504226</v>
      </c>
      <c r="CY146" s="57">
        <f ca="1">AVERAGE(OFFSET($CX$3,0,0,'Données projet'!$E$13+1,1))-AVERAGE(OFFSET($H$3,0,0,'Données projet'!$E$13+1,1))</f>
        <v>365.99625753737246</v>
      </c>
      <c r="CZ146" s="57">
        <f t="shared" si="150"/>
        <v>242.84814712692287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43.905337310030646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43.905337310030646</v>
      </c>
      <c r="DJ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68.64897929991605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2.2737367544323206E-13</v>
      </c>
      <c r="DP146" s="17">
        <f>DO146*VLOOKUP('Données projet'!$B$14,Paramètres!$A$1:$I$89,3,0)*VLOOKUP('Données projet'!$B$14,Paramètres!$A$1:$I$89,5,0)</f>
        <v>1.4897523215040565E-13</v>
      </c>
      <c r="DQ146" s="13">
        <f t="shared" si="151"/>
        <v>2.136562777003313E-12</v>
      </c>
      <c r="DR146" s="20">
        <f t="shared" si="124"/>
        <v>3.9806453659427267E-12</v>
      </c>
      <c r="DS146" s="57">
        <f t="shared" si="125"/>
        <v>288.37959076636281</v>
      </c>
      <c r="DT146" s="57">
        <f ca="1">AVERAGE(OFFSET($DS$3,0,0,'Données projet'!$E$14+1,1))-AVERAGE(OFFSET($H$3,0,0,'Données projet'!$E$14+1,1))</f>
        <v>313.79279628660527</v>
      </c>
      <c r="DU146" s="57">
        <f t="shared" si="152"/>
        <v>317.45469955216254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32.39099325303885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32.39099325303885</v>
      </c>
      <c r="EE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68.64897929991605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-1.1368683772161603E-13</v>
      </c>
      <c r="EK146" s="17">
        <f>EJ146*VLOOKUP('Données projet'!$B$15,Paramètres!$A$1:$I$89,3,0)*VLOOKUP('Données projet'!$B$15,Paramètres!$A$1:$I$89,5,0)</f>
        <v>-9.7543306765146564E-14</v>
      </c>
      <c r="EL146" s="13" t="e">
        <f t="shared" si="153"/>
        <v>#NUM!</v>
      </c>
      <c r="EM146" s="20" t="e">
        <f t="shared" si="127"/>
        <v>#NUM!</v>
      </c>
      <c r="EN146" s="57" t="e">
        <f t="shared" si="128"/>
        <v>#NUM!</v>
      </c>
      <c r="EO146" s="57">
        <f ca="1">AVERAGE(OFFSET($EN$3,0,0,'Données projet'!$E$15+1,1))-AVERAGE(OFFSET($H$3,0,0,'Données projet'!$E$15+1,1))</f>
        <v>643.04899298561475</v>
      </c>
      <c r="EP146" s="57">
        <f t="shared" si="154"/>
        <v>474.94999304483031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120.06154751505778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120.06154751505778</v>
      </c>
      <c r="EZ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68.64897929991605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>
        <f>FE146*VLOOKUP('Données projet'!$B$16,Paramètres!$A$1:$I$89,3,0)*VLOOKUP('Données projet'!$B$16,Paramètres!$A$1:$I$89,5,0)</f>
        <v>0</v>
      </c>
      <c r="FG146" s="13" t="e">
        <f t="shared" si="155"/>
        <v>#NUM!</v>
      </c>
      <c r="FH146" s="20" t="e">
        <f t="shared" si="130"/>
        <v>#NUM!</v>
      </c>
      <c r="FI146" s="57" t="e">
        <f t="shared" si="131"/>
        <v>#NUM!</v>
      </c>
      <c r="FJ146" s="57">
        <f ca="1">AVERAGE(OFFSET($FI$3,0,0,'Données projet'!$E$16+1,1))-AVERAGE(OFFSET($H$3,0,0,'Données projet'!$E$16+1,1))</f>
        <v>375.34603719604439</v>
      </c>
      <c r="FK146" s="57">
        <f t="shared" si="156"/>
        <v>363.99476973672211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45.462458210048808</v>
      </c>
      <c r="FR146" s="21">
        <f>EXP(-LN(2)/25)*FR145+(1-EXP(-LN(2)/25))/(LN(2)/25)*Calculateur!FM146*Calculateur!FO146*VLOOKUP('Données projet'!$B$16,Paramètres!$A$1:$I$89,3,0)*0.475*44/12</f>
        <v>0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45.462458210048808</v>
      </c>
      <c r="FU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68.64897929991605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-1.1368683772161603E-13</v>
      </c>
      <c r="GA146" s="17">
        <f>FZ146*VLOOKUP('Données projet'!$B$17,Paramètres!$A$1:$I$89,3,0)*VLOOKUP('Données projet'!$B$17,Paramètres!$A$1:$I$89,5,0)</f>
        <v>-6.3550942286383367E-14</v>
      </c>
      <c r="GB146" s="13" t="e">
        <f t="shared" si="157"/>
        <v>#NUM!</v>
      </c>
      <c r="GC146" s="20" t="e">
        <f t="shared" si="133"/>
        <v>#NUM!</v>
      </c>
      <c r="GD146" s="57" t="e">
        <f t="shared" si="134"/>
        <v>#NUM!</v>
      </c>
      <c r="GE146" s="57">
        <f ca="1">AVERAGE(OFFSET($GD$3,0,0,'Données projet'!$E$17+1,1))-AVERAGE(OFFSET($H$3,0,0,'Données projet'!$E$17+1,1))</f>
        <v>414.47327143450701</v>
      </c>
      <c r="GF146" s="57">
        <f t="shared" si="158"/>
        <v>546.83385887302961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51.679859707032776</v>
      </c>
      <c r="GM146" s="21">
        <f>EXP(-LN(2)/25)*GM145+(1-EXP(-LN(2)/25))/(LN(2)/25)*Calculateur!GH146*Calculateur!GJ146*VLOOKUP('Données projet'!$B$17,Paramètres!$A$1:$I$89,3,0)*0.475*44/12</f>
        <v>5.3980703884206349</v>
      </c>
      <c r="GN146" s="21">
        <f>EXP(-LN(2)/2)*GN145+(1-EXP(-LN(2)/2))/(LN(2)/2)*GH146*GK146*VLOOKUP('Données projet'!$B$17,Paramètres!$A$1:$I$89,3,0)*0.475*44/12</f>
        <v>1.6699541718070448E-12</v>
      </c>
      <c r="GO146" s="21">
        <f t="shared" si="135"/>
        <v>57.077930095455081</v>
      </c>
      <c r="GP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68.64897929991605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-2.2737367544323206E-13</v>
      </c>
      <c r="GV146" s="17">
        <f>GU146*VLOOKUP('Données projet'!$B$18,Paramètres!$A$1:$I$89,3,0)*VLOOKUP('Données projet'!$B$18,Paramètres!$A$1:$I$89,5,0)</f>
        <v>-1.2414602679200471E-13</v>
      </c>
      <c r="GW146" s="13" t="e">
        <f t="shared" si="159"/>
        <v>#NUM!</v>
      </c>
      <c r="GX146" s="20" t="e">
        <f t="shared" si="136"/>
        <v>#NUM!</v>
      </c>
      <c r="GY146" s="57" t="e">
        <f t="shared" si="137"/>
        <v>#NUM!</v>
      </c>
      <c r="GZ146" s="57">
        <f ca="1">AVERAGE(OFFSET($GY$3,0,0,'Données projet'!$E$18+1,1))-AVERAGE(OFFSET($H$3,0,0,'Données projet'!$E$18+1,1))</f>
        <v>381.00532469288714</v>
      </c>
      <c r="HA146" s="57">
        <f t="shared" si="160"/>
        <v>314.875259641757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>
        <f>EXP(-LN(2)/35)*HG145+(1-EXP(-LN(2)/35))/(LN(2)/35)*HC146*HD146*VLOOKUP('Données projet'!$B$18,Paramètres!$A$1:$I$89,3,0)*0.475*44/12</f>
        <v>87.062272324692842</v>
      </c>
      <c r="HH146" s="21">
        <f>EXP(-LN(2)/25)*HH145+(1-EXP(-LN(2)/25))/(LN(2)/25)*Calculateur!HC146*Calculateur!HE146*VLOOKUP('Données projet'!$B$18,Paramètres!$A$1:$I$89,3,0)*0.475*44/12</f>
        <v>10.015280361215344</v>
      </c>
      <c r="HI146" s="21">
        <f>EXP(-LN(2)/2)*HI145+(1-EXP(-LN(2)/2))/(LN(2)/2)*HC146*HF146*VLOOKUP('Données projet'!$B$18,Paramètres!$A$1:$I$89,3,0)*0.475*44/12</f>
        <v>8.4201960434980253E-6</v>
      </c>
      <c r="HJ146" s="22">
        <f t="shared" si="138"/>
        <v>97.077561106104227</v>
      </c>
    </row>
    <row r="147" spans="1:218" x14ac:dyDescent="0.2">
      <c r="A147" s="10">
        <f t="shared" si="139"/>
        <v>144</v>
      </c>
      <c r="B147" s="71">
        <f>'Scénario référence'!$B$16*5+'Scénario référence'!$B$17*0+'Scénario référence'!$B$18*5</f>
        <v>3.3000000000000003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12.100000000000001</v>
      </c>
      <c r="H147" s="65">
        <f t="shared" si="110"/>
        <v>208.26666666666665</v>
      </c>
      <c r="I147" s="6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68.67241648863272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-1.1527845344971866E-13</v>
      </c>
      <c r="P147" s="13" t="e">
        <f t="shared" si="141"/>
        <v>#NUM!</v>
      </c>
      <c r="Q147" s="20" t="e">
        <f t="shared" si="108"/>
        <v>#NUM!</v>
      </c>
      <c r="R147" s="57" t="e">
        <f t="shared" si="109"/>
        <v>#NUM!</v>
      </c>
      <c r="S147" s="57">
        <f ca="1">AVERAGE(OFFSET($R$3,0,0,'Données projet'!$E$9+1,1))-AVERAGE(OFFSET($H$3,0,0,'Données projet'!$E$9+1,1))</f>
        <v>332.70145542047612</v>
      </c>
      <c r="T147" s="57">
        <f t="shared" si="142"/>
        <v>172.22433737900428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70.584729323966016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70.584729323966016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68.67241648863272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6.5224999999999937</v>
      </c>
      <c r="AI147" s="13">
        <f>IF('Données projet'!$A$62&gt;35,AI146+AH147-AQ146,IF(A147&lt;'Données projet'!$A$62,$AF$205^A147,IF(A147='Données projet'!$A$62,'Données projet'!$B$62,AI146+AH147-AQ146)))</f>
        <v>353.22749999999974</v>
      </c>
      <c r="AJ147" s="13">
        <f>AI147*VLOOKUP('Données projet'!$B$10,Paramètres!$A$1:$I$89,3,0)*VLOOKUP('Données projet'!$B$10,Paramètres!$A$1:$I$89,5,0)</f>
        <v>319.60024199999975</v>
      </c>
      <c r="AK147" s="13">
        <f t="shared" si="143"/>
        <v>75.27017018620478</v>
      </c>
      <c r="AL147" s="20">
        <f t="shared" si="112"/>
        <v>687.73263455763947</v>
      </c>
      <c r="AM147" s="57">
        <f t="shared" si="113"/>
        <v>976.19816168262605</v>
      </c>
      <c r="AN147" s="57">
        <f ca="1">AVERAGE(OFFSET($AM$3,0,0,'Données projet'!$E$10+1,1))-AVERAGE(OFFSET($H$3,0,0,'Données projet'!$E$10+1,1))</f>
        <v>469.4210143164521</v>
      </c>
      <c r="AO147" s="57">
        <f t="shared" si="144"/>
        <v>308.4508386530556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47.105171031123803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47.105171031123803</v>
      </c>
      <c r="AY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68.67241648863272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7" t="e">
        <f t="shared" si="116"/>
        <v>#NUM!</v>
      </c>
      <c r="BI147" s="57">
        <f ca="1">AVERAGE(OFFSET($BH$3,0,0,'Données projet'!$E$11+1,1))-AVERAGE(OFFSET($H$3,0,0,'Données projet'!$E$11+1,1))</f>
        <v>344.32981377462971</v>
      </c>
      <c r="BJ147" s="57">
        <f t="shared" si="146"/>
        <v>334.42512656625763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32.684297742247658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32.684297742247658</v>
      </c>
      <c r="BT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68.67241648863272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4.5474735088646412E-13</v>
      </c>
      <c r="BZ147" s="13">
        <f>BY147*VLOOKUP('Données projet'!$B$12,Paramètres!$A$1:$I$89,3,0)*VLOOKUP('Données projet'!$B$12,Paramètres!$A$1:$I$89,5,0)</f>
        <v>4.3273757910355926E-13</v>
      </c>
      <c r="CA147" s="13">
        <f t="shared" si="147"/>
        <v>5.4817614357080839E-12</v>
      </c>
      <c r="CB147" s="20">
        <f t="shared" si="118"/>
        <v>1.0301085784130276E-11</v>
      </c>
      <c r="CC147" s="57">
        <f t="shared" si="119"/>
        <v>288.46552712499692</v>
      </c>
      <c r="CD147" s="57">
        <f ca="1">AVERAGE(OFFSET($CC$3,0,0,'Données projet'!$E$12+1,1))-AVERAGE(OFFSET($H$3,0,0,'Données projet'!$E$12+1,1))</f>
        <v>498.77732039282807</v>
      </c>
      <c r="CE147" s="57">
        <f t="shared" si="148"/>
        <v>384.57317421826531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115.05492717133529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115.05492717133529</v>
      </c>
      <c r="CO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68.67241648863272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6.5224999999999937</v>
      </c>
      <c r="CT147" s="12">
        <f>IF('Données projet'!$A$140&gt;35,CT146+CS147-DB146,IF(A147&lt;'Données projet'!$A$140,$CQ$205^A147,IF(A147='Données projet'!$A$140,'Données projet'!$B$140,CT146+CS147-DB146)))</f>
        <v>353.22749999999974</v>
      </c>
      <c r="CU147" s="17">
        <f>CT147*VLOOKUP('Données projet'!$B$13,Paramètres!$A$1:$I$89,3,0)*VLOOKUP('Données projet'!$B$13,Paramètres!$A$1:$I$89,5,0)</f>
        <v>236.9450069999998</v>
      </c>
      <c r="CV147" s="13">
        <f t="shared" si="149"/>
        <v>57.781744585017158</v>
      </c>
      <c r="CW147" s="20">
        <f t="shared" si="121"/>
        <v>513.31575901057124</v>
      </c>
      <c r="CX147" s="57">
        <f t="shared" si="122"/>
        <v>801.78128613555782</v>
      </c>
      <c r="CY147" s="57">
        <f ca="1">AVERAGE(OFFSET($CX$3,0,0,'Données projet'!$E$13+1,1))-AVERAGE(OFFSET($H$3,0,0,'Données projet'!$E$13+1,1))</f>
        <v>365.99625753737246</v>
      </c>
      <c r="CZ147" s="57">
        <f t="shared" si="150"/>
        <v>242.84814712692287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43.04438042499244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43.04438042499244</v>
      </c>
      <c r="DJ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68.67241648863272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2.2737367544323206E-13</v>
      </c>
      <c r="DP147" s="17">
        <f>DO147*VLOOKUP('Données projet'!$B$14,Paramètres!$A$1:$I$89,3,0)*VLOOKUP('Données projet'!$B$14,Paramètres!$A$1:$I$89,5,0)</f>
        <v>1.4897523215040565E-13</v>
      </c>
      <c r="DQ147" s="13">
        <f t="shared" si="151"/>
        <v>2.136562777003313E-12</v>
      </c>
      <c r="DR147" s="20">
        <f t="shared" si="124"/>
        <v>3.9806453659427267E-12</v>
      </c>
      <c r="DS147" s="57">
        <f t="shared" si="125"/>
        <v>288.46552712499061</v>
      </c>
      <c r="DT147" s="57">
        <f ca="1">AVERAGE(OFFSET($DS$3,0,0,'Données projet'!$E$14+1,1))-AVERAGE(OFFSET($H$3,0,0,'Données projet'!$E$14+1,1))</f>
        <v>313.79279628660527</v>
      </c>
      <c r="DU147" s="57">
        <f t="shared" si="152"/>
        <v>317.45469955216254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31.755825631901846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31.755825631901846</v>
      </c>
      <c r="EE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68.67241648863272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-1.1368683772161603E-13</v>
      </c>
      <c r="EK147" s="17">
        <f>EJ147*VLOOKUP('Données projet'!$B$15,Paramètres!$A$1:$I$89,3,0)*VLOOKUP('Données projet'!$B$15,Paramètres!$A$1:$I$89,5,0)</f>
        <v>-9.7543306765146564E-14</v>
      </c>
      <c r="EL147" s="13" t="e">
        <f t="shared" si="153"/>
        <v>#NUM!</v>
      </c>
      <c r="EM147" s="20" t="e">
        <f t="shared" si="127"/>
        <v>#NUM!</v>
      </c>
      <c r="EN147" s="57" t="e">
        <f t="shared" si="128"/>
        <v>#NUM!</v>
      </c>
      <c r="EO147" s="57">
        <f ca="1">AVERAGE(OFFSET($EN$3,0,0,'Données projet'!$E$15+1,1))-AVERAGE(OFFSET($H$3,0,0,'Données projet'!$E$15+1,1))</f>
        <v>643.04899298561475</v>
      </c>
      <c r="EP147" s="57">
        <f t="shared" si="154"/>
        <v>474.94999304483031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117.70721379860059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117.70721379860059</v>
      </c>
      <c r="EZ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68.67241648863272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>
        <f>FE147*VLOOKUP('Données projet'!$B$16,Paramètres!$A$1:$I$89,3,0)*VLOOKUP('Données projet'!$B$16,Paramètres!$A$1:$I$89,5,0)</f>
        <v>0</v>
      </c>
      <c r="FG147" s="13" t="e">
        <f t="shared" si="155"/>
        <v>#NUM!</v>
      </c>
      <c r="FH147" s="20" t="e">
        <f t="shared" si="130"/>
        <v>#NUM!</v>
      </c>
      <c r="FI147" s="57" t="e">
        <f t="shared" si="131"/>
        <v>#NUM!</v>
      </c>
      <c r="FJ147" s="57">
        <f ca="1">AVERAGE(OFFSET($FI$3,0,0,'Données projet'!$E$16+1,1))-AVERAGE(OFFSET($H$3,0,0,'Données projet'!$E$16+1,1))</f>
        <v>375.34603719604439</v>
      </c>
      <c r="FK147" s="57">
        <f t="shared" si="156"/>
        <v>363.99476973672211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44.570967133911211</v>
      </c>
      <c r="FR147" s="21">
        <f>EXP(-LN(2)/25)*FR146+(1-EXP(-LN(2)/25))/(LN(2)/25)*Calculateur!FM147*Calculateur!FO147*VLOOKUP('Données projet'!$B$16,Paramètres!$A$1:$I$89,3,0)*0.475*44/12</f>
        <v>0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44.570967133911211</v>
      </c>
      <c r="FU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68.67241648863272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-1.1368683772161603E-13</v>
      </c>
      <c r="GA147" s="17">
        <f>FZ147*VLOOKUP('Données projet'!$B$17,Paramètres!$A$1:$I$89,3,0)*VLOOKUP('Données projet'!$B$17,Paramètres!$A$1:$I$89,5,0)</f>
        <v>-6.3550942286383367E-14</v>
      </c>
      <c r="GB147" s="13" t="e">
        <f t="shared" si="157"/>
        <v>#NUM!</v>
      </c>
      <c r="GC147" s="20" t="e">
        <f t="shared" si="133"/>
        <v>#NUM!</v>
      </c>
      <c r="GD147" s="57" t="e">
        <f t="shared" si="134"/>
        <v>#NUM!</v>
      </c>
      <c r="GE147" s="57">
        <f ca="1">AVERAGE(OFFSET($GD$3,0,0,'Données projet'!$E$17+1,1))-AVERAGE(OFFSET($H$3,0,0,'Données projet'!$E$17+1,1))</f>
        <v>414.47327143450701</v>
      </c>
      <c r="GF147" s="57">
        <f t="shared" si="158"/>
        <v>546.83385887302961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50.666449179779782</v>
      </c>
      <c r="GM147" s="21">
        <f>EXP(-LN(2)/25)*GM146+(1-EXP(-LN(2)/25))/(LN(2)/25)*Calculateur!GH147*Calculateur!GJ147*VLOOKUP('Données projet'!$B$17,Paramètres!$A$1:$I$89,3,0)*0.475*44/12</f>
        <v>5.2504598697770888</v>
      </c>
      <c r="GN147" s="21">
        <f>EXP(-LN(2)/2)*GN146+(1-EXP(-LN(2)/2))/(LN(2)/2)*GH147*GK147*VLOOKUP('Données projet'!$B$17,Paramètres!$A$1:$I$89,3,0)*0.475*44/12</f>
        <v>1.1808359191555262E-12</v>
      </c>
      <c r="GO147" s="21">
        <f t="shared" si="135"/>
        <v>55.916909049558051</v>
      </c>
      <c r="GP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68.67241648863272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-2.2737367544323206E-13</v>
      </c>
      <c r="GV147" s="17">
        <f>GU147*VLOOKUP('Données projet'!$B$18,Paramètres!$A$1:$I$89,3,0)*VLOOKUP('Données projet'!$B$18,Paramètres!$A$1:$I$89,5,0)</f>
        <v>-1.2414602679200471E-13</v>
      </c>
      <c r="GW147" s="13" t="e">
        <f t="shared" si="159"/>
        <v>#NUM!</v>
      </c>
      <c r="GX147" s="20" t="e">
        <f t="shared" si="136"/>
        <v>#NUM!</v>
      </c>
      <c r="GY147" s="57" t="e">
        <f t="shared" si="137"/>
        <v>#NUM!</v>
      </c>
      <c r="GZ147" s="57">
        <f ca="1">AVERAGE(OFFSET($GY$3,0,0,'Données projet'!$E$18+1,1))-AVERAGE(OFFSET($H$3,0,0,'Données projet'!$E$18+1,1))</f>
        <v>381.00532469288714</v>
      </c>
      <c r="HA147" s="57">
        <f t="shared" si="160"/>
        <v>314.875259641757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>
        <f>EXP(-LN(2)/35)*HG146+(1-EXP(-LN(2)/35))/(LN(2)/35)*HC147*HD147*VLOOKUP('Données projet'!$B$18,Paramètres!$A$1:$I$89,3,0)*0.475*44/12</f>
        <v>85.35503426714827</v>
      </c>
      <c r="HH147" s="21">
        <f>EXP(-LN(2)/25)*HH146+(1-EXP(-LN(2)/25))/(LN(2)/25)*Calculateur!HC147*Calculateur!HE147*VLOOKUP('Données projet'!$B$18,Paramètres!$A$1:$I$89,3,0)*0.475*44/12</f>
        <v>9.7414119930572074</v>
      </c>
      <c r="HI147" s="21">
        <f>EXP(-LN(2)/2)*HI146+(1-EXP(-LN(2)/2))/(LN(2)/2)*HC147*HF147*VLOOKUP('Données projet'!$B$18,Paramètres!$A$1:$I$89,3,0)*0.475*44/12</f>
        <v>5.9539777212775914E-6</v>
      </c>
      <c r="HJ147" s="22">
        <f t="shared" si="138"/>
        <v>95.096452214183202</v>
      </c>
    </row>
    <row r="148" spans="1:218" x14ac:dyDescent="0.2">
      <c r="A148" s="10">
        <f t="shared" si="139"/>
        <v>145</v>
      </c>
      <c r="B148" s="71">
        <f>'Scénario référence'!$B$16*5+'Scénario référence'!$B$17*0+'Scénario référence'!$B$18*5</f>
        <v>3.3000000000000003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12.100000000000001</v>
      </c>
      <c r="H148" s="65">
        <f t="shared" si="110"/>
        <v>208.26666666666665</v>
      </c>
      <c r="I148" s="6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68.695447094522848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-1.1527845344971866E-13</v>
      </c>
      <c r="P148" s="13" t="e">
        <f t="shared" si="141"/>
        <v>#NUM!</v>
      </c>
      <c r="Q148" s="20" t="e">
        <f t="shared" si="108"/>
        <v>#NUM!</v>
      </c>
      <c r="R148" s="57" t="e">
        <f t="shared" si="109"/>
        <v>#NUM!</v>
      </c>
      <c r="S148" s="57">
        <f ca="1">AVERAGE(OFFSET($R$3,0,0,'Données projet'!$E$9+1,1))-AVERAGE(OFFSET($H$3,0,0,'Données projet'!$E$9+1,1))</f>
        <v>332.70145542047612</v>
      </c>
      <c r="T148" s="57">
        <f t="shared" si="142"/>
        <v>172.22433737900428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69.20060583435685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69.20060583435685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68.695447094522848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6.5224999999999937</v>
      </c>
      <c r="AI148" s="13">
        <f>IF('Données projet'!$A$62&gt;35,AI147+AH148-AQ147,IF(A148&lt;'Données projet'!$A$62,$AF$205^A148,IF(A148='Données projet'!$A$62,'Données projet'!$B$62,AI147+AH148-AQ147)))</f>
        <v>359.74999999999972</v>
      </c>
      <c r="AJ148" s="13">
        <f>AI148*VLOOKUP('Données projet'!$B$10,Paramètres!$A$1:$I$89,3,0)*VLOOKUP('Données projet'!$B$10,Paramètres!$A$1:$I$89,5,0)</f>
        <v>325.50179999999972</v>
      </c>
      <c r="AK148" s="13">
        <f t="shared" si="143"/>
        <v>76.496971924782571</v>
      </c>
      <c r="AL148" s="20">
        <f t="shared" si="112"/>
        <v>700.1478611023291</v>
      </c>
      <c r="AM148" s="57">
        <f t="shared" si="113"/>
        <v>988.69783378224622</v>
      </c>
      <c r="AN148" s="57">
        <f ca="1">AVERAGE(OFFSET($AM$3,0,0,'Données projet'!$E$10+1,1))-AVERAGE(OFFSET($H$3,0,0,'Données projet'!$E$10+1,1))</f>
        <v>469.4210143164521</v>
      </c>
      <c r="AO148" s="57">
        <f t="shared" si="144"/>
        <v>308.4508386530556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46.181467358520813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46.181467358520813</v>
      </c>
      <c r="AY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68.695447094522848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7" t="e">
        <f t="shared" si="116"/>
        <v>#NUM!</v>
      </c>
      <c r="BI148" s="57">
        <f ca="1">AVERAGE(OFFSET($BH$3,0,0,'Données projet'!$E$11+1,1))-AVERAGE(OFFSET($H$3,0,0,'Données projet'!$E$11+1,1))</f>
        <v>344.32981377462971</v>
      </c>
      <c r="BJ148" s="57">
        <f t="shared" si="146"/>
        <v>334.42512656625763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32.043378598975345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32.043378598975345</v>
      </c>
      <c r="BT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68.695447094522848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4.5474735088646412E-13</v>
      </c>
      <c r="BZ148" s="13">
        <f>BY148*VLOOKUP('Données projet'!$B$12,Paramètres!$A$1:$I$89,3,0)*VLOOKUP('Données projet'!$B$12,Paramètres!$A$1:$I$89,5,0)</f>
        <v>4.3273757910355926E-13</v>
      </c>
      <c r="CA148" s="13">
        <f t="shared" si="147"/>
        <v>5.4817614357080839E-12</v>
      </c>
      <c r="CB148" s="20">
        <f t="shared" si="118"/>
        <v>1.0301085784130276E-11</v>
      </c>
      <c r="CC148" s="57">
        <f t="shared" si="119"/>
        <v>288.54997267992741</v>
      </c>
      <c r="CD148" s="57">
        <f ca="1">AVERAGE(OFFSET($CC$3,0,0,'Données projet'!$E$12+1,1))-AVERAGE(OFFSET($H$3,0,0,'Données projet'!$E$12+1,1))</f>
        <v>498.77732039282807</v>
      </c>
      <c r="CE148" s="57">
        <f t="shared" si="148"/>
        <v>384.57317421826531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112.79877022608161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112.79877022608161</v>
      </c>
      <c r="CO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68.695447094522848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6.5224999999999937</v>
      </c>
      <c r="CT148" s="12">
        <f>IF('Données projet'!$A$140&gt;35,CT147+CS148-DB147,IF(A148&lt;'Données projet'!$A$140,$CQ$205^A148,IF(A148='Données projet'!$A$140,'Données projet'!$B$140,CT147+CS148-DB147)))</f>
        <v>359.74999999999972</v>
      </c>
      <c r="CU148" s="17">
        <f>CT148*VLOOKUP('Données projet'!$B$13,Paramètres!$A$1:$I$89,3,0)*VLOOKUP('Données projet'!$B$13,Paramètres!$A$1:$I$89,5,0)</f>
        <v>241.32029999999983</v>
      </c>
      <c r="CV148" s="13">
        <f t="shared" si="149"/>
        <v>58.723508693422858</v>
      </c>
      <c r="CW148" s="20">
        <f t="shared" si="121"/>
        <v>522.5763001410445</v>
      </c>
      <c r="CX148" s="57">
        <f t="shared" si="122"/>
        <v>811.12627282096162</v>
      </c>
      <c r="CY148" s="57">
        <f ca="1">AVERAGE(OFFSET($CX$3,0,0,'Données projet'!$E$13+1,1))-AVERAGE(OFFSET($H$3,0,0,'Données projet'!$E$13+1,1))</f>
        <v>365.99625753737246</v>
      </c>
      <c r="CZ148" s="57">
        <f t="shared" si="150"/>
        <v>242.84814712692287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42.200306379337981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42.200306379337981</v>
      </c>
      <c r="DJ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68.695447094522848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2.2737367544323206E-13</v>
      </c>
      <c r="DP148" s="17">
        <f>DO148*VLOOKUP('Données projet'!$B$14,Paramètres!$A$1:$I$89,3,0)*VLOOKUP('Données projet'!$B$14,Paramètres!$A$1:$I$89,5,0)</f>
        <v>1.4897523215040565E-13</v>
      </c>
      <c r="DQ148" s="13">
        <f t="shared" si="151"/>
        <v>2.136562777003313E-12</v>
      </c>
      <c r="DR148" s="20">
        <f t="shared" si="124"/>
        <v>3.9806453659427267E-12</v>
      </c>
      <c r="DS148" s="57">
        <f t="shared" si="125"/>
        <v>288.5499726799211</v>
      </c>
      <c r="DT148" s="57">
        <f ca="1">AVERAGE(OFFSET($DS$3,0,0,'Données projet'!$E$14+1,1))-AVERAGE(OFFSET($H$3,0,0,'Données projet'!$E$14+1,1))</f>
        <v>313.79279628660527</v>
      </c>
      <c r="DU148" s="57">
        <f t="shared" si="152"/>
        <v>317.45469955216254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31.133113260401341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31.133113260401341</v>
      </c>
      <c r="EE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68.695447094522848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-1.1368683772161603E-13</v>
      </c>
      <c r="EK148" s="17">
        <f>EJ148*VLOOKUP('Données projet'!$B$15,Paramètres!$A$1:$I$89,3,0)*VLOOKUP('Données projet'!$B$15,Paramètres!$A$1:$I$89,5,0)</f>
        <v>-9.7543306765146564E-14</v>
      </c>
      <c r="EL148" s="13" t="e">
        <f t="shared" si="153"/>
        <v>#NUM!</v>
      </c>
      <c r="EM148" s="20" t="e">
        <f t="shared" si="127"/>
        <v>#NUM!</v>
      </c>
      <c r="EN148" s="57" t="e">
        <f t="shared" si="128"/>
        <v>#NUM!</v>
      </c>
      <c r="EO148" s="57">
        <f ca="1">AVERAGE(OFFSET($EN$3,0,0,'Données projet'!$E$15+1,1))-AVERAGE(OFFSET($H$3,0,0,'Données projet'!$E$15+1,1))</f>
        <v>643.04899298561475</v>
      </c>
      <c r="EP148" s="57">
        <f t="shared" si="154"/>
        <v>474.94999304483031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115.39904713032135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115.39904713032135</v>
      </c>
      <c r="EZ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68.695447094522848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>
        <f>FE148*VLOOKUP('Données projet'!$B$16,Paramètres!$A$1:$I$89,3,0)*VLOOKUP('Données projet'!$B$16,Paramètres!$A$1:$I$89,5,0)</f>
        <v>0</v>
      </c>
      <c r="FG148" s="13" t="e">
        <f t="shared" si="155"/>
        <v>#NUM!</v>
      </c>
      <c r="FH148" s="20" t="e">
        <f t="shared" si="130"/>
        <v>#NUM!</v>
      </c>
      <c r="FI148" s="57" t="e">
        <f t="shared" si="131"/>
        <v>#NUM!</v>
      </c>
      <c r="FJ148" s="57">
        <f ca="1">AVERAGE(OFFSET($FI$3,0,0,'Données projet'!$E$16+1,1))-AVERAGE(OFFSET($H$3,0,0,'Données projet'!$E$16+1,1))</f>
        <v>375.34603719604439</v>
      </c>
      <c r="FK148" s="57">
        <f t="shared" si="156"/>
        <v>363.99476973672211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43.696957654020807</v>
      </c>
      <c r="FR148" s="21">
        <f>EXP(-LN(2)/25)*FR147+(1-EXP(-LN(2)/25))/(LN(2)/25)*Calculateur!FM148*Calculateur!FO148*VLOOKUP('Données projet'!$B$16,Paramètres!$A$1:$I$89,3,0)*0.475*44/12</f>
        <v>0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43.696957654020807</v>
      </c>
      <c r="FU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68.695447094522848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-1.1368683772161603E-13</v>
      </c>
      <c r="GA148" s="17">
        <f>FZ148*VLOOKUP('Données projet'!$B$17,Paramètres!$A$1:$I$89,3,0)*VLOOKUP('Données projet'!$B$17,Paramètres!$A$1:$I$89,5,0)</f>
        <v>-6.3550942286383367E-14</v>
      </c>
      <c r="GB148" s="13" t="e">
        <f t="shared" si="157"/>
        <v>#NUM!</v>
      </c>
      <c r="GC148" s="20" t="e">
        <f t="shared" si="133"/>
        <v>#NUM!</v>
      </c>
      <c r="GD148" s="57" t="e">
        <f t="shared" si="134"/>
        <v>#NUM!</v>
      </c>
      <c r="GE148" s="57">
        <f ca="1">AVERAGE(OFFSET($GD$3,0,0,'Données projet'!$E$17+1,1))-AVERAGE(OFFSET($H$3,0,0,'Données projet'!$E$17+1,1))</f>
        <v>414.47327143450701</v>
      </c>
      <c r="GF148" s="57">
        <f t="shared" si="158"/>
        <v>546.83385887302961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49.672911014846832</v>
      </c>
      <c r="GM148" s="21">
        <f>EXP(-LN(2)/25)*GM147+(1-EXP(-LN(2)/25))/(LN(2)/25)*Calculateur!GH148*Calculateur!GJ148*VLOOKUP('Données projet'!$B$17,Paramètres!$A$1:$I$89,3,0)*0.475*44/12</f>
        <v>5.1068857685283495</v>
      </c>
      <c r="GN148" s="21">
        <f>EXP(-LN(2)/2)*GN147+(1-EXP(-LN(2)/2))/(LN(2)/2)*GH148*GK148*VLOOKUP('Données projet'!$B$17,Paramètres!$A$1:$I$89,3,0)*0.475*44/12</f>
        <v>8.3497708590352241E-13</v>
      </c>
      <c r="GO148" s="21">
        <f t="shared" si="135"/>
        <v>54.779796783376021</v>
      </c>
      <c r="GP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68.695447094522848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-2.2737367544323206E-13</v>
      </c>
      <c r="GV148" s="17">
        <f>GU148*VLOOKUP('Données projet'!$B$18,Paramètres!$A$1:$I$89,3,0)*VLOOKUP('Données projet'!$B$18,Paramètres!$A$1:$I$89,5,0)</f>
        <v>-1.2414602679200471E-13</v>
      </c>
      <c r="GW148" s="13" t="e">
        <f t="shared" si="159"/>
        <v>#NUM!</v>
      </c>
      <c r="GX148" s="20" t="e">
        <f t="shared" si="136"/>
        <v>#NUM!</v>
      </c>
      <c r="GY148" s="57" t="e">
        <f t="shared" si="137"/>
        <v>#NUM!</v>
      </c>
      <c r="GZ148" s="57">
        <f ca="1">AVERAGE(OFFSET($GY$3,0,0,'Données projet'!$E$18+1,1))-AVERAGE(OFFSET($H$3,0,0,'Données projet'!$E$18+1,1))</f>
        <v>381.00532469288714</v>
      </c>
      <c r="HA148" s="57">
        <f t="shared" si="160"/>
        <v>314.875259641757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>
        <f>EXP(-LN(2)/35)*HG147+(1-EXP(-LN(2)/35))/(LN(2)/35)*HC148*HD148*VLOOKUP('Données projet'!$B$18,Paramètres!$A$1:$I$89,3,0)*0.475*44/12</f>
        <v>83.681274106599759</v>
      </c>
      <c r="HH148" s="21">
        <f>EXP(-LN(2)/25)*HH147+(1-EXP(-LN(2)/25))/(LN(2)/25)*Calculateur!HC148*Calculateur!HE148*VLOOKUP('Données projet'!$B$18,Paramètres!$A$1:$I$89,3,0)*0.475*44/12</f>
        <v>9.4750325698284659</v>
      </c>
      <c r="HI148" s="21">
        <f>EXP(-LN(2)/2)*HI147+(1-EXP(-LN(2)/2))/(LN(2)/2)*HC148*HF148*VLOOKUP('Données projet'!$B$18,Paramètres!$A$1:$I$89,3,0)*0.475*44/12</f>
        <v>4.2100980217490127E-6</v>
      </c>
      <c r="HJ148" s="22">
        <f t="shared" si="138"/>
        <v>93.156310886526256</v>
      </c>
    </row>
    <row r="149" spans="1:218" x14ac:dyDescent="0.2">
      <c r="A149" s="10">
        <f t="shared" si="139"/>
        <v>146</v>
      </c>
      <c r="B149" s="71">
        <f>'Scénario référence'!$B$16*5+'Scénario référence'!$B$17*0+'Scénario référence'!$B$18*5</f>
        <v>3.3000000000000003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12.100000000000001</v>
      </c>
      <c r="H149" s="65">
        <f t="shared" si="110"/>
        <v>208.26666666666665</v>
      </c>
      <c r="I149" s="6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68.718078170889513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-1.1527845344971866E-13</v>
      </c>
      <c r="P149" s="13" t="e">
        <f t="shared" si="141"/>
        <v>#NUM!</v>
      </c>
      <c r="Q149" s="20" t="e">
        <f t="shared" si="108"/>
        <v>#NUM!</v>
      </c>
      <c r="R149" s="57" t="e">
        <f t="shared" si="109"/>
        <v>#NUM!</v>
      </c>
      <c r="S149" s="57">
        <f ca="1">AVERAGE(OFFSET($R$3,0,0,'Données projet'!$E$9+1,1))-AVERAGE(OFFSET($H$3,0,0,'Données projet'!$E$9+1,1))</f>
        <v>332.70145542047612</v>
      </c>
      <c r="T149" s="57">
        <f t="shared" si="142"/>
        <v>172.22433737900428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67.843624162146952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67.843624162146952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68.718078170889513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6.5224999999999937</v>
      </c>
      <c r="AI149" s="13">
        <f>IF('Données projet'!$A$62&gt;35,AI148+AH149-AQ148,IF(A149&lt;'Données projet'!$A$62,$AF$205^A149,IF(A149='Données projet'!$A$62,'Données projet'!$B$62,AI148+AH149-AQ148)))</f>
        <v>366.2724999999997</v>
      </c>
      <c r="AJ149" s="13">
        <f>AI149*VLOOKUP('Données projet'!$B$10,Paramètres!$A$1:$I$89,3,0)*VLOOKUP('Données projet'!$B$10,Paramètres!$A$1:$I$89,5,0)</f>
        <v>331.40335799999968</v>
      </c>
      <c r="AK149" s="13">
        <f t="shared" si="143"/>
        <v>77.721187192355004</v>
      </c>
      <c r="AL149" s="20">
        <f t="shared" si="112"/>
        <v>712.55858287668434</v>
      </c>
      <c r="AM149" s="57">
        <f t="shared" si="113"/>
        <v>1001.1915361699459</v>
      </c>
      <c r="AN149" s="57">
        <f ca="1">AVERAGE(OFFSET($AM$3,0,0,'Données projet'!$E$10+1,1))-AVERAGE(OFFSET($H$3,0,0,'Données projet'!$E$10+1,1))</f>
        <v>469.4210143164521</v>
      </c>
      <c r="AO149" s="57">
        <f t="shared" si="144"/>
        <v>308.4508386530556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45.275876951533959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45.275876951533959</v>
      </c>
      <c r="AY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68.718078170889513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7" t="e">
        <f t="shared" si="116"/>
        <v>#NUM!</v>
      </c>
      <c r="BI149" s="57">
        <f ca="1">AVERAGE(OFFSET($BH$3,0,0,'Données projet'!$E$11+1,1))-AVERAGE(OFFSET($H$3,0,0,'Données projet'!$E$11+1,1))</f>
        <v>344.32981377462971</v>
      </c>
      <c r="BJ149" s="57">
        <f t="shared" si="146"/>
        <v>334.42512656625763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31.41502748918052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31.41502748918052</v>
      </c>
      <c r="BT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68.718078170889513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4.5474735088646412E-13</v>
      </c>
      <c r="BZ149" s="13">
        <f>BY149*VLOOKUP('Données projet'!$B$12,Paramètres!$A$1:$I$89,3,0)*VLOOKUP('Données projet'!$B$12,Paramètres!$A$1:$I$89,5,0)</f>
        <v>4.3273757910355926E-13</v>
      </c>
      <c r="CA149" s="13">
        <f t="shared" si="147"/>
        <v>5.4817614357080839E-12</v>
      </c>
      <c r="CB149" s="20">
        <f t="shared" si="118"/>
        <v>1.0301085784130276E-11</v>
      </c>
      <c r="CC149" s="57">
        <f t="shared" si="119"/>
        <v>288.63295329327184</v>
      </c>
      <c r="CD149" s="57">
        <f ca="1">AVERAGE(OFFSET($CC$3,0,0,'Données projet'!$E$12+1,1))-AVERAGE(OFFSET($H$3,0,0,'Données projet'!$E$12+1,1))</f>
        <v>498.77732039282807</v>
      </c>
      <c r="CE149" s="57">
        <f t="shared" si="148"/>
        <v>384.57317421826531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110.58685514240452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110.58685514240452</v>
      </c>
      <c r="CO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68.718078170889513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6.5224999999999937</v>
      </c>
      <c r="CT149" s="12">
        <f>IF('Données projet'!$A$140&gt;35,CT148+CS149-DB148,IF(A149&lt;'Données projet'!$A$140,$CQ$205^A149,IF(A149='Données projet'!$A$140,'Données projet'!$B$140,CT148+CS149-DB148)))</f>
        <v>366.2724999999997</v>
      </c>
      <c r="CU149" s="17">
        <f>CT149*VLOOKUP('Données projet'!$B$13,Paramètres!$A$1:$I$89,3,0)*VLOOKUP('Données projet'!$B$13,Paramètres!$A$1:$I$89,5,0)</f>
        <v>245.69559299999977</v>
      </c>
      <c r="CV149" s="13">
        <f t="shared" si="149"/>
        <v>59.663287276797355</v>
      </c>
      <c r="CW149" s="20">
        <f t="shared" si="121"/>
        <v>531.83338314875493</v>
      </c>
      <c r="CX149" s="57">
        <f t="shared" si="122"/>
        <v>820.46633644201643</v>
      </c>
      <c r="CY149" s="57">
        <f ca="1">AVERAGE(OFFSET($CX$3,0,0,'Données projet'!$E$13+1,1))-AVERAGE(OFFSET($H$3,0,0,'Données projet'!$E$13+1,1))</f>
        <v>365.99625753737246</v>
      </c>
      <c r="CZ149" s="57">
        <f t="shared" si="150"/>
        <v>242.84814712692287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41.372784110884474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41.372784110884474</v>
      </c>
      <c r="DJ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68.718078170889513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2.2737367544323206E-13</v>
      </c>
      <c r="DP149" s="17">
        <f>DO149*VLOOKUP('Données projet'!$B$14,Paramètres!$A$1:$I$89,3,0)*VLOOKUP('Données projet'!$B$14,Paramètres!$A$1:$I$89,5,0)</f>
        <v>1.4897523215040565E-13</v>
      </c>
      <c r="DQ149" s="13">
        <f t="shared" si="151"/>
        <v>2.136562777003313E-12</v>
      </c>
      <c r="DR149" s="20">
        <f t="shared" si="124"/>
        <v>3.9806453659427267E-12</v>
      </c>
      <c r="DS149" s="57">
        <f t="shared" si="125"/>
        <v>288.63295329326553</v>
      </c>
      <c r="DT149" s="57">
        <f ca="1">AVERAGE(OFFSET($DS$3,0,0,'Données projet'!$E$14+1,1))-AVERAGE(OFFSET($H$3,0,0,'Données projet'!$E$14+1,1))</f>
        <v>313.79279628660527</v>
      </c>
      <c r="DU149" s="57">
        <f t="shared" si="152"/>
        <v>317.45469955216254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30.522611898688918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30.522611898688918</v>
      </c>
      <c r="EE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68.718078170889513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-1.1368683772161603E-13</v>
      </c>
      <c r="EK149" s="17">
        <f>EJ149*VLOOKUP('Données projet'!$B$15,Paramètres!$A$1:$I$89,3,0)*VLOOKUP('Données projet'!$B$15,Paramètres!$A$1:$I$89,5,0)</f>
        <v>-9.7543306765146564E-14</v>
      </c>
      <c r="EL149" s="13" t="e">
        <f t="shared" si="153"/>
        <v>#NUM!</v>
      </c>
      <c r="EM149" s="20" t="e">
        <f t="shared" si="127"/>
        <v>#NUM!</v>
      </c>
      <c r="EN149" s="57" t="e">
        <f t="shared" si="128"/>
        <v>#NUM!</v>
      </c>
      <c r="EO149" s="57">
        <f ca="1">AVERAGE(OFFSET($EN$3,0,0,'Données projet'!$E$15+1,1))-AVERAGE(OFFSET($H$3,0,0,'Données projet'!$E$15+1,1))</f>
        <v>643.04899298561475</v>
      </c>
      <c r="EP149" s="57">
        <f t="shared" si="154"/>
        <v>474.94999304483031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113.13614220256441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113.13614220256441</v>
      </c>
      <c r="EZ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68.718078170889513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>
        <f>FE149*VLOOKUP('Données projet'!$B$16,Paramètres!$A$1:$I$89,3,0)*VLOOKUP('Données projet'!$B$16,Paramètres!$A$1:$I$89,5,0)</f>
        <v>0</v>
      </c>
      <c r="FG149" s="13" t="e">
        <f t="shared" si="155"/>
        <v>#NUM!</v>
      </c>
      <c r="FH149" s="20" t="e">
        <f t="shared" si="130"/>
        <v>#NUM!</v>
      </c>
      <c r="FI149" s="57" t="e">
        <f t="shared" si="131"/>
        <v>#NUM!</v>
      </c>
      <c r="FJ149" s="57">
        <f ca="1">AVERAGE(OFFSET($FI$3,0,0,'Données projet'!$E$16+1,1))-AVERAGE(OFFSET($H$3,0,0,'Données projet'!$E$16+1,1))</f>
        <v>375.34603719604439</v>
      </c>
      <c r="FK149" s="57">
        <f t="shared" si="156"/>
        <v>363.99476973672211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42.840086966937911</v>
      </c>
      <c r="FR149" s="21">
        <f>EXP(-LN(2)/25)*FR148+(1-EXP(-LN(2)/25))/(LN(2)/25)*Calculateur!FM149*Calculateur!FO149*VLOOKUP('Données projet'!$B$16,Paramètres!$A$1:$I$89,3,0)*0.475*44/12</f>
        <v>0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42.840086966937911</v>
      </c>
      <c r="FU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68.718078170889513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-1.1368683772161603E-13</v>
      </c>
      <c r="GA149" s="17">
        <f>FZ149*VLOOKUP('Données projet'!$B$17,Paramètres!$A$1:$I$89,3,0)*VLOOKUP('Données projet'!$B$17,Paramètres!$A$1:$I$89,5,0)</f>
        <v>-6.3550942286383367E-14</v>
      </c>
      <c r="GB149" s="13" t="e">
        <f t="shared" si="157"/>
        <v>#NUM!</v>
      </c>
      <c r="GC149" s="20" t="e">
        <f t="shared" si="133"/>
        <v>#NUM!</v>
      </c>
      <c r="GD149" s="57" t="e">
        <f t="shared" si="134"/>
        <v>#NUM!</v>
      </c>
      <c r="GE149" s="57">
        <f ca="1">AVERAGE(OFFSET($GD$3,0,0,'Données projet'!$E$17+1,1))-AVERAGE(OFFSET($H$3,0,0,'Données projet'!$E$17+1,1))</f>
        <v>414.47327143450701</v>
      </c>
      <c r="GF149" s="57">
        <f t="shared" si="158"/>
        <v>546.83385887302961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48.698855527329776</v>
      </c>
      <c r="GM149" s="21">
        <f>EXP(-LN(2)/25)*GM148+(1-EXP(-LN(2)/25))/(LN(2)/25)*Calculateur!GH149*Calculateur!GJ149*VLOOKUP('Données projet'!$B$17,Paramètres!$A$1:$I$89,3,0)*0.475*44/12</f>
        <v>4.9672377086284909</v>
      </c>
      <c r="GN149" s="21">
        <f>EXP(-LN(2)/2)*GN148+(1-EXP(-LN(2)/2))/(LN(2)/2)*GH149*GK149*VLOOKUP('Données projet'!$B$17,Paramètres!$A$1:$I$89,3,0)*0.475*44/12</f>
        <v>5.9041795957776311E-13</v>
      </c>
      <c r="GO149" s="21">
        <f t="shared" si="135"/>
        <v>53.666093235958854</v>
      </c>
      <c r="GP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68.718078170889513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-2.2737367544323206E-13</v>
      </c>
      <c r="GV149" s="17">
        <f>GU149*VLOOKUP('Données projet'!$B$18,Paramètres!$A$1:$I$89,3,0)*VLOOKUP('Données projet'!$B$18,Paramètres!$A$1:$I$89,5,0)</f>
        <v>-1.2414602679200471E-13</v>
      </c>
      <c r="GW149" s="13" t="e">
        <f t="shared" si="159"/>
        <v>#NUM!</v>
      </c>
      <c r="GX149" s="20" t="e">
        <f t="shared" si="136"/>
        <v>#NUM!</v>
      </c>
      <c r="GY149" s="57" t="e">
        <f t="shared" si="137"/>
        <v>#NUM!</v>
      </c>
      <c r="GZ149" s="57">
        <f ca="1">AVERAGE(OFFSET($GY$3,0,0,'Données projet'!$E$18+1,1))-AVERAGE(OFFSET($H$3,0,0,'Données projet'!$E$18+1,1))</f>
        <v>381.00532469288714</v>
      </c>
      <c r="HA149" s="57">
        <f t="shared" si="160"/>
        <v>314.875259641757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>
        <f>EXP(-LN(2)/35)*HG148+(1-EXP(-LN(2)/35))/(LN(2)/35)*HC149*HD149*VLOOKUP('Données projet'!$B$18,Paramètres!$A$1:$I$89,3,0)*0.475*44/12</f>
        <v>82.040335361906713</v>
      </c>
      <c r="HH149" s="21">
        <f>EXP(-LN(2)/25)*HH148+(1-EXP(-LN(2)/25))/(LN(2)/25)*Calculateur!HC149*Calculateur!HE149*VLOOKUP('Données projet'!$B$18,Paramètres!$A$1:$I$89,3,0)*0.475*44/12</f>
        <v>9.2159373059361993</v>
      </c>
      <c r="HI149" s="21">
        <f>EXP(-LN(2)/2)*HI148+(1-EXP(-LN(2)/2))/(LN(2)/2)*HC149*HF149*VLOOKUP('Données projet'!$B$18,Paramètres!$A$1:$I$89,3,0)*0.475*44/12</f>
        <v>2.9769888606387957E-6</v>
      </c>
      <c r="HJ149" s="22">
        <f t="shared" si="138"/>
        <v>91.256275644831774</v>
      </c>
    </row>
    <row r="150" spans="1:218" x14ac:dyDescent="0.2">
      <c r="A150" s="10">
        <f t="shared" si="139"/>
        <v>147</v>
      </c>
      <c r="B150" s="71">
        <f>'Scénario référence'!$B$16*5+'Scénario référence'!$B$17*0+'Scénario référence'!$B$18*5</f>
        <v>3.3000000000000003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12.100000000000001</v>
      </c>
      <c r="H150" s="65">
        <f t="shared" si="110"/>
        <v>208.26666666666665</v>
      </c>
      <c r="I150" s="6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68.740316648676725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-1.1527845344971866E-13</v>
      </c>
      <c r="P150" s="13" t="e">
        <f t="shared" si="141"/>
        <v>#NUM!</v>
      </c>
      <c r="Q150" s="20" t="e">
        <f t="shared" si="108"/>
        <v>#NUM!</v>
      </c>
      <c r="R150" s="57" t="e">
        <f t="shared" si="109"/>
        <v>#NUM!</v>
      </c>
      <c r="S150" s="57">
        <f ca="1">AVERAGE(OFFSET($R$3,0,0,'Données projet'!$E$9+1,1))-AVERAGE(OFFSET($H$3,0,0,'Données projet'!$E$9+1,1))</f>
        <v>332.70145542047612</v>
      </c>
      <c r="T150" s="57">
        <f t="shared" si="142"/>
        <v>172.22433737900428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66.513252072851998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66.513252072851998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68.740316648676725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6.5224999999999937</v>
      </c>
      <c r="AI150" s="13">
        <f>IF('Données projet'!$A$62&gt;35,AI149+AH150-AQ149,IF(A150&lt;'Données projet'!$A$62,$AF$205^A150,IF(A150='Données projet'!$A$62,'Données projet'!$B$62,AI149+AH150-AQ149)))</f>
        <v>372.79499999999967</v>
      </c>
      <c r="AJ150" s="13">
        <f>AI150*VLOOKUP('Données projet'!$B$10,Paramètres!$A$1:$I$89,3,0)*VLOOKUP('Données projet'!$B$10,Paramètres!$A$1:$I$89,5,0)</f>
        <v>337.30491599999971</v>
      </c>
      <c r="AK150" s="13">
        <f t="shared" si="143"/>
        <v>78.942867361749492</v>
      </c>
      <c r="AL150" s="20">
        <f t="shared" si="112"/>
        <v>724.96488935504658</v>
      </c>
      <c r="AM150" s="57">
        <f t="shared" si="113"/>
        <v>1013.6793837335279</v>
      </c>
      <c r="AN150" s="57">
        <f ca="1">AVERAGE(OFFSET($AM$3,0,0,'Données projet'!$E$10+1,1))-AVERAGE(OFFSET($H$3,0,0,'Données projet'!$E$10+1,1))</f>
        <v>469.4210143164521</v>
      </c>
      <c r="AO150" s="57">
        <f t="shared" si="144"/>
        <v>308.4508386530556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44.388044620072506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44.388044620072506</v>
      </c>
      <c r="AY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68.740316648676725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7" t="e">
        <f t="shared" si="116"/>
        <v>#NUM!</v>
      </c>
      <c r="BI150" s="57">
        <f ca="1">AVERAGE(OFFSET($BH$3,0,0,'Données projet'!$E$11+1,1))-AVERAGE(OFFSET($H$3,0,0,'Données projet'!$E$11+1,1))</f>
        <v>344.32981377462971</v>
      </c>
      <c r="BJ150" s="57">
        <f t="shared" si="146"/>
        <v>334.42512656625763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30.798997961392441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30.798997961392441</v>
      </c>
      <c r="BT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68.740316648676725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4.5474735088646412E-13</v>
      </c>
      <c r="BZ150" s="13">
        <f>BY150*VLOOKUP('Données projet'!$B$12,Paramètres!$A$1:$I$89,3,0)*VLOOKUP('Données projet'!$B$12,Paramètres!$A$1:$I$89,5,0)</f>
        <v>4.3273757910355926E-13</v>
      </c>
      <c r="CA150" s="13">
        <f t="shared" si="147"/>
        <v>5.4817614357080839E-12</v>
      </c>
      <c r="CB150" s="20">
        <f t="shared" si="118"/>
        <v>1.0301085784130276E-11</v>
      </c>
      <c r="CC150" s="57">
        <f t="shared" si="119"/>
        <v>288.71449437849162</v>
      </c>
      <c r="CD150" s="57">
        <f ca="1">AVERAGE(OFFSET($CC$3,0,0,'Données projet'!$E$12+1,1))-AVERAGE(OFFSET($H$3,0,0,'Données projet'!$E$12+1,1))</f>
        <v>498.77732039282807</v>
      </c>
      <c r="CE150" s="57">
        <f t="shared" si="148"/>
        <v>384.57317421826531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108.41831436438333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108.41831436438333</v>
      </c>
      <c r="CO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68.740316648676725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6.5224999999999937</v>
      </c>
      <c r="CT150" s="12">
        <f>IF('Données projet'!$A$140&gt;35,CT149+CS150-DB149,IF(A150&lt;'Données projet'!$A$140,$CQ$205^A150,IF(A150='Données projet'!$A$140,'Données projet'!$B$140,CT149+CS150-DB149)))</f>
        <v>372.79499999999967</v>
      </c>
      <c r="CU150" s="17">
        <f>CT150*VLOOKUP('Données projet'!$B$13,Paramètres!$A$1:$I$89,3,0)*VLOOKUP('Données projet'!$B$13,Paramètres!$A$1:$I$89,5,0)</f>
        <v>250.0708859999998</v>
      </c>
      <c r="CV150" s="13">
        <f t="shared" si="149"/>
        <v>60.601119771900052</v>
      </c>
      <c r="CW150" s="20">
        <f t="shared" si="121"/>
        <v>541.08707671939226</v>
      </c>
      <c r="CX150" s="57">
        <f t="shared" si="122"/>
        <v>829.80157109787365</v>
      </c>
      <c r="CY150" s="57">
        <f ca="1">AVERAGE(OFFSET($CX$3,0,0,'Données projet'!$E$13+1,1))-AVERAGE(OFFSET($H$3,0,0,'Données projet'!$E$13+1,1))</f>
        <v>365.99625753737246</v>
      </c>
      <c r="CZ150" s="57">
        <f t="shared" si="150"/>
        <v>242.84814712692287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40.561489049376597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40.561489049376597</v>
      </c>
      <c r="DJ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68.740316648676725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2.2737367544323206E-13</v>
      </c>
      <c r="DP150" s="17">
        <f>DO150*VLOOKUP('Données projet'!$B$14,Paramètres!$A$1:$I$89,3,0)*VLOOKUP('Données projet'!$B$14,Paramètres!$A$1:$I$89,5,0)</f>
        <v>1.4897523215040565E-13</v>
      </c>
      <c r="DQ150" s="13">
        <f t="shared" si="151"/>
        <v>2.136562777003313E-12</v>
      </c>
      <c r="DR150" s="20">
        <f t="shared" si="124"/>
        <v>3.9806453659427267E-12</v>
      </c>
      <c r="DS150" s="57">
        <f t="shared" si="125"/>
        <v>288.71449437848531</v>
      </c>
      <c r="DT150" s="57">
        <f ca="1">AVERAGE(OFFSET($DS$3,0,0,'Données projet'!$E$14+1,1))-AVERAGE(OFFSET($H$3,0,0,'Données projet'!$E$14+1,1))</f>
        <v>313.79279628660527</v>
      </c>
      <c r="DU150" s="57">
        <f t="shared" si="152"/>
        <v>317.45469955216254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29.924082096310617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29.924082096310617</v>
      </c>
      <c r="EE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68.740316648676725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-1.1368683772161603E-13</v>
      </c>
      <c r="EK150" s="17">
        <f>EJ150*VLOOKUP('Données projet'!$B$15,Paramètres!$A$1:$I$89,3,0)*VLOOKUP('Données projet'!$B$15,Paramètres!$A$1:$I$89,5,0)</f>
        <v>-9.7543306765146564E-14</v>
      </c>
      <c r="EL150" s="13" t="e">
        <f t="shared" si="153"/>
        <v>#NUM!</v>
      </c>
      <c r="EM150" s="20" t="e">
        <f t="shared" si="127"/>
        <v>#NUM!</v>
      </c>
      <c r="EN150" s="57" t="e">
        <f t="shared" si="128"/>
        <v>#NUM!</v>
      </c>
      <c r="EO150" s="57">
        <f ca="1">AVERAGE(OFFSET($EN$3,0,0,'Données projet'!$E$15+1,1))-AVERAGE(OFFSET($H$3,0,0,'Données projet'!$E$15+1,1))</f>
        <v>643.04899298561475</v>
      </c>
      <c r="EP150" s="57">
        <f t="shared" si="154"/>
        <v>474.94999304483031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110.91761146020507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110.91761146020507</v>
      </c>
      <c r="EZ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68.740316648676725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>
        <f>FE150*VLOOKUP('Données projet'!$B$16,Paramètres!$A$1:$I$89,3,0)*VLOOKUP('Données projet'!$B$16,Paramètres!$A$1:$I$89,5,0)</f>
        <v>0</v>
      </c>
      <c r="FG150" s="13" t="e">
        <f t="shared" si="155"/>
        <v>#NUM!</v>
      </c>
      <c r="FH150" s="20" t="e">
        <f t="shared" si="130"/>
        <v>#NUM!</v>
      </c>
      <c r="FI150" s="57" t="e">
        <f t="shared" si="131"/>
        <v>#NUM!</v>
      </c>
      <c r="FJ150" s="57">
        <f ca="1">AVERAGE(OFFSET($FI$3,0,0,'Données projet'!$E$16+1,1))-AVERAGE(OFFSET($H$3,0,0,'Données projet'!$E$16+1,1))</f>
        <v>375.34603719604439</v>
      </c>
      <c r="FK150" s="57">
        <f t="shared" si="156"/>
        <v>363.99476973672211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42.000018991389197</v>
      </c>
      <c r="FR150" s="21">
        <f>EXP(-LN(2)/25)*FR149+(1-EXP(-LN(2)/25))/(LN(2)/25)*Calculateur!FM150*Calculateur!FO150*VLOOKUP('Données projet'!$B$16,Paramètres!$A$1:$I$89,3,0)*0.475*44/12</f>
        <v>0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42.000018991389197</v>
      </c>
      <c r="FU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68.740316648676725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-1.1368683772161603E-13</v>
      </c>
      <c r="GA150" s="17">
        <f>FZ150*VLOOKUP('Données projet'!$B$17,Paramètres!$A$1:$I$89,3,0)*VLOOKUP('Données projet'!$B$17,Paramètres!$A$1:$I$89,5,0)</f>
        <v>-6.3550942286383367E-14</v>
      </c>
      <c r="GB150" s="13" t="e">
        <f t="shared" si="157"/>
        <v>#NUM!</v>
      </c>
      <c r="GC150" s="20" t="e">
        <f t="shared" si="133"/>
        <v>#NUM!</v>
      </c>
      <c r="GD150" s="57" t="e">
        <f t="shared" si="134"/>
        <v>#NUM!</v>
      </c>
      <c r="GE150" s="57">
        <f ca="1">AVERAGE(OFFSET($GD$3,0,0,'Données projet'!$E$17+1,1))-AVERAGE(OFFSET($H$3,0,0,'Données projet'!$E$17+1,1))</f>
        <v>414.47327143450701</v>
      </c>
      <c r="GF150" s="57">
        <f t="shared" si="158"/>
        <v>546.83385887302961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47.743900673807744</v>
      </c>
      <c r="GM150" s="21">
        <f>EXP(-LN(2)/25)*GM149+(1-EXP(-LN(2)/25))/(LN(2)/25)*Calculateur!GH150*Calculateur!GJ150*VLOOKUP('Données projet'!$B$17,Paramètres!$A$1:$I$89,3,0)*0.475*44/12</f>
        <v>4.8314083322703665</v>
      </c>
      <c r="GN150" s="21">
        <f>EXP(-LN(2)/2)*GN149+(1-EXP(-LN(2)/2))/(LN(2)/2)*GH150*GK150*VLOOKUP('Données projet'!$B$17,Paramètres!$A$1:$I$89,3,0)*0.475*44/12</f>
        <v>4.1748854295176121E-13</v>
      </c>
      <c r="GO150" s="21">
        <f t="shared" si="135"/>
        <v>52.575309006078527</v>
      </c>
      <c r="GP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68.740316648676725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-2.2737367544323206E-13</v>
      </c>
      <c r="GV150" s="17">
        <f>GU150*VLOOKUP('Données projet'!$B$18,Paramètres!$A$1:$I$89,3,0)*VLOOKUP('Données projet'!$B$18,Paramètres!$A$1:$I$89,5,0)</f>
        <v>-1.2414602679200471E-13</v>
      </c>
      <c r="GW150" s="13" t="e">
        <f t="shared" si="159"/>
        <v>#NUM!</v>
      </c>
      <c r="GX150" s="20" t="e">
        <f t="shared" si="136"/>
        <v>#NUM!</v>
      </c>
      <c r="GY150" s="57" t="e">
        <f t="shared" si="137"/>
        <v>#NUM!</v>
      </c>
      <c r="GZ150" s="57">
        <f ca="1">AVERAGE(OFFSET($GY$3,0,0,'Données projet'!$E$18+1,1))-AVERAGE(OFFSET($H$3,0,0,'Données projet'!$E$18+1,1))</f>
        <v>381.00532469288714</v>
      </c>
      <c r="HA150" s="57">
        <f t="shared" si="160"/>
        <v>314.875259641757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>
        <f>EXP(-LN(2)/35)*HG149+(1-EXP(-LN(2)/35))/(LN(2)/35)*HC150*HD150*VLOOKUP('Données projet'!$B$18,Paramètres!$A$1:$I$89,3,0)*0.475*44/12</f>
        <v>80.431574425123287</v>
      </c>
      <c r="HH150" s="21">
        <f>EXP(-LN(2)/25)*HH149+(1-EXP(-LN(2)/25))/(LN(2)/25)*Calculateur!HC150*Calculateur!HE150*VLOOKUP('Données projet'!$B$18,Paramètres!$A$1:$I$89,3,0)*0.475*44/12</f>
        <v>8.9639270156602944</v>
      </c>
      <c r="HI150" s="21">
        <f>EXP(-LN(2)/2)*HI149+(1-EXP(-LN(2)/2))/(LN(2)/2)*HC150*HF150*VLOOKUP('Données projet'!$B$18,Paramètres!$A$1:$I$89,3,0)*0.475*44/12</f>
        <v>2.1050490108745063E-6</v>
      </c>
      <c r="HJ150" s="22">
        <f t="shared" si="138"/>
        <v>89.395503545832582</v>
      </c>
    </row>
    <row r="151" spans="1:218" x14ac:dyDescent="0.2">
      <c r="A151" s="10">
        <f t="shared" si="139"/>
        <v>148</v>
      </c>
      <c r="B151" s="71">
        <f>'Scénario référence'!$B$16*5+'Scénario référence'!$B$17*0+'Scénario référence'!$B$18*5</f>
        <v>3.3000000000000003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12.100000000000001</v>
      </c>
      <c r="H151" s="65">
        <f t="shared" si="110"/>
        <v>208.26666666666665</v>
      </c>
      <c r="I151" s="6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68.762169338592102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-1.1527845344971866E-13</v>
      </c>
      <c r="P151" s="13" t="e">
        <f t="shared" si="141"/>
        <v>#NUM!</v>
      </c>
      <c r="Q151" s="20" t="e">
        <f t="shared" si="108"/>
        <v>#NUM!</v>
      </c>
      <c r="R151" s="57" t="e">
        <f t="shared" si="109"/>
        <v>#NUM!</v>
      </c>
      <c r="S151" s="57">
        <f ca="1">AVERAGE(OFFSET($R$3,0,0,'Données projet'!$E$9+1,1))-AVERAGE(OFFSET($H$3,0,0,'Données projet'!$E$9+1,1))</f>
        <v>332.70145542047612</v>
      </c>
      <c r="T151" s="57">
        <f t="shared" si="142"/>
        <v>172.22433737900428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65.208967768781264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65.208967768781264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68.762169338592102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6.5224999999999937</v>
      </c>
      <c r="AI151" s="13">
        <f>IF('Données projet'!$A$62&gt;35,AI150+AH151-AQ150,IF(A151&lt;'Données projet'!$A$62,$AF$205^A151,IF(A151='Données projet'!$A$62,'Données projet'!$B$62,AI150+AH151-AQ150)))</f>
        <v>379.31749999999965</v>
      </c>
      <c r="AJ151" s="13">
        <f>AI151*VLOOKUP('Données projet'!$B$10,Paramètres!$A$1:$I$89,3,0)*VLOOKUP('Données projet'!$B$10,Paramètres!$A$1:$I$89,5,0)</f>
        <v>343.20647399999967</v>
      </c>
      <c r="AK151" s="13">
        <f t="shared" si="143"/>
        <v>80.162061905155412</v>
      </c>
      <c r="AL151" s="20">
        <f t="shared" si="112"/>
        <v>737.36686670147844</v>
      </c>
      <c r="AM151" s="57">
        <f t="shared" si="113"/>
        <v>1026.1614876096496</v>
      </c>
      <c r="AN151" s="57">
        <f ca="1">AVERAGE(OFFSET($AM$3,0,0,'Données projet'!$E$10+1,1))-AVERAGE(OFFSET($H$3,0,0,'Données projet'!$E$10+1,1))</f>
        <v>469.4210143164521</v>
      </c>
      <c r="AO151" s="57">
        <f t="shared" si="144"/>
        <v>308.4508386530556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43.517622139106763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43.517622139106763</v>
      </c>
      <c r="AY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68.762169338592102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7" t="e">
        <f t="shared" si="116"/>
        <v>#NUM!</v>
      </c>
      <c r="BI151" s="57">
        <f ca="1">AVERAGE(OFFSET($BH$3,0,0,'Données projet'!$E$11+1,1))-AVERAGE(OFFSET($H$3,0,0,'Données projet'!$E$11+1,1))</f>
        <v>344.32981377462971</v>
      </c>
      <c r="BJ151" s="57">
        <f t="shared" si="146"/>
        <v>334.42512656625763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30.195048396903374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30.195048396903374</v>
      </c>
      <c r="BT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68.762169338592102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4.5474735088646412E-13</v>
      </c>
      <c r="BZ151" s="13">
        <f>BY151*VLOOKUP('Données projet'!$B$12,Paramètres!$A$1:$I$89,3,0)*VLOOKUP('Données projet'!$B$12,Paramètres!$A$1:$I$89,5,0)</f>
        <v>4.3273757910355926E-13</v>
      </c>
      <c r="CA151" s="13">
        <f t="shared" si="147"/>
        <v>5.4817614357080839E-12</v>
      </c>
      <c r="CB151" s="20">
        <f t="shared" si="118"/>
        <v>1.0301085784130276E-11</v>
      </c>
      <c r="CC151" s="57">
        <f t="shared" si="119"/>
        <v>288.79462090818134</v>
      </c>
      <c r="CD151" s="57">
        <f ca="1">AVERAGE(OFFSET($CC$3,0,0,'Données projet'!$E$12+1,1))-AVERAGE(OFFSET($H$3,0,0,'Données projet'!$E$12+1,1))</f>
        <v>498.77732039282807</v>
      </c>
      <c r="CE151" s="57">
        <f t="shared" si="148"/>
        <v>384.57317421826531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106.29229734833987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106.29229734833987</v>
      </c>
      <c r="CO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68.762169338592102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6.5224999999999937</v>
      </c>
      <c r="CT151" s="12">
        <f>IF('Données projet'!$A$140&gt;35,CT150+CS151-DB150,IF(A151&lt;'Données projet'!$A$140,$CQ$205^A151,IF(A151='Données projet'!$A$140,'Données projet'!$B$140,CT150+CS151-DB150)))</f>
        <v>379.31749999999965</v>
      </c>
      <c r="CU151" s="17">
        <f>CT151*VLOOKUP('Données projet'!$B$13,Paramètres!$A$1:$I$89,3,0)*VLOOKUP('Données projet'!$B$13,Paramètres!$A$1:$I$89,5,0)</f>
        <v>254.4461789999998</v>
      </c>
      <c r="CV151" s="13">
        <f t="shared" si="149"/>
        <v>61.537044156450449</v>
      </c>
      <c r="CW151" s="20">
        <f t="shared" si="121"/>
        <v>550.33744699748411</v>
      </c>
      <c r="CX151" s="57">
        <f t="shared" si="122"/>
        <v>839.13206790565516</v>
      </c>
      <c r="CY151" s="57">
        <f ca="1">AVERAGE(OFFSET($CX$3,0,0,'Données projet'!$E$13+1,1))-AVERAGE(OFFSET($H$3,0,0,'Données projet'!$E$13+1,1))</f>
        <v>365.99625753737246</v>
      </c>
      <c r="CZ151" s="57">
        <f t="shared" si="150"/>
        <v>242.84814712692287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39.766102989183764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39.766102989183764</v>
      </c>
      <c r="DJ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68.762169338592102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2.2737367544323206E-13</v>
      </c>
      <c r="DP151" s="17">
        <f>DO151*VLOOKUP('Données projet'!$B$14,Paramètres!$A$1:$I$89,3,0)*VLOOKUP('Données projet'!$B$14,Paramètres!$A$1:$I$89,5,0)</f>
        <v>1.4897523215040565E-13</v>
      </c>
      <c r="DQ151" s="13">
        <f t="shared" si="151"/>
        <v>2.136562777003313E-12</v>
      </c>
      <c r="DR151" s="20">
        <f t="shared" si="124"/>
        <v>3.9806453659427267E-12</v>
      </c>
      <c r="DS151" s="57">
        <f t="shared" si="125"/>
        <v>288.79462090817503</v>
      </c>
      <c r="DT151" s="57">
        <f ca="1">AVERAGE(OFFSET($DS$3,0,0,'Données projet'!$E$14+1,1))-AVERAGE(OFFSET($H$3,0,0,'Données projet'!$E$14+1,1))</f>
        <v>313.79279628660527</v>
      </c>
      <c r="DU151" s="57">
        <f t="shared" si="152"/>
        <v>317.45469955216254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29.337289098289819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29.337289098289819</v>
      </c>
      <c r="EE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68.762169338592102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-1.1368683772161603E-13</v>
      </c>
      <c r="EK151" s="17">
        <f>EJ151*VLOOKUP('Données projet'!$B$15,Paramètres!$A$1:$I$89,3,0)*VLOOKUP('Données projet'!$B$15,Paramètres!$A$1:$I$89,5,0)</f>
        <v>-9.7543306765146564E-14</v>
      </c>
      <c r="EL151" s="13" t="e">
        <f t="shared" si="153"/>
        <v>#NUM!</v>
      </c>
      <c r="EM151" s="20" t="e">
        <f t="shared" si="127"/>
        <v>#NUM!</v>
      </c>
      <c r="EN151" s="57" t="e">
        <f t="shared" si="128"/>
        <v>#NUM!</v>
      </c>
      <c r="EO151" s="57">
        <f ca="1">AVERAGE(OFFSET($EN$3,0,0,'Données projet'!$E$15+1,1))-AVERAGE(OFFSET($H$3,0,0,'Données projet'!$E$15+1,1))</f>
        <v>643.04899298561475</v>
      </c>
      <c r="EP151" s="57">
        <f t="shared" si="154"/>
        <v>474.94999304483031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108.74258475253325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108.74258475253325</v>
      </c>
      <c r="EZ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68.762169338592102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>
        <f>FE151*VLOOKUP('Données projet'!$B$16,Paramètres!$A$1:$I$89,3,0)*VLOOKUP('Données projet'!$B$16,Paramètres!$A$1:$I$89,5,0)</f>
        <v>0</v>
      </c>
      <c r="FG151" s="13" t="e">
        <f t="shared" si="155"/>
        <v>#NUM!</v>
      </c>
      <c r="FH151" s="20" t="e">
        <f t="shared" si="130"/>
        <v>#NUM!</v>
      </c>
      <c r="FI151" s="57" t="e">
        <f t="shared" si="131"/>
        <v>#NUM!</v>
      </c>
      <c r="FJ151" s="57">
        <f ca="1">AVERAGE(OFFSET($FI$3,0,0,'Données projet'!$E$16+1,1))-AVERAGE(OFFSET($H$3,0,0,'Données projet'!$E$16+1,1))</f>
        <v>375.34603719604439</v>
      </c>
      <c r="FK151" s="57">
        <f t="shared" si="156"/>
        <v>363.99476973672211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41.176424236450124</v>
      </c>
      <c r="FR151" s="21">
        <f>EXP(-LN(2)/25)*FR150+(1-EXP(-LN(2)/25))/(LN(2)/25)*Calculateur!FM151*Calculateur!FO151*VLOOKUP('Données projet'!$B$16,Paramètres!$A$1:$I$89,3,0)*0.475*44/12</f>
        <v>0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41.176424236450124</v>
      </c>
      <c r="FU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68.762169338592102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-1.1368683772161603E-13</v>
      </c>
      <c r="GA151" s="17">
        <f>FZ151*VLOOKUP('Données projet'!$B$17,Paramètres!$A$1:$I$89,3,0)*VLOOKUP('Données projet'!$B$17,Paramètres!$A$1:$I$89,5,0)</f>
        <v>-6.3550942286383367E-14</v>
      </c>
      <c r="GB151" s="13" t="e">
        <f t="shared" si="157"/>
        <v>#NUM!</v>
      </c>
      <c r="GC151" s="20" t="e">
        <f t="shared" si="133"/>
        <v>#NUM!</v>
      </c>
      <c r="GD151" s="57" t="e">
        <f t="shared" si="134"/>
        <v>#NUM!</v>
      </c>
      <c r="GE151" s="57">
        <f ca="1">AVERAGE(OFFSET($GD$3,0,0,'Données projet'!$E$17+1,1))-AVERAGE(OFFSET($H$3,0,0,'Données projet'!$E$17+1,1))</f>
        <v>414.47327143450701</v>
      </c>
      <c r="GF151" s="57">
        <f t="shared" si="158"/>
        <v>546.83385887302961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46.807671902498335</v>
      </c>
      <c r="GM151" s="21">
        <f>EXP(-LN(2)/25)*GM150+(1-EXP(-LN(2)/25))/(LN(2)/25)*Calculateur!GH151*Calculateur!GJ151*VLOOKUP('Données projet'!$B$17,Paramètres!$A$1:$I$89,3,0)*0.475*44/12</f>
        <v>4.6992932173517117</v>
      </c>
      <c r="GN151" s="21">
        <f>EXP(-LN(2)/2)*GN150+(1-EXP(-LN(2)/2))/(LN(2)/2)*GH151*GK151*VLOOKUP('Données projet'!$B$17,Paramètres!$A$1:$I$89,3,0)*0.475*44/12</f>
        <v>2.9520897978888155E-13</v>
      </c>
      <c r="GO151" s="21">
        <f t="shared" si="135"/>
        <v>51.506965119850342</v>
      </c>
      <c r="GP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68.762169338592102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-2.2737367544323206E-13</v>
      </c>
      <c r="GV151" s="17">
        <f>GU151*VLOOKUP('Données projet'!$B$18,Paramètres!$A$1:$I$89,3,0)*VLOOKUP('Données projet'!$B$18,Paramètres!$A$1:$I$89,5,0)</f>
        <v>-1.2414602679200471E-13</v>
      </c>
      <c r="GW151" s="13" t="e">
        <f t="shared" si="159"/>
        <v>#NUM!</v>
      </c>
      <c r="GX151" s="20" t="e">
        <f t="shared" si="136"/>
        <v>#NUM!</v>
      </c>
      <c r="GY151" s="57" t="e">
        <f t="shared" si="137"/>
        <v>#NUM!</v>
      </c>
      <c r="GZ151" s="57">
        <f ca="1">AVERAGE(OFFSET($GY$3,0,0,'Données projet'!$E$18+1,1))-AVERAGE(OFFSET($H$3,0,0,'Données projet'!$E$18+1,1))</f>
        <v>381.00532469288714</v>
      </c>
      <c r="HA151" s="57">
        <f t="shared" si="160"/>
        <v>314.875259641757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>
        <f>EXP(-LN(2)/35)*HG150+(1-EXP(-LN(2)/35))/(LN(2)/35)*HC151*HD151*VLOOKUP('Données projet'!$B$18,Paramètres!$A$1:$I$89,3,0)*0.475*44/12</f>
        <v>78.854360309062898</v>
      </c>
      <c r="HH151" s="21">
        <f>EXP(-LN(2)/25)*HH150+(1-EXP(-LN(2)/25))/(LN(2)/25)*Calculateur!HC151*Calculateur!HE151*VLOOKUP('Données projet'!$B$18,Paramètres!$A$1:$I$89,3,0)*0.475*44/12</f>
        <v>8.7188079600246287</v>
      </c>
      <c r="HI151" s="21">
        <f>EXP(-LN(2)/2)*HI150+(1-EXP(-LN(2)/2))/(LN(2)/2)*HC151*HF151*VLOOKUP('Données projet'!$B$18,Paramètres!$A$1:$I$89,3,0)*0.475*44/12</f>
        <v>1.4884944303193978E-6</v>
      </c>
      <c r="HJ151" s="22">
        <f t="shared" si="138"/>
        <v>87.573169757581965</v>
      </c>
    </row>
    <row r="152" spans="1:218" x14ac:dyDescent="0.2">
      <c r="A152" s="10">
        <f t="shared" si="139"/>
        <v>149</v>
      </c>
      <c r="B152" s="71">
        <f>'Scénario référence'!$B$16*5+'Scénario référence'!$B$17*0+'Scénario référence'!$B$18*5</f>
        <v>3.3000000000000003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12.100000000000001</v>
      </c>
      <c r="H152" s="65">
        <f t="shared" si="110"/>
        <v>208.26666666666665</v>
      </c>
      <c r="I152" s="6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68.783642933192752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-1.1527845344971866E-13</v>
      </c>
      <c r="P152" s="13" t="e">
        <f t="shared" si="141"/>
        <v>#NUM!</v>
      </c>
      <c r="Q152" s="20" t="e">
        <f t="shared" si="108"/>
        <v>#NUM!</v>
      </c>
      <c r="R152" s="57" t="e">
        <f t="shared" si="109"/>
        <v>#NUM!</v>
      </c>
      <c r="S152" s="57">
        <f ca="1">AVERAGE(OFFSET($R$3,0,0,'Données projet'!$E$9+1,1))-AVERAGE(OFFSET($H$3,0,0,'Données projet'!$E$9+1,1))</f>
        <v>332.70145542047612</v>
      </c>
      <c r="T152" s="57">
        <f t="shared" si="142"/>
        <v>172.22433737900428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63.930259684378491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63.930259684378491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68.783642933192752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>
        <f>VLOOKUP(A152,'Données projet'!$A$61:$I$81,2,0)</f>
        <v>385.84</v>
      </c>
      <c r="AG152" s="12">
        <f>VLOOKUP(A152,'Données projet'!$A$61:$I$81,9,0)</f>
        <v>6.5224999999999937</v>
      </c>
      <c r="AH152" s="12">
        <f t="array" ref="AH152">INDEX(AG:AG,MIN(IF(ISNUMBER(AG152:AG348),ROW(AG152:AG348),"")))</f>
        <v>6.5224999999999937</v>
      </c>
      <c r="AI152" s="13">
        <f>IF('Données projet'!$A$62&gt;35,AI151+AH152-AQ151,IF(A152&lt;'Données projet'!$A$62,$AF$205^A152,IF(A152='Données projet'!$A$62,'Données projet'!$B$62,AI151+AH152-AQ151)))</f>
        <v>385.83999999999963</v>
      </c>
      <c r="AJ152" s="13">
        <f>AI152*VLOOKUP('Données projet'!$B$10,Paramètres!$A$1:$I$89,3,0)*VLOOKUP('Données projet'!$B$10,Paramètres!$A$1:$I$89,5,0)</f>
        <v>349.1080319999997</v>
      </c>
      <c r="AK152" s="13">
        <f t="shared" si="143"/>
        <v>81.378818495893242</v>
      </c>
      <c r="AL152" s="20">
        <f t="shared" si="112"/>
        <v>749.7645979470135</v>
      </c>
      <c r="AM152" s="57">
        <f t="shared" si="113"/>
        <v>1038.6379553687202</v>
      </c>
      <c r="AN152" s="57">
        <f ca="1">AVERAGE(OFFSET($AM$3,0,0,'Données projet'!$E$10+1,1))-AVERAGE(OFFSET($H$3,0,0,'Données projet'!$E$10+1,1))</f>
        <v>469.4210143164521</v>
      </c>
      <c r="AO152" s="57">
        <f t="shared" si="144"/>
        <v>308.4508386530556</v>
      </c>
      <c r="AP152" s="15">
        <f>IF(ISNA(VLOOKUP(A152,'Données projet'!$A$61:$I$81,3,0)),0,VLOOKUP(A152,'Données projet'!$A$61:$I$81,3,0))</f>
        <v>12</v>
      </c>
      <c r="AQ152" s="15">
        <f>IF(ISNA(VLOOKUP(A152,'Données projet'!$A$61:$I$81,4,0)),0,VLOOKUP(A152,'Données projet'!$A$61:$I$81,4,0))</f>
        <v>153.56</v>
      </c>
      <c r="AR152" s="16">
        <f>IF(ISNA(VLOOKUP(A152,'Données projet'!$A$61:$I$81,5,0)),0%,VLOOKUP(A152,'Données projet'!$A$61:$I$81,5,0)*VLOOKUP('Données projet'!$B$10,Paramètres!$A$1:$I$89,7,0))</f>
        <v>0.30099999999999999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88.896440554595856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88.896440554595856</v>
      </c>
      <c r="AY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68.783642933192752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7" t="e">
        <f t="shared" si="116"/>
        <v>#NUM!</v>
      </c>
      <c r="BI152" s="57">
        <f ca="1">AVERAGE(OFFSET($BH$3,0,0,'Données projet'!$E$11+1,1))-AVERAGE(OFFSET($H$3,0,0,'Données projet'!$E$11+1,1))</f>
        <v>344.32981377462971</v>
      </c>
      <c r="BJ152" s="57">
        <f t="shared" si="146"/>
        <v>334.42512656625763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29.602941915001079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29.602941915001079</v>
      </c>
      <c r="BT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68.783642933192752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4.5474735088646412E-13</v>
      </c>
      <c r="BZ152" s="13">
        <f>BY152*VLOOKUP('Données projet'!$B$12,Paramètres!$A$1:$I$89,3,0)*VLOOKUP('Données projet'!$B$12,Paramètres!$A$1:$I$89,5,0)</f>
        <v>4.3273757910355926E-13</v>
      </c>
      <c r="CA152" s="13">
        <f t="shared" si="147"/>
        <v>5.4817614357080839E-12</v>
      </c>
      <c r="CB152" s="20">
        <f t="shared" si="118"/>
        <v>1.0301085784130276E-11</v>
      </c>
      <c r="CC152" s="57">
        <f t="shared" si="119"/>
        <v>288.87335742171706</v>
      </c>
      <c r="CD152" s="57">
        <f ca="1">AVERAGE(OFFSET($CC$3,0,0,'Données projet'!$E$12+1,1))-AVERAGE(OFFSET($H$3,0,0,'Données projet'!$E$12+1,1))</f>
        <v>498.77732039282807</v>
      </c>
      <c r="CE152" s="57">
        <f t="shared" si="148"/>
        <v>384.57317421826531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104.2079702292387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104.2079702292387</v>
      </c>
      <c r="CO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68.783642933192752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>
        <f>VLOOKUP(A152,'Données projet'!$A$139:$I$159,2,0)</f>
        <v>385.84</v>
      </c>
      <c r="CR152" s="12">
        <f>VLOOKUP(A152,'Données projet'!$A$139:$I$159,9,0)</f>
        <v>6.5224999999999937</v>
      </c>
      <c r="CS152" s="12">
        <f t="array" ref="CS152">INDEX(CR:CR,MIN(IF(ISNUMBER(CR152:CR348),ROW(CR152:CR348),"")))</f>
        <v>6.5224999999999937</v>
      </c>
      <c r="CT152" s="12">
        <f>IF('Données projet'!$A$140&gt;35,CT151+CS152-DB151,IF(A152&lt;'Données projet'!$A$140,$CQ$205^A152,IF(A152='Données projet'!$A$140,'Données projet'!$B$140,CT151+CS152-DB151)))</f>
        <v>385.83999999999963</v>
      </c>
      <c r="CU152" s="17">
        <f>CT152*VLOOKUP('Données projet'!$B$13,Paramètres!$A$1:$I$89,3,0)*VLOOKUP('Données projet'!$B$13,Paramètres!$A$1:$I$89,5,0)</f>
        <v>258.82147199999974</v>
      </c>
      <c r="CV152" s="13">
        <f t="shared" si="149"/>
        <v>62.471097027251993</v>
      </c>
      <c r="CW152" s="20">
        <f t="shared" si="121"/>
        <v>559.58455772246339</v>
      </c>
      <c r="CX152" s="57">
        <f t="shared" si="122"/>
        <v>848.4579151441701</v>
      </c>
      <c r="CY152" s="57">
        <f ca="1">AVERAGE(OFFSET($CX$3,0,0,'Données projet'!$E$13+1,1))-AVERAGE(OFFSET($H$3,0,0,'Données projet'!$E$13+1,1))</f>
        <v>365.99625753737246</v>
      </c>
      <c r="CZ152" s="57">
        <f t="shared" si="150"/>
        <v>242.84814712692287</v>
      </c>
      <c r="DA152" s="15">
        <f>IF(ISNA(VLOOKUP(A152,'Données projet'!$A$139:$I$159,3,0)),0,VLOOKUP(A152,'Données projet'!$A$139:$I$159,3,0))</f>
        <v>12</v>
      </c>
      <c r="DB152" s="15">
        <f>IF(ISNA(VLOOKUP(A152,'Données projet'!$A$139:$I$159,4,0)),0,VLOOKUP(A152,'Données projet'!$A$139:$I$159,4,0))</f>
        <v>153.56</v>
      </c>
      <c r="DC152" s="16">
        <f>IF(ISNA(VLOOKUP(A152,'Données projet'!$A$139:$I$159,5,0)),0%,VLOOKUP(A152,'Données projet'!$A$139:$I$159,5,0)*VLOOKUP('Données projet'!$B$13,Paramètres!$A$1:$I$89,7,0))</f>
        <v>0.371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81.232954299889315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81.232954299889315</v>
      </c>
      <c r="DJ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68.783642933192752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2.2737367544323206E-13</v>
      </c>
      <c r="DP152" s="17">
        <f>DO152*VLOOKUP('Données projet'!$B$14,Paramètres!$A$1:$I$89,3,0)*VLOOKUP('Données projet'!$B$14,Paramètres!$A$1:$I$89,5,0)</f>
        <v>1.4897523215040565E-13</v>
      </c>
      <c r="DQ152" s="13">
        <f t="shared" si="151"/>
        <v>2.136562777003313E-12</v>
      </c>
      <c r="DR152" s="20">
        <f t="shared" si="124"/>
        <v>3.9806453659427267E-12</v>
      </c>
      <c r="DS152" s="57">
        <f t="shared" si="125"/>
        <v>288.87335742171075</v>
      </c>
      <c r="DT152" s="57">
        <f ca="1">AVERAGE(OFFSET($DS$3,0,0,'Données projet'!$E$14+1,1))-AVERAGE(OFFSET($H$3,0,0,'Données projet'!$E$14+1,1))</f>
        <v>313.79279628660527</v>
      </c>
      <c r="DU152" s="57">
        <f t="shared" si="152"/>
        <v>317.45469955216254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28.762002753051821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28.762002753051821</v>
      </c>
      <c r="EE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68.783642933192752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-1.1368683772161603E-13</v>
      </c>
      <c r="EK152" s="17">
        <f>EJ152*VLOOKUP('Données projet'!$B$15,Paramètres!$A$1:$I$89,3,0)*VLOOKUP('Données projet'!$B$15,Paramètres!$A$1:$I$89,5,0)</f>
        <v>-9.7543306765146564E-14</v>
      </c>
      <c r="EL152" s="13" t="e">
        <f t="shared" si="153"/>
        <v>#NUM!</v>
      </c>
      <c r="EM152" s="20" t="e">
        <f t="shared" si="127"/>
        <v>#NUM!</v>
      </c>
      <c r="EN152" s="57" t="e">
        <f t="shared" si="128"/>
        <v>#NUM!</v>
      </c>
      <c r="EO152" s="57">
        <f ca="1">AVERAGE(OFFSET($EN$3,0,0,'Données projet'!$E$15+1,1))-AVERAGE(OFFSET($H$3,0,0,'Données projet'!$E$15+1,1))</f>
        <v>643.04899298561475</v>
      </c>
      <c r="EP152" s="57">
        <f t="shared" si="154"/>
        <v>474.94999304483031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106.61020899196357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106.61020899196357</v>
      </c>
      <c r="EZ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68.783642933192752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>
        <f>FE152*VLOOKUP('Données projet'!$B$16,Paramètres!$A$1:$I$89,3,0)*VLOOKUP('Données projet'!$B$16,Paramètres!$A$1:$I$89,5,0)</f>
        <v>0</v>
      </c>
      <c r="FG152" s="13" t="e">
        <f t="shared" si="155"/>
        <v>#NUM!</v>
      </c>
      <c r="FH152" s="20" t="e">
        <f t="shared" si="130"/>
        <v>#NUM!</v>
      </c>
      <c r="FI152" s="57" t="e">
        <f t="shared" si="131"/>
        <v>#NUM!</v>
      </c>
      <c r="FJ152" s="57">
        <f ca="1">AVERAGE(OFFSET($FI$3,0,0,'Données projet'!$E$16+1,1))-AVERAGE(OFFSET($H$3,0,0,'Données projet'!$E$16+1,1))</f>
        <v>375.34603719604439</v>
      </c>
      <c r="FK152" s="57">
        <f t="shared" si="156"/>
        <v>363.99476973672211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40.368979672312207</v>
      </c>
      <c r="FR152" s="21">
        <f>EXP(-LN(2)/25)*FR151+(1-EXP(-LN(2)/25))/(LN(2)/25)*Calculateur!FM152*Calculateur!FO152*VLOOKUP('Données projet'!$B$16,Paramètres!$A$1:$I$89,3,0)*0.475*44/12</f>
        <v>0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40.368979672312207</v>
      </c>
      <c r="FU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68.783642933192752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-1.1368683772161603E-13</v>
      </c>
      <c r="GA152" s="17">
        <f>FZ152*VLOOKUP('Données projet'!$B$17,Paramètres!$A$1:$I$89,3,0)*VLOOKUP('Données projet'!$B$17,Paramètres!$A$1:$I$89,5,0)</f>
        <v>-6.3550942286383367E-14</v>
      </c>
      <c r="GB152" s="13" t="e">
        <f t="shared" si="157"/>
        <v>#NUM!</v>
      </c>
      <c r="GC152" s="20" t="e">
        <f t="shared" si="133"/>
        <v>#NUM!</v>
      </c>
      <c r="GD152" s="57" t="e">
        <f t="shared" si="134"/>
        <v>#NUM!</v>
      </c>
      <c r="GE152" s="57">
        <f ca="1">AVERAGE(OFFSET($GD$3,0,0,'Données projet'!$E$17+1,1))-AVERAGE(OFFSET($H$3,0,0,'Données projet'!$E$17+1,1))</f>
        <v>414.47327143450701</v>
      </c>
      <c r="GF152" s="57">
        <f t="shared" si="158"/>
        <v>546.83385887302961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45.88980200635114</v>
      </c>
      <c r="GM152" s="21">
        <f>EXP(-LN(2)/25)*GM151+(1-EXP(-LN(2)/25))/(LN(2)/25)*Calculateur!GH152*Calculateur!GJ152*VLOOKUP('Données projet'!$B$17,Paramètres!$A$1:$I$89,3,0)*0.475*44/12</f>
        <v>4.5707907971981392</v>
      </c>
      <c r="GN152" s="21">
        <f>EXP(-LN(2)/2)*GN151+(1-EXP(-LN(2)/2))/(LN(2)/2)*GH152*GK152*VLOOKUP('Données projet'!$B$17,Paramètres!$A$1:$I$89,3,0)*0.475*44/12</f>
        <v>2.087442714758806E-13</v>
      </c>
      <c r="GO152" s="21">
        <f t="shared" si="135"/>
        <v>50.460592803549481</v>
      </c>
      <c r="GP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68.783642933192752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-2.2737367544323206E-13</v>
      </c>
      <c r="GV152" s="17">
        <f>GU152*VLOOKUP('Données projet'!$B$18,Paramètres!$A$1:$I$89,3,0)*VLOOKUP('Données projet'!$B$18,Paramètres!$A$1:$I$89,5,0)</f>
        <v>-1.2414602679200471E-13</v>
      </c>
      <c r="GW152" s="13" t="e">
        <f t="shared" si="159"/>
        <v>#NUM!</v>
      </c>
      <c r="GX152" s="20" t="e">
        <f t="shared" si="136"/>
        <v>#NUM!</v>
      </c>
      <c r="GY152" s="57" t="e">
        <f t="shared" si="137"/>
        <v>#NUM!</v>
      </c>
      <c r="GZ152" s="57">
        <f ca="1">AVERAGE(OFFSET($GY$3,0,0,'Données projet'!$E$18+1,1))-AVERAGE(OFFSET($H$3,0,0,'Données projet'!$E$18+1,1))</f>
        <v>381.00532469288714</v>
      </c>
      <c r="HA152" s="57">
        <f t="shared" si="160"/>
        <v>314.875259641757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>
        <f>EXP(-LN(2)/35)*HG151+(1-EXP(-LN(2)/35))/(LN(2)/35)*HC152*HD152*VLOOKUP('Données projet'!$B$18,Paramètres!$A$1:$I$89,3,0)*0.475*44/12</f>
        <v>77.308074399812838</v>
      </c>
      <c r="HH152" s="21">
        <f>EXP(-LN(2)/25)*HH151+(1-EXP(-LN(2)/25))/(LN(2)/25)*Calculateur!HC152*Calculateur!HE152*VLOOKUP('Données projet'!$B$18,Paramètres!$A$1:$I$89,3,0)*0.475*44/12</f>
        <v>8.4803916978555716</v>
      </c>
      <c r="HI152" s="21">
        <f>EXP(-LN(2)/2)*HI151+(1-EXP(-LN(2)/2))/(LN(2)/2)*HC152*HF152*VLOOKUP('Données projet'!$B$18,Paramètres!$A$1:$I$89,3,0)*0.475*44/12</f>
        <v>1.0525245054372532E-6</v>
      </c>
      <c r="HJ152" s="22">
        <f t="shared" si="138"/>
        <v>85.788467150192915</v>
      </c>
    </row>
    <row r="153" spans="1:218" x14ac:dyDescent="0.2">
      <c r="A153" s="10">
        <f>A152+1</f>
        <v>150</v>
      </c>
      <c r="B153" s="71">
        <f>'Scénario référence'!$B$16*5+'Scénario référence'!$B$17*0+'Scénario référence'!$B$18*5</f>
        <v>3.3000000000000003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12.100000000000001</v>
      </c>
      <c r="H153" s="65">
        <f t="shared" si="110"/>
        <v>208.26666666666665</v>
      </c>
      <c r="I153" s="6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68.804744008934861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-1.1527845344971866E-13</v>
      </c>
      <c r="P153" s="13" t="e">
        <f t="shared" si="141"/>
        <v>#NUM!</v>
      </c>
      <c r="Q153" s="20" t="e">
        <f t="shared" si="108"/>
        <v>#NUM!</v>
      </c>
      <c r="R153" s="57" t="e">
        <f t="shared" si="109"/>
        <v>#NUM!</v>
      </c>
      <c r="S153" s="57">
        <f ca="1">AVERAGE(OFFSET($R$3,0,0,'Données projet'!$E$9+1,1))-AVERAGE(OFFSET($H$3,0,0,'Données projet'!$E$9+1,1))</f>
        <v>332.70145542047612</v>
      </c>
      <c r="T153" s="57">
        <f t="shared" si="142"/>
        <v>172.22433737900428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62.676626285575935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62.676626285575935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68.804744008934861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3.8900000000000077</v>
      </c>
      <c r="AI153" s="13">
        <f>IF('Données projet'!$A$62&gt;35,AI152+AH153-AQ152,IF(A153&lt;'Données projet'!$A$62,$AF$205^A153,IF(A153='Données projet'!$A$62,'Données projet'!$B$62,AI152+AH153-AQ152)))</f>
        <v>236.16999999999962</v>
      </c>
      <c r="AJ153" s="13">
        <f>AI153*VLOOKUP('Données projet'!$B$10,Paramètres!$A$1:$I$89,3,0)*VLOOKUP('Données projet'!$B$10,Paramètres!$A$1:$I$89,5,0)</f>
        <v>213.68661599999965</v>
      </c>
      <c r="AK153" s="13">
        <f t="shared" si="143"/>
        <v>52.740386260338589</v>
      </c>
      <c r="AL153" s="20">
        <f t="shared" si="112"/>
        <v>464.0270289367557</v>
      </c>
      <c r="AM153" s="57">
        <f t="shared" si="113"/>
        <v>752.9777569695168</v>
      </c>
      <c r="AN153" s="57">
        <f ca="1">AVERAGE(OFFSET($AM$3,0,0,'Données projet'!$E$10+1,1))-AVERAGE(OFFSET($H$3,0,0,'Données projet'!$E$10+1,1))</f>
        <v>469.4210143164521</v>
      </c>
      <c r="AO153" s="57">
        <f t="shared" si="144"/>
        <v>308.4508386530556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87.153235576795041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87.153235576795041</v>
      </c>
      <c r="AY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68.804744008934861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7" t="e">
        <f t="shared" si="116"/>
        <v>#NUM!</v>
      </c>
      <c r="BI153" s="57">
        <f ca="1">AVERAGE(OFFSET($BH$3,0,0,'Données projet'!$E$11+1,1))-AVERAGE(OFFSET($H$3,0,0,'Données projet'!$E$11+1,1))</f>
        <v>344.32981377462971</v>
      </c>
      <c r="BJ153" s="57">
        <f t="shared" si="146"/>
        <v>334.42512656625763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29.022446280059594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29.022446280059594</v>
      </c>
      <c r="BT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68.804744008934861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4.5474735088646412E-13</v>
      </c>
      <c r="BZ153" s="13">
        <f>BY153*VLOOKUP('Données projet'!$B$12,Paramètres!$A$1:$I$89,3,0)*VLOOKUP('Données projet'!$B$12,Paramètres!$A$1:$I$89,5,0)</f>
        <v>4.3273757910355926E-13</v>
      </c>
      <c r="CA153" s="13">
        <f t="shared" si="147"/>
        <v>5.4817614357080839E-12</v>
      </c>
      <c r="CB153" s="20">
        <f t="shared" si="118"/>
        <v>1.0301085784130276E-11</v>
      </c>
      <c r="CC153" s="57">
        <f t="shared" si="119"/>
        <v>288.95072803277145</v>
      </c>
      <c r="CD153" s="57">
        <f ca="1">AVERAGE(OFFSET($CC$3,0,0,'Données projet'!$E$12+1,1))-AVERAGE(OFFSET($H$3,0,0,'Données projet'!$E$12+1,1))</f>
        <v>498.77732039282807</v>
      </c>
      <c r="CE153" s="57">
        <f t="shared" si="148"/>
        <v>384.57317421826531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102.16451549362908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102.16451549362908</v>
      </c>
      <c r="CO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68.804744008934861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3.8900000000000077</v>
      </c>
      <c r="CT153" s="12">
        <f>IF('Données projet'!$A$140&gt;35,CT152+CS153-DB152,IF(A153&lt;'Données projet'!$A$140,$CQ$205^A153,IF(A153='Données projet'!$A$140,'Données projet'!$B$140,CT152+CS153-DB152)))</f>
        <v>236.16999999999962</v>
      </c>
      <c r="CU153" s="17">
        <f>CT153*VLOOKUP('Données projet'!$B$13,Paramètres!$A$1:$I$89,3,0)*VLOOKUP('Données projet'!$B$13,Paramètres!$A$1:$I$89,5,0)</f>
        <v>158.42283599999973</v>
      </c>
      <c r="CV153" s="13">
        <f t="shared" si="149"/>
        <v>40.486576829456325</v>
      </c>
      <c r="CW153" s="20">
        <f t="shared" si="121"/>
        <v>346.4338940113027</v>
      </c>
      <c r="CX153" s="57">
        <f t="shared" si="122"/>
        <v>635.38462204406392</v>
      </c>
      <c r="CY153" s="57">
        <f ca="1">AVERAGE(OFFSET($CX$3,0,0,'Données projet'!$E$13+1,1))-AVERAGE(OFFSET($H$3,0,0,'Données projet'!$E$13+1,1))</f>
        <v>365.99625753737246</v>
      </c>
      <c r="CZ153" s="57">
        <f t="shared" si="150"/>
        <v>242.84814712692287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79.640025613278226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79.640025613278226</v>
      </c>
      <c r="DJ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68.804744008934861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2.2737367544323206E-13</v>
      </c>
      <c r="DP153" s="17">
        <f>DO153*VLOOKUP('Données projet'!$B$14,Paramètres!$A$1:$I$89,3,0)*VLOOKUP('Données projet'!$B$14,Paramètres!$A$1:$I$89,5,0)</f>
        <v>1.4897523215040565E-13</v>
      </c>
      <c r="DQ153" s="13">
        <f t="shared" si="151"/>
        <v>2.136562777003313E-12</v>
      </c>
      <c r="DR153" s="20">
        <f t="shared" si="124"/>
        <v>3.9806453659427267E-12</v>
      </c>
      <c r="DS153" s="57">
        <f t="shared" si="125"/>
        <v>288.95072803276514</v>
      </c>
      <c r="DT153" s="57">
        <f ca="1">AVERAGE(OFFSET($DS$3,0,0,'Données projet'!$E$14+1,1))-AVERAGE(OFFSET($H$3,0,0,'Données projet'!$E$14+1,1))</f>
        <v>313.79279628660527</v>
      </c>
      <c r="DU153" s="57">
        <f t="shared" si="152"/>
        <v>317.45469955216254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28.197997422153918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28.197997422153918</v>
      </c>
      <c r="EE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68.804744008934861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-1.1368683772161603E-13</v>
      </c>
      <c r="EK153" s="17">
        <f>EJ153*VLOOKUP('Données projet'!$B$15,Paramètres!$A$1:$I$89,3,0)*VLOOKUP('Données projet'!$B$15,Paramètres!$A$1:$I$89,5,0)</f>
        <v>-9.7543306765146564E-14</v>
      </c>
      <c r="EL153" s="13" t="e">
        <f t="shared" si="153"/>
        <v>#NUM!</v>
      </c>
      <c r="EM153" s="20" t="e">
        <f t="shared" si="127"/>
        <v>#NUM!</v>
      </c>
      <c r="EN153" s="57" t="e">
        <f t="shared" si="128"/>
        <v>#NUM!</v>
      </c>
      <c r="EO153" s="57">
        <f ca="1">AVERAGE(OFFSET($EN$3,0,0,'Données projet'!$E$15+1,1))-AVERAGE(OFFSET($H$3,0,0,'Données projet'!$E$15+1,1))</f>
        <v>643.04899298561475</v>
      </c>
      <c r="EP153" s="57">
        <f t="shared" si="154"/>
        <v>474.94999304483031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104.51964781943789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104.51964781943789</v>
      </c>
      <c r="EZ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68.804744008934861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>
        <f>FE153*VLOOKUP('Données projet'!$B$16,Paramètres!$A$1:$I$89,3,0)*VLOOKUP('Données projet'!$B$16,Paramètres!$A$1:$I$89,5,0)</f>
        <v>0</v>
      </c>
      <c r="FG153" s="13" t="e">
        <f t="shared" si="155"/>
        <v>#NUM!</v>
      </c>
      <c r="FH153" s="20" t="e">
        <f t="shared" si="130"/>
        <v>#NUM!</v>
      </c>
      <c r="FI153" s="57" t="e">
        <f t="shared" si="131"/>
        <v>#NUM!</v>
      </c>
      <c r="FJ153" s="57">
        <f ca="1">AVERAGE(OFFSET($FI$3,0,0,'Données projet'!$E$16+1,1))-AVERAGE(OFFSET($H$3,0,0,'Données projet'!$E$16+1,1))</f>
        <v>375.34603719604439</v>
      </c>
      <c r="FK153" s="57">
        <f t="shared" si="156"/>
        <v>363.99476973672211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39.577368603584482</v>
      </c>
      <c r="FR153" s="21">
        <f>EXP(-LN(2)/25)*FR152+(1-EXP(-LN(2)/25))/(LN(2)/25)*Calculateur!FM153*Calculateur!FO153*VLOOKUP('Données projet'!$B$16,Paramètres!$A$1:$I$89,3,0)*0.475*44/12</f>
        <v>0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39.577368603584482</v>
      </c>
      <c r="FU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68.804744008934861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-1.1368683772161603E-13</v>
      </c>
      <c r="GA153" s="17">
        <f>FZ153*VLOOKUP('Données projet'!$B$17,Paramètres!$A$1:$I$89,3,0)*VLOOKUP('Données projet'!$B$17,Paramètres!$A$1:$I$89,5,0)</f>
        <v>-6.3550942286383367E-14</v>
      </c>
      <c r="GB153" s="13" t="e">
        <f t="shared" si="157"/>
        <v>#NUM!</v>
      </c>
      <c r="GC153" s="20" t="e">
        <f t="shared" si="133"/>
        <v>#NUM!</v>
      </c>
      <c r="GD153" s="57" t="e">
        <f t="shared" si="134"/>
        <v>#NUM!</v>
      </c>
      <c r="GE153" s="57">
        <f ca="1">AVERAGE(OFFSET($GD$3,0,0,'Données projet'!$E$17+1,1))-AVERAGE(OFFSET($H$3,0,0,'Données projet'!$E$17+1,1))</f>
        <v>414.47327143450701</v>
      </c>
      <c r="GF153" s="57">
        <f t="shared" si="158"/>
        <v>546.83385887302961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44.989930979022034</v>
      </c>
      <c r="GM153" s="21">
        <f>EXP(-LN(2)/25)*GM152+(1-EXP(-LN(2)/25))/(LN(2)/25)*Calculateur!GH153*Calculateur!GJ153*VLOOKUP('Données projet'!$B$17,Paramètres!$A$1:$I$89,3,0)*0.475*44/12</f>
        <v>4.4458022824813144</v>
      </c>
      <c r="GN153" s="21">
        <f>EXP(-LN(2)/2)*GN152+(1-EXP(-LN(2)/2))/(LN(2)/2)*GH153*GK153*VLOOKUP('Données projet'!$B$17,Paramètres!$A$1:$I$89,3,0)*0.475*44/12</f>
        <v>1.4760448989444078E-13</v>
      </c>
      <c r="GO153" s="21">
        <f t="shared" si="135"/>
        <v>49.435733261503501</v>
      </c>
      <c r="GP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68.804744008934861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-2.2737367544323206E-13</v>
      </c>
      <c r="GV153" s="17">
        <f>GU153*VLOOKUP('Données projet'!$B$18,Paramètres!$A$1:$I$89,3,0)*VLOOKUP('Données projet'!$B$18,Paramètres!$A$1:$I$89,5,0)</f>
        <v>-1.2414602679200471E-13</v>
      </c>
      <c r="GW153" s="13" t="e">
        <f t="shared" si="159"/>
        <v>#NUM!</v>
      </c>
      <c r="GX153" s="20" t="e">
        <f t="shared" si="136"/>
        <v>#NUM!</v>
      </c>
      <c r="GY153" s="57" t="e">
        <f t="shared" si="137"/>
        <v>#NUM!</v>
      </c>
      <c r="GZ153" s="57">
        <f ca="1">AVERAGE(OFFSET($GY$3,0,0,'Données projet'!$E$18+1,1))-AVERAGE(OFFSET($H$3,0,0,'Données projet'!$E$18+1,1))</f>
        <v>381.00532469288714</v>
      </c>
      <c r="HA153" s="57">
        <f t="shared" si="160"/>
        <v>314.875259641757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>
        <f>EXP(-LN(2)/35)*HG152+(1-EXP(-LN(2)/35))/(LN(2)/35)*HC153*HD153*VLOOKUP('Données projet'!$B$18,Paramètres!$A$1:$I$89,3,0)*0.475*44/12</f>
        <v>75.792110214101896</v>
      </c>
      <c r="HH153" s="21">
        <f>EXP(-LN(2)/25)*HH152+(1-EXP(-LN(2)/25))/(LN(2)/25)*Calculateur!HC153*Calculateur!HE153*VLOOKUP('Données projet'!$B$18,Paramètres!$A$1:$I$89,3,0)*0.475*44/12</f>
        <v>8.248494940913293</v>
      </c>
      <c r="HI153" s="21">
        <f>EXP(-LN(2)/2)*HI152+(1-EXP(-LN(2)/2))/(LN(2)/2)*HC153*HF153*VLOOKUP('Données projet'!$B$18,Paramètres!$A$1:$I$89,3,0)*0.475*44/12</f>
        <v>7.4424721515969892E-7</v>
      </c>
      <c r="HJ153" s="22">
        <f t="shared" si="138"/>
        <v>84.040605899262403</v>
      </c>
    </row>
    <row r="154" spans="1:218" x14ac:dyDescent="0.2">
      <c r="A154" s="10">
        <f t="shared" ref="A154:A202" si="161">A153+1</f>
        <v>151</v>
      </c>
      <c r="B154" s="71">
        <f>'Scénario référence'!$B$16*5+'Scénario référence'!$B$17*0+'Scénario référence'!$B$18*5</f>
        <v>3.3000000000000003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12.100000000000001</v>
      </c>
      <c r="H154" s="65">
        <f t="shared" si="110"/>
        <v>208.26666666666665</v>
      </c>
      <c r="I154" s="6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68.825479028187758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-1.1527845344971866E-13</v>
      </c>
      <c r="P154" s="13" t="e">
        <f t="shared" si="141"/>
        <v>#NUM!</v>
      </c>
      <c r="Q154" s="20" t="e">
        <f t="shared" ref="Q154:Q203" si="162">(O154+P154)*0.475*44/12</f>
        <v>#NUM!</v>
      </c>
      <c r="R154" s="57" t="e">
        <f t="shared" si="109"/>
        <v>#NUM!</v>
      </c>
      <c r="S154" s="57">
        <f ca="1">AVERAGE(OFFSET($R$3,0,0,'Données projet'!$E$9+1,1))-AVERAGE(OFFSET($H$3,0,0,'Données projet'!$E$9+1,1))</f>
        <v>332.70145542047612</v>
      </c>
      <c r="T154" s="57">
        <f t="shared" si="142"/>
        <v>172.22433737900428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61.447575873083025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61.447575873083025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68.825479028187758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3.8900000000000077</v>
      </c>
      <c r="AI154" s="13">
        <f>IF('Données projet'!$A$62&gt;35,AI153+AH154-AQ153,IF(A154&lt;'Données projet'!$A$62,$AF$205^A154,IF(A154='Données projet'!$A$62,'Données projet'!$B$62,AI153+AH154-AQ153)))</f>
        <v>240.05999999999963</v>
      </c>
      <c r="AJ154" s="13">
        <f>AI154*VLOOKUP('Données projet'!$B$10,Paramètres!$A$1:$I$89,3,0)*VLOOKUP('Données projet'!$B$10,Paramètres!$A$1:$I$89,5,0)</f>
        <v>217.20628799999966</v>
      </c>
      <c r="AK154" s="13">
        <f t="shared" ref="AK154:AK203" si="164">EXP(-1.0587+0.8836*LN(AJ154)+0.284)</f>
        <v>53.507235326386635</v>
      </c>
      <c r="AL154" s="20">
        <f t="shared" ref="AL154:AL203" si="165">(AJ154+AK154)*0.475*44/12</f>
        <v>471.49271979345605</v>
      </c>
      <c r="AM154" s="57">
        <f t="shared" si="113"/>
        <v>760.51947623014451</v>
      </c>
      <c r="AN154" s="57">
        <f ca="1">AVERAGE(OFFSET($AM$3,0,0,'Données projet'!$E$10+1,1))-AVERAGE(OFFSET($H$3,0,0,'Données projet'!$E$10+1,1))</f>
        <v>469.4210143164521</v>
      </c>
      <c r="AO154" s="57">
        <f t="shared" si="144"/>
        <v>308.4508386530556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85.444213785358855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85.444213785358855</v>
      </c>
      <c r="AY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68.825479028187758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7" t="e">
        <f t="shared" si="116"/>
        <v>#NUM!</v>
      </c>
      <c r="BI154" s="57">
        <f ca="1">AVERAGE(OFFSET($BH$3,0,0,'Données projet'!$E$11+1,1))-AVERAGE(OFFSET($H$3,0,0,'Données projet'!$E$11+1,1))</f>
        <v>344.32981377462971</v>
      </c>
      <c r="BJ154" s="57">
        <f t="shared" si="146"/>
        <v>334.42512656625763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28.453333810451934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28.453333810451934</v>
      </c>
      <c r="BT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68.825479028187758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4.5474735088646412E-13</v>
      </c>
      <c r="BZ154" s="13">
        <f>BY154*VLOOKUP('Données projet'!$B$12,Paramètres!$A$1:$I$89,3,0)*VLOOKUP('Données projet'!$B$12,Paramètres!$A$1:$I$89,5,0)</f>
        <v>4.3273757910355926E-13</v>
      </c>
      <c r="CA154" s="13">
        <f t="shared" ref="CA154:CA203" si="170">EXP(-1.0587+0.8836*LN(BZ154)+0.284)</f>
        <v>5.4817614357080839E-12</v>
      </c>
      <c r="CB154" s="20">
        <f t="shared" ref="CB154:CB203" si="171">(BZ154+CA154)*0.475*44/12</f>
        <v>1.0301085784130276E-11</v>
      </c>
      <c r="CC154" s="57">
        <f t="shared" si="119"/>
        <v>289.02675643669875</v>
      </c>
      <c r="CD154" s="57">
        <f ca="1">AVERAGE(OFFSET($CC$3,0,0,'Données projet'!$E$12+1,1))-AVERAGE(OFFSET($H$3,0,0,'Données projet'!$E$12+1,1))</f>
        <v>498.77732039282807</v>
      </c>
      <c r="CE154" s="57">
        <f t="shared" si="148"/>
        <v>384.57317421826531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100.16113165900045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100.16113165900045</v>
      </c>
      <c r="CO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68.825479028187758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3.8900000000000077</v>
      </c>
      <c r="CT154" s="12">
        <f>IF('Données projet'!$A$140&gt;35,CT153+CS154-DB153,IF(A154&lt;'Données projet'!$A$140,$CQ$205^A154,IF(A154='Données projet'!$A$140,'Données projet'!$B$140,CT153+CS154-DB153)))</f>
        <v>240.05999999999963</v>
      </c>
      <c r="CU154" s="17">
        <f>CT154*VLOOKUP('Données projet'!$B$13,Paramètres!$A$1:$I$89,3,0)*VLOOKUP('Données projet'!$B$13,Paramètres!$A$1:$I$89,5,0)</f>
        <v>161.03224799999975</v>
      </c>
      <c r="CV154" s="13">
        <f t="shared" ref="CV154:CV203" si="173">EXP(-1.0587+0.8836*LN(CU154)+0.284)</f>
        <v>41.075254611903638</v>
      </c>
      <c r="CW154" s="20">
        <f t="shared" ref="CW154:CW203" si="174">(CU154+CV154)*0.475*44/12</f>
        <v>352.0039003823984</v>
      </c>
      <c r="CX154" s="57">
        <f t="shared" si="122"/>
        <v>641.03065681908686</v>
      </c>
      <c r="CY154" s="57">
        <f ca="1">AVERAGE(OFFSET($CX$3,0,0,'Données projet'!$E$13+1,1))-AVERAGE(OFFSET($H$3,0,0,'Données projet'!$E$13+1,1))</f>
        <v>365.99625753737246</v>
      </c>
      <c r="CZ154" s="57">
        <f t="shared" si="150"/>
        <v>242.84814712692287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78.078333286621017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78.078333286621017</v>
      </c>
      <c r="DJ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68.825479028187758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2.2737367544323206E-13</v>
      </c>
      <c r="DP154" s="17">
        <f>DO154*VLOOKUP('Données projet'!$B$14,Paramètres!$A$1:$I$89,3,0)*VLOOKUP('Données projet'!$B$14,Paramètres!$A$1:$I$89,5,0)</f>
        <v>1.4897523215040565E-13</v>
      </c>
      <c r="DQ154" s="13">
        <f t="shared" ref="DQ154:DQ203" si="176">EXP(-1.0587+0.8836*LN(DP154)+0.284)</f>
        <v>2.136562777003313E-12</v>
      </c>
      <c r="DR154" s="20">
        <f t="shared" ref="DR154:DR203" si="177">(DP154+DQ154)*0.475*44/12</f>
        <v>3.9806453659427267E-12</v>
      </c>
      <c r="DS154" s="57">
        <f t="shared" si="125"/>
        <v>289.02675643669244</v>
      </c>
      <c r="DT154" s="57">
        <f ca="1">AVERAGE(OFFSET($DS$3,0,0,'Données projet'!$E$14+1,1))-AVERAGE(OFFSET($H$3,0,0,'Données projet'!$E$14+1,1))</f>
        <v>313.79279628660527</v>
      </c>
      <c r="DU154" s="57">
        <f t="shared" si="152"/>
        <v>317.45469955216254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27.645051891785638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27.645051891785638</v>
      </c>
      <c r="EE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68.825479028187758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-1.1368683772161603E-13</v>
      </c>
      <c r="EK154" s="17">
        <f>EJ154*VLOOKUP('Données projet'!$B$15,Paramètres!$A$1:$I$89,3,0)*VLOOKUP('Données projet'!$B$15,Paramètres!$A$1:$I$89,5,0)</f>
        <v>-9.7543306765146564E-14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7" t="e">
        <f t="shared" si="128"/>
        <v>#NUM!</v>
      </c>
      <c r="EO154" s="57">
        <f ca="1">AVERAGE(OFFSET($EN$3,0,0,'Données projet'!$E$15+1,1))-AVERAGE(OFFSET($H$3,0,0,'Données projet'!$E$15+1,1))</f>
        <v>643.04899298561475</v>
      </c>
      <c r="EP154" s="57">
        <f t="shared" si="154"/>
        <v>474.94999304483031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102.47008127638902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102.47008127638902</v>
      </c>
      <c r="EZ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68.825479028187758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>
        <f>FE154*VLOOKUP('Données projet'!$B$16,Paramètres!$A$1:$I$89,3,0)*VLOOKUP('Données projet'!$B$16,Paramètres!$A$1:$I$89,5,0)</f>
        <v>0</v>
      </c>
      <c r="FG154" s="13" t="e">
        <f t="shared" ref="FG154:FG203" si="182">EXP(-1.0587+0.8836*LN(FF154)+0.284)</f>
        <v>#NUM!</v>
      </c>
      <c r="FH154" s="20" t="e">
        <f t="shared" ref="FH154:FH203" si="183">(FF154+FG154)*0.475*44/12</f>
        <v>#NUM!</v>
      </c>
      <c r="FI154" s="57" t="e">
        <f t="shared" si="131"/>
        <v>#NUM!</v>
      </c>
      <c r="FJ154" s="57">
        <f ca="1">AVERAGE(OFFSET($FI$3,0,0,'Données projet'!$E$16+1,1))-AVERAGE(OFFSET($H$3,0,0,'Données projet'!$E$16+1,1))</f>
        <v>375.34603719604439</v>
      </c>
      <c r="FK154" s="57">
        <f t="shared" si="156"/>
        <v>363.99476973672211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38.801280545079429</v>
      </c>
      <c r="FR154" s="21">
        <f>EXP(-LN(2)/25)*FR153+(1-EXP(-LN(2)/25))/(LN(2)/25)*Calculateur!FM154*Calculateur!FO154*VLOOKUP('Données projet'!$B$16,Paramètres!$A$1:$I$89,3,0)*0.475*44/12</f>
        <v>0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38.801280545079429</v>
      </c>
      <c r="FU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68.825479028187758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-1.1368683772161603E-13</v>
      </c>
      <c r="GA154" s="17">
        <f>FZ154*VLOOKUP('Données projet'!$B$17,Paramètres!$A$1:$I$89,3,0)*VLOOKUP('Données projet'!$B$17,Paramètres!$A$1:$I$89,5,0)</f>
        <v>-6.3550942286383367E-14</v>
      </c>
      <c r="GB154" s="13" t="e">
        <f t="shared" ref="GB154:GB203" si="185">EXP(-1.0587+0.8836*LN(GA154)+0.284)</f>
        <v>#NUM!</v>
      </c>
      <c r="GC154" s="20" t="e">
        <f t="shared" ref="GC154:GC203" si="186">(GA154+GB154)*0.475*44/12</f>
        <v>#NUM!</v>
      </c>
      <c r="GD154" s="57" t="e">
        <f t="shared" si="134"/>
        <v>#NUM!</v>
      </c>
      <c r="GE154" s="57">
        <f ca="1">AVERAGE(OFFSET($GD$3,0,0,'Données projet'!$E$17+1,1))-AVERAGE(OFFSET($H$3,0,0,'Données projet'!$E$17+1,1))</f>
        <v>414.47327143450701</v>
      </c>
      <c r="GF154" s="57">
        <f t="shared" si="158"/>
        <v>546.83385887302961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44.107705873671719</v>
      </c>
      <c r="GM154" s="21">
        <f>EXP(-LN(2)/25)*GM153+(1-EXP(-LN(2)/25))/(LN(2)/25)*Calculateur!GH154*Calculateur!GJ154*VLOOKUP('Données projet'!$B$17,Paramètres!$A$1:$I$89,3,0)*0.475*44/12</f>
        <v>4.3242315852722815</v>
      </c>
      <c r="GN154" s="21">
        <f>EXP(-LN(2)/2)*GN153+(1-EXP(-LN(2)/2))/(LN(2)/2)*GH154*GK154*VLOOKUP('Données projet'!$B$17,Paramètres!$A$1:$I$89,3,0)*0.475*44/12</f>
        <v>1.043721357379403E-13</v>
      </c>
      <c r="GO154" s="21">
        <f t="shared" ref="GO154:GO203" si="187">SUM(GL154:GN154)</f>
        <v>48.431937458944105</v>
      </c>
      <c r="GP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68.825479028187758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-2.2737367544323206E-13</v>
      </c>
      <c r="GV154" s="17">
        <f>GU154*VLOOKUP('Données projet'!$B$18,Paramètres!$A$1:$I$89,3,0)*VLOOKUP('Données projet'!$B$18,Paramètres!$A$1:$I$89,5,0)</f>
        <v>-1.2414602679200471E-13</v>
      </c>
      <c r="GW154" s="13" t="e">
        <f t="shared" ref="GW154:GW203" si="188">EXP(-1.0587+0.8836*LN(GV154)+0.284)</f>
        <v>#NUM!</v>
      </c>
      <c r="GX154" s="20" t="e">
        <f t="shared" ref="GX154:GX203" si="189">(GV154+GW154)*0.475*44/12</f>
        <v>#NUM!</v>
      </c>
      <c r="GY154" s="57" t="e">
        <f t="shared" si="137"/>
        <v>#NUM!</v>
      </c>
      <c r="GZ154" s="57">
        <f ca="1">AVERAGE(OFFSET($GY$3,0,0,'Données projet'!$E$18+1,1))-AVERAGE(OFFSET($H$3,0,0,'Données projet'!$E$18+1,1))</f>
        <v>381.00532469288714</v>
      </c>
      <c r="HA154" s="57">
        <f t="shared" si="160"/>
        <v>314.875259641757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>
        <f>EXP(-LN(2)/35)*HG153+(1-EXP(-LN(2)/35))/(LN(2)/35)*HC154*HD154*VLOOKUP('Données projet'!$B$18,Paramètres!$A$1:$I$89,3,0)*0.475*44/12</f>
        <v>74.305873161425893</v>
      </c>
      <c r="HH154" s="21">
        <f>EXP(-LN(2)/25)*HH153+(1-EXP(-LN(2)/25))/(LN(2)/25)*Calculateur!HC154*Calculateur!HE154*VLOOKUP('Données projet'!$B$18,Paramètres!$A$1:$I$89,3,0)*0.475*44/12</f>
        <v>8.0229394129845222</v>
      </c>
      <c r="HI154" s="21">
        <f>EXP(-LN(2)/2)*HI153+(1-EXP(-LN(2)/2))/(LN(2)/2)*HC154*HF154*VLOOKUP('Données projet'!$B$18,Paramètres!$A$1:$I$89,3,0)*0.475*44/12</f>
        <v>5.2626225271862658E-7</v>
      </c>
      <c r="HJ154" s="22">
        <f t="shared" ref="HJ154:HJ203" si="190">SUM(HG154:HI154)</f>
        <v>82.328813100672676</v>
      </c>
    </row>
    <row r="155" spans="1:218" x14ac:dyDescent="0.2">
      <c r="A155" s="10">
        <f t="shared" si="161"/>
        <v>152</v>
      </c>
      <c r="B155" s="71">
        <f>'Scénario référence'!$B$16*5+'Scénario référence'!$B$17*0+'Scénario référence'!$B$18*5</f>
        <v>3.3000000000000003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12.100000000000001</v>
      </c>
      <c r="H155" s="65">
        <f t="shared" si="110"/>
        <v>208.26666666666665</v>
      </c>
      <c r="I155" s="6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68.845854341213197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-1.1527845344971866E-13</v>
      </c>
      <c r="P155" s="13" t="e">
        <f t="shared" si="141"/>
        <v>#NUM!</v>
      </c>
      <c r="Q155" s="20" t="e">
        <f t="shared" si="162"/>
        <v>#NUM!</v>
      </c>
      <c r="R155" s="57" t="e">
        <f t="shared" si="109"/>
        <v>#NUM!</v>
      </c>
      <c r="S155" s="57">
        <f ca="1">AVERAGE(OFFSET($R$3,0,0,'Données projet'!$E$9+1,1))-AVERAGE(OFFSET($H$3,0,0,'Données projet'!$E$9+1,1))</f>
        <v>332.70145542047612</v>
      </c>
      <c r="T155" s="57">
        <f t="shared" si="142"/>
        <v>172.22433737900428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60.242626389532376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60.242626389532376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68.845854341213197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3.8900000000000077</v>
      </c>
      <c r="AI155" s="13">
        <f>IF('Données projet'!$A$62&gt;35,AI154+AH155-AQ154,IF(A155&lt;'Données projet'!$A$62,$AF$205^A155,IF(A155='Données projet'!$A$62,'Données projet'!$B$62,AI154+AH155-AQ154)))</f>
        <v>243.94999999999965</v>
      </c>
      <c r="AJ155" s="13">
        <f>AI155*VLOOKUP('Données projet'!$B$10,Paramètres!$A$1:$I$89,3,0)*VLOOKUP('Données projet'!$B$10,Paramètres!$A$1:$I$89,5,0)</f>
        <v>220.72595999999967</v>
      </c>
      <c r="AK155" s="13">
        <f t="shared" si="164"/>
        <v>54.272639274623394</v>
      </c>
      <c r="AL155" s="20">
        <f t="shared" si="165"/>
        <v>478.95589373663512</v>
      </c>
      <c r="AM155" s="57">
        <f t="shared" si="113"/>
        <v>768.05735965441681</v>
      </c>
      <c r="AN155" s="57">
        <f ca="1">AVERAGE(OFFSET($AM$3,0,0,'Données projet'!$E$10+1,1))-AVERAGE(OFFSET($H$3,0,0,'Données projet'!$E$10+1,1))</f>
        <v>469.4210143164521</v>
      </c>
      <c r="AO155" s="57">
        <f t="shared" si="144"/>
        <v>308.4508386530556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83.768704868852367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83.768704868852367</v>
      </c>
      <c r="AY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68.845854341213197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7" t="e">
        <f t="shared" si="116"/>
        <v>#NUM!</v>
      </c>
      <c r="BI155" s="57">
        <f ca="1">AVERAGE(OFFSET($BH$3,0,0,'Données projet'!$E$11+1,1))-AVERAGE(OFFSET($H$3,0,0,'Données projet'!$E$11+1,1))</f>
        <v>344.32981377462971</v>
      </c>
      <c r="BJ155" s="57">
        <f t="shared" si="146"/>
        <v>334.42512656625763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27.895381289248949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27.895381289248949</v>
      </c>
      <c r="BT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68.845854341213197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4.5474735088646412E-13</v>
      </c>
      <c r="BZ155" s="13">
        <f>BY155*VLOOKUP('Données projet'!$B$12,Paramètres!$A$1:$I$89,3,0)*VLOOKUP('Données projet'!$B$12,Paramètres!$A$1:$I$89,5,0)</f>
        <v>4.3273757910355926E-13</v>
      </c>
      <c r="CA155" s="13">
        <f t="shared" si="170"/>
        <v>5.4817614357080839E-12</v>
      </c>
      <c r="CB155" s="20">
        <f t="shared" si="171"/>
        <v>1.0301085784130276E-11</v>
      </c>
      <c r="CC155" s="57">
        <f t="shared" si="119"/>
        <v>289.10146591779198</v>
      </c>
      <c r="CD155" s="57">
        <f ca="1">AVERAGE(OFFSET($CC$3,0,0,'Données projet'!$E$12+1,1))-AVERAGE(OFFSET($H$3,0,0,'Données projet'!$E$12+1,1))</f>
        <v>498.77732039282807</v>
      </c>
      <c r="CE155" s="57">
        <f t="shared" si="148"/>
        <v>384.57317421826531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98.1970329594254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98.1970329594254</v>
      </c>
      <c r="CO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68.845854341213197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3.8900000000000077</v>
      </c>
      <c r="CT155" s="12">
        <f>IF('Données projet'!$A$140&gt;35,CT154+CS155-DB154,IF(A155&lt;'Données projet'!$A$140,$CQ$205^A155,IF(A155='Données projet'!$A$140,'Données projet'!$B$140,CT154+CS155-DB154)))</f>
        <v>243.94999999999965</v>
      </c>
      <c r="CU155" s="17">
        <f>CT155*VLOOKUP('Données projet'!$B$13,Paramètres!$A$1:$I$89,3,0)*VLOOKUP('Données projet'!$B$13,Paramètres!$A$1:$I$89,5,0)</f>
        <v>163.64165999999975</v>
      </c>
      <c r="CV155" s="13">
        <f t="shared" si="173"/>
        <v>41.662823038173592</v>
      </c>
      <c r="CW155" s="20">
        <f t="shared" si="174"/>
        <v>357.57197462481855</v>
      </c>
      <c r="CX155" s="57">
        <f t="shared" si="122"/>
        <v>646.67344054260025</v>
      </c>
      <c r="CY155" s="57">
        <f ca="1">AVERAGE(OFFSET($CX$3,0,0,'Données projet'!$E$13+1,1))-AVERAGE(OFFSET($H$3,0,0,'Données projet'!$E$13+1,1))</f>
        <v>365.99625753737246</v>
      </c>
      <c r="CZ155" s="57">
        <f t="shared" si="150"/>
        <v>242.84814712692287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76.5472647939513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76.5472647939513</v>
      </c>
      <c r="DJ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68.845854341213197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2.2737367544323206E-13</v>
      </c>
      <c r="DP155" s="17">
        <f>DO155*VLOOKUP('Données projet'!$B$14,Paramètres!$A$1:$I$89,3,0)*VLOOKUP('Données projet'!$B$14,Paramètres!$A$1:$I$89,5,0)</f>
        <v>1.4897523215040565E-13</v>
      </c>
      <c r="DQ155" s="13">
        <f t="shared" si="176"/>
        <v>2.136562777003313E-12</v>
      </c>
      <c r="DR155" s="20">
        <f t="shared" si="177"/>
        <v>3.9806453659427267E-12</v>
      </c>
      <c r="DS155" s="57">
        <f t="shared" si="125"/>
        <v>289.10146591778567</v>
      </c>
      <c r="DT155" s="57">
        <f ca="1">AVERAGE(OFFSET($DS$3,0,0,'Données projet'!$E$14+1,1))-AVERAGE(OFFSET($H$3,0,0,'Données projet'!$E$14+1,1))</f>
        <v>313.79279628660527</v>
      </c>
      <c r="DU155" s="57">
        <f t="shared" si="152"/>
        <v>317.45469955216254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27.10294928600441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27.10294928600441</v>
      </c>
      <c r="EE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68.845854341213197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-1.1368683772161603E-13</v>
      </c>
      <c r="EK155" s="17">
        <f>EJ155*VLOOKUP('Données projet'!$B$15,Paramètres!$A$1:$I$89,3,0)*VLOOKUP('Données projet'!$B$15,Paramètres!$A$1:$I$89,5,0)</f>
        <v>-9.7543306765146564E-14</v>
      </c>
      <c r="EL155" s="13" t="e">
        <f t="shared" si="179"/>
        <v>#NUM!</v>
      </c>
      <c r="EM155" s="20" t="e">
        <f t="shared" si="180"/>
        <v>#NUM!</v>
      </c>
      <c r="EN155" s="57" t="e">
        <f t="shared" si="128"/>
        <v>#NUM!</v>
      </c>
      <c r="EO155" s="57">
        <f ca="1">AVERAGE(OFFSET($EN$3,0,0,'Données projet'!$E$15+1,1))-AVERAGE(OFFSET($H$3,0,0,'Données projet'!$E$15+1,1))</f>
        <v>643.04899298561475</v>
      </c>
      <c r="EP155" s="57">
        <f t="shared" si="154"/>
        <v>474.94999304483031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100.46070548313719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100.46070548313719</v>
      </c>
      <c r="EZ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68.845854341213197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>
        <f>FE155*VLOOKUP('Données projet'!$B$16,Paramètres!$A$1:$I$89,3,0)*VLOOKUP('Données projet'!$B$16,Paramètres!$A$1:$I$89,5,0)</f>
        <v>0</v>
      </c>
      <c r="FG155" s="13" t="e">
        <f t="shared" si="182"/>
        <v>#NUM!</v>
      </c>
      <c r="FH155" s="20" t="e">
        <f t="shared" si="183"/>
        <v>#NUM!</v>
      </c>
      <c r="FI155" s="57" t="e">
        <f t="shared" si="131"/>
        <v>#NUM!</v>
      </c>
      <c r="FJ155" s="57">
        <f ca="1">AVERAGE(OFFSET($FI$3,0,0,'Données projet'!$E$16+1,1))-AVERAGE(OFFSET($H$3,0,0,'Données projet'!$E$16+1,1))</f>
        <v>375.34603719604439</v>
      </c>
      <c r="FK155" s="57">
        <f t="shared" si="156"/>
        <v>363.99476973672211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38.040411100034689</v>
      </c>
      <c r="FR155" s="21">
        <f>EXP(-LN(2)/25)*FR154+(1-EXP(-LN(2)/25))/(LN(2)/25)*Calculateur!FM155*Calculateur!FO155*VLOOKUP('Données projet'!$B$16,Paramètres!$A$1:$I$89,3,0)*0.475*44/12</f>
        <v>0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38.040411100034689</v>
      </c>
      <c r="FU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68.845854341213197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-1.1368683772161603E-13</v>
      </c>
      <c r="GA155" s="17">
        <f>FZ155*VLOOKUP('Données projet'!$B$17,Paramètres!$A$1:$I$89,3,0)*VLOOKUP('Données projet'!$B$17,Paramètres!$A$1:$I$89,5,0)</f>
        <v>-6.3550942286383367E-14</v>
      </c>
      <c r="GB155" s="13" t="e">
        <f t="shared" si="185"/>
        <v>#NUM!</v>
      </c>
      <c r="GC155" s="20" t="e">
        <f t="shared" si="186"/>
        <v>#NUM!</v>
      </c>
      <c r="GD155" s="57" t="e">
        <f t="shared" si="134"/>
        <v>#NUM!</v>
      </c>
      <c r="GE155" s="57">
        <f ca="1">AVERAGE(OFFSET($GD$3,0,0,'Données projet'!$E$17+1,1))-AVERAGE(OFFSET($H$3,0,0,'Données projet'!$E$17+1,1))</f>
        <v>414.47327143450701</v>
      </c>
      <c r="GF155" s="57">
        <f t="shared" si="158"/>
        <v>546.83385887302961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43.242780664533143</v>
      </c>
      <c r="GM155" s="21">
        <f>EXP(-LN(2)/25)*GM154+(1-EXP(-LN(2)/25))/(LN(2)/25)*Calculateur!GH155*Calculateur!GJ155*VLOOKUP('Données projet'!$B$17,Paramètres!$A$1:$I$89,3,0)*0.475*44/12</f>
        <v>4.2059852451715551</v>
      </c>
      <c r="GN155" s="21">
        <f>EXP(-LN(2)/2)*GN154+(1-EXP(-LN(2)/2))/(LN(2)/2)*GH155*GK155*VLOOKUP('Données projet'!$B$17,Paramètres!$A$1:$I$89,3,0)*0.475*44/12</f>
        <v>7.3802244947220388E-14</v>
      </c>
      <c r="GO155" s="21">
        <f t="shared" si="187"/>
        <v>47.448765909704768</v>
      </c>
      <c r="GP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68.845854341213197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-2.2737367544323206E-13</v>
      </c>
      <c r="GV155" s="17">
        <f>GU155*VLOOKUP('Données projet'!$B$18,Paramètres!$A$1:$I$89,3,0)*VLOOKUP('Données projet'!$B$18,Paramètres!$A$1:$I$89,5,0)</f>
        <v>-1.2414602679200471E-13</v>
      </c>
      <c r="GW155" s="13" t="e">
        <f t="shared" si="188"/>
        <v>#NUM!</v>
      </c>
      <c r="GX155" s="20" t="e">
        <f t="shared" si="189"/>
        <v>#NUM!</v>
      </c>
      <c r="GY155" s="57" t="e">
        <f t="shared" si="137"/>
        <v>#NUM!</v>
      </c>
      <c r="GZ155" s="57">
        <f ca="1">AVERAGE(OFFSET($GY$3,0,0,'Données projet'!$E$18+1,1))-AVERAGE(OFFSET($H$3,0,0,'Données projet'!$E$18+1,1))</f>
        <v>381.00532469288714</v>
      </c>
      <c r="HA155" s="57">
        <f t="shared" si="160"/>
        <v>314.875259641757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>
        <f>EXP(-LN(2)/35)*HG154+(1-EXP(-LN(2)/35))/(LN(2)/35)*HC155*HD155*VLOOKUP('Données projet'!$B$18,Paramètres!$A$1:$I$89,3,0)*0.475*44/12</f>
        <v>72.848780310837768</v>
      </c>
      <c r="HH155" s="21">
        <f>EXP(-LN(2)/25)*HH154+(1-EXP(-LN(2)/25))/(LN(2)/25)*Calculateur!HC155*Calculateur!HE155*VLOOKUP('Données projet'!$B$18,Paramètres!$A$1:$I$89,3,0)*0.475*44/12</f>
        <v>7.8035517128284138</v>
      </c>
      <c r="HI155" s="21">
        <f>EXP(-LN(2)/2)*HI154+(1-EXP(-LN(2)/2))/(LN(2)/2)*HC155*HF155*VLOOKUP('Données projet'!$B$18,Paramètres!$A$1:$I$89,3,0)*0.475*44/12</f>
        <v>3.7212360757984946E-7</v>
      </c>
      <c r="HJ155" s="22">
        <f t="shared" si="190"/>
        <v>80.652332395789784</v>
      </c>
    </row>
    <row r="156" spans="1:218" x14ac:dyDescent="0.2">
      <c r="A156" s="10">
        <f t="shared" si="161"/>
        <v>153</v>
      </c>
      <c r="B156" s="71">
        <f>'Scénario référence'!$B$16*5+'Scénario référence'!$B$17*0+'Scénario référence'!$B$18*5</f>
        <v>3.3000000000000003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12.100000000000001</v>
      </c>
      <c r="H156" s="65">
        <f t="shared" si="110"/>
        <v>208.26666666666665</v>
      </c>
      <c r="I156" s="6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68.865876188110008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-1.1527845344971866E-13</v>
      </c>
      <c r="P156" s="13" t="e">
        <f t="shared" si="141"/>
        <v>#NUM!</v>
      </c>
      <c r="Q156" s="20" t="e">
        <f t="shared" si="162"/>
        <v>#NUM!</v>
      </c>
      <c r="R156" s="57" t="e">
        <f t="shared" si="109"/>
        <v>#NUM!</v>
      </c>
      <c r="S156" s="57">
        <f ca="1">AVERAGE(OFFSET($R$3,0,0,'Données projet'!$E$9+1,1))-AVERAGE(OFFSET($H$3,0,0,'Données projet'!$E$9+1,1))</f>
        <v>332.70145542047612</v>
      </c>
      <c r="T156" s="57">
        <f t="shared" si="142"/>
        <v>172.22433737900428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59.061305230407541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59.061305230407541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68.865876188110008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>
        <f>VLOOKUP(A156,'Données projet'!$A$61:$I$81,2,0)</f>
        <v>247.84</v>
      </c>
      <c r="AG156" s="12">
        <f>VLOOKUP(A156,'Données projet'!$A$61:$I$81,9,0)</f>
        <v>3.8900000000000077</v>
      </c>
      <c r="AH156" s="12">
        <f t="array" ref="AH156">INDEX(AG:AG,MIN(IF(ISNUMBER(AG156:AG352),ROW(AG156:AG352),"")))</f>
        <v>3.8900000000000077</v>
      </c>
      <c r="AI156" s="13">
        <f>IF('Données projet'!$A$62&gt;35,AI155+AH156-AQ155,IF(A156&lt;'Données projet'!$A$62,$AF$205^A156,IF(A156='Données projet'!$A$62,'Données projet'!$B$62,AI155+AH156-AQ155)))</f>
        <v>247.83999999999966</v>
      </c>
      <c r="AJ156" s="13">
        <f>AI156*VLOOKUP('Données projet'!$B$10,Paramètres!$A$1:$I$89,3,0)*VLOOKUP('Données projet'!$B$10,Paramètres!$A$1:$I$89,5,0)</f>
        <v>224.24563199999969</v>
      </c>
      <c r="AK156" s="13">
        <f t="shared" si="164"/>
        <v>55.036623809359014</v>
      </c>
      <c r="AL156" s="20">
        <f t="shared" si="165"/>
        <v>486.41659553463313</v>
      </c>
      <c r="AM156" s="57">
        <f t="shared" si="113"/>
        <v>775.59147489103657</v>
      </c>
      <c r="AN156" s="57">
        <f ca="1">AVERAGE(OFFSET($AM$3,0,0,'Données projet'!$E$10+1,1))-AVERAGE(OFFSET($H$3,0,0,'Données projet'!$E$10+1,1))</f>
        <v>469.4210143164521</v>
      </c>
      <c r="AO156" s="57">
        <f t="shared" si="144"/>
        <v>308.4508386530556</v>
      </c>
      <c r="AP156" s="15">
        <f>IF(ISNA(VLOOKUP(A156,'Données projet'!$A$61:$I$81,3,0)),0,VLOOKUP(A156,'Données projet'!$A$61:$I$81,3,0))</f>
        <v>13</v>
      </c>
      <c r="AQ156" s="15">
        <f>IF(ISNA(VLOOKUP(A156,'Données projet'!$A$61:$I$81,4,0)),0,VLOOKUP(A156,'Données projet'!$A$61:$I$81,4,0))</f>
        <v>89.29</v>
      </c>
      <c r="AR156" s="16">
        <f>IF(ISNA(VLOOKUP(A156,'Données projet'!$A$61:$I$81,5,0)),0%,VLOOKUP(A156,'Données projet'!$A$61:$I$81,5,0)*VLOOKUP('Données projet'!$B$10,Paramètres!$A$1:$I$89,7,0))</f>
        <v>0.30099999999999999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109.00851244033525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109.00851244033525</v>
      </c>
      <c r="AY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68.865876188110008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7" t="e">
        <f t="shared" si="116"/>
        <v>#NUM!</v>
      </c>
      <c r="BI156" s="57">
        <f ca="1">AVERAGE(OFFSET($BH$3,0,0,'Données projet'!$E$11+1,1))-AVERAGE(OFFSET($H$3,0,0,'Données projet'!$E$11+1,1))</f>
        <v>344.32981377462971</v>
      </c>
      <c r="BJ156" s="57">
        <f t="shared" si="146"/>
        <v>334.42512656625763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27.34836987666932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27.34836987666932</v>
      </c>
      <c r="BT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68.865876188110008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4.5474735088646412E-13</v>
      </c>
      <c r="BZ156" s="13">
        <f>BY156*VLOOKUP('Données projet'!$B$12,Paramètres!$A$1:$I$89,3,0)*VLOOKUP('Données projet'!$B$12,Paramètres!$A$1:$I$89,5,0)</f>
        <v>4.3273757910355926E-13</v>
      </c>
      <c r="CA156" s="13">
        <f t="shared" si="170"/>
        <v>5.4817614357080839E-12</v>
      </c>
      <c r="CB156" s="20">
        <f t="shared" si="171"/>
        <v>1.0301085784130276E-11</v>
      </c>
      <c r="CC156" s="57">
        <f t="shared" si="119"/>
        <v>289.17487935641367</v>
      </c>
      <c r="CD156" s="57">
        <f ca="1">AVERAGE(OFFSET($CC$3,0,0,'Données projet'!$E$12+1,1))-AVERAGE(OFFSET($H$3,0,0,'Données projet'!$E$12+1,1))</f>
        <v>498.77732039282807</v>
      </c>
      <c r="CE156" s="57">
        <f t="shared" si="148"/>
        <v>384.57317421826531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96.271449037367105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96.271449037367105</v>
      </c>
      <c r="CO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68.865876188110008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>
        <f>VLOOKUP(A156,'Données projet'!$A$139:$I$159,2,0)</f>
        <v>247.84</v>
      </c>
      <c r="CR156" s="12">
        <f>VLOOKUP(A156,'Données projet'!$A$139:$I$159,9,0)</f>
        <v>3.8900000000000077</v>
      </c>
      <c r="CS156" s="12">
        <f t="array" ref="CS156">INDEX(CR:CR,MIN(IF(ISNUMBER(CR156:CR352),ROW(CR156:CR352),"")))</f>
        <v>3.8900000000000077</v>
      </c>
      <c r="CT156" s="12">
        <f>IF('Données projet'!$A$140&gt;35,CT155+CS156-DB155,IF(A156&lt;'Données projet'!$A$140,$CQ$205^A156,IF(A156='Données projet'!$A$140,'Données projet'!$B$140,CT155+CS156-DB155)))</f>
        <v>247.83999999999966</v>
      </c>
      <c r="CU156" s="17">
        <f>CT156*VLOOKUP('Données projet'!$B$13,Paramètres!$A$1:$I$89,3,0)*VLOOKUP('Données projet'!$B$13,Paramètres!$A$1:$I$89,5,0)</f>
        <v>166.25107199999977</v>
      </c>
      <c r="CV156" s="13">
        <f t="shared" si="173"/>
        <v>42.249301840384241</v>
      </c>
      <c r="CW156" s="20">
        <f t="shared" si="174"/>
        <v>363.13815110533545</v>
      </c>
      <c r="CX156" s="57">
        <f t="shared" si="122"/>
        <v>652.31303046173889</v>
      </c>
      <c r="CY156" s="57">
        <f ca="1">AVERAGE(OFFSET($CX$3,0,0,'Données projet'!$E$13+1,1))-AVERAGE(OFFSET($H$3,0,0,'Données projet'!$E$13+1,1))</f>
        <v>365.99625753737246</v>
      </c>
      <c r="CZ156" s="57">
        <f t="shared" si="150"/>
        <v>242.84814712692287</v>
      </c>
      <c r="DA156" s="15">
        <f>IF(ISNA(VLOOKUP(A156,'Données projet'!$A$139:$I$159,3,0)),0,VLOOKUP(A156,'Données projet'!$A$139:$I$159,3,0))</f>
        <v>13</v>
      </c>
      <c r="DB156" s="15">
        <f>IF(ISNA(VLOOKUP(A156,'Données projet'!$A$139:$I$159,4,0)),0,VLOOKUP(A156,'Données projet'!$A$139:$I$159,4,0))</f>
        <v>89.29</v>
      </c>
      <c r="DC156" s="16">
        <f>IF(ISNA(VLOOKUP(A156,'Données projet'!$A$139:$I$159,5,0)),0%,VLOOKUP(A156,'Données projet'!$A$139:$I$159,5,0)*VLOOKUP('Données projet'!$B$13,Paramètres!$A$1:$I$89,7,0))</f>
        <v>0.371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99.611226885133931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99.611226885133931</v>
      </c>
      <c r="DJ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68.865876188110008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2.2737367544323206E-13</v>
      </c>
      <c r="DP156" s="17">
        <f>DO156*VLOOKUP('Données projet'!$B$14,Paramètres!$A$1:$I$89,3,0)*VLOOKUP('Données projet'!$B$14,Paramètres!$A$1:$I$89,5,0)</f>
        <v>1.4897523215040565E-13</v>
      </c>
      <c r="DQ156" s="13">
        <f t="shared" si="176"/>
        <v>2.136562777003313E-12</v>
      </c>
      <c r="DR156" s="20">
        <f t="shared" si="177"/>
        <v>3.9806453659427267E-12</v>
      </c>
      <c r="DS156" s="57">
        <f t="shared" si="125"/>
        <v>289.17487935640736</v>
      </c>
      <c r="DT156" s="57">
        <f ca="1">AVERAGE(OFFSET($DS$3,0,0,'Données projet'!$E$14+1,1))-AVERAGE(OFFSET($H$3,0,0,'Données projet'!$E$14+1,1))</f>
        <v>313.79279628660527</v>
      </c>
      <c r="DU156" s="57">
        <f t="shared" si="152"/>
        <v>317.45469955216254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26.57147698167261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26.57147698167261</v>
      </c>
      <c r="EE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68.865876188110008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-1.1368683772161603E-13</v>
      </c>
      <c r="EK156" s="17">
        <f>EJ156*VLOOKUP('Données projet'!$B$15,Paramètres!$A$1:$I$89,3,0)*VLOOKUP('Données projet'!$B$15,Paramètres!$A$1:$I$89,5,0)</f>
        <v>-9.7543306765146564E-14</v>
      </c>
      <c r="EL156" s="13" t="e">
        <f t="shared" si="179"/>
        <v>#NUM!</v>
      </c>
      <c r="EM156" s="20" t="e">
        <f t="shared" si="180"/>
        <v>#NUM!</v>
      </c>
      <c r="EN156" s="57" t="e">
        <f t="shared" si="128"/>
        <v>#NUM!</v>
      </c>
      <c r="EO156" s="57">
        <f ca="1">AVERAGE(OFFSET($EN$3,0,0,'Données projet'!$E$15+1,1))-AVERAGE(OFFSET($H$3,0,0,'Données projet'!$E$15+1,1))</f>
        <v>643.04899298561475</v>
      </c>
      <c r="EP156" s="57">
        <f t="shared" si="154"/>
        <v>474.94999304483031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98.490732323592809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98.490732323592809</v>
      </c>
      <c r="EZ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68.865876188110008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>
        <f>FE156*VLOOKUP('Données projet'!$B$16,Paramètres!$A$1:$I$89,3,0)*VLOOKUP('Données projet'!$B$16,Paramètres!$A$1:$I$89,5,0)</f>
        <v>0</v>
      </c>
      <c r="FG156" s="13" t="e">
        <f t="shared" si="182"/>
        <v>#NUM!</v>
      </c>
      <c r="FH156" s="20" t="e">
        <f t="shared" si="183"/>
        <v>#NUM!</v>
      </c>
      <c r="FI156" s="57" t="e">
        <f t="shared" si="131"/>
        <v>#NUM!</v>
      </c>
      <c r="FJ156" s="57">
        <f ca="1">AVERAGE(OFFSET($FI$3,0,0,'Données projet'!$E$16+1,1))-AVERAGE(OFFSET($H$3,0,0,'Données projet'!$E$16+1,1))</f>
        <v>375.34603719604439</v>
      </c>
      <c r="FK156" s="57">
        <f t="shared" si="156"/>
        <v>363.99476973672211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37.29446184072274</v>
      </c>
      <c r="FR156" s="21">
        <f>EXP(-LN(2)/25)*FR155+(1-EXP(-LN(2)/25))/(LN(2)/25)*Calculateur!FM156*Calculateur!FO156*VLOOKUP('Données projet'!$B$16,Paramètres!$A$1:$I$89,3,0)*0.475*44/12</f>
        <v>0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37.29446184072274</v>
      </c>
      <c r="FU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68.865876188110008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-1.1368683772161603E-13</v>
      </c>
      <c r="GA156" s="17">
        <f>FZ156*VLOOKUP('Données projet'!$B$17,Paramètres!$A$1:$I$89,3,0)*VLOOKUP('Données projet'!$B$17,Paramètres!$A$1:$I$89,5,0)</f>
        <v>-6.3550942286383367E-14</v>
      </c>
      <c r="GB156" s="13" t="e">
        <f t="shared" si="185"/>
        <v>#NUM!</v>
      </c>
      <c r="GC156" s="20" t="e">
        <f t="shared" si="186"/>
        <v>#NUM!</v>
      </c>
      <c r="GD156" s="57" t="e">
        <f t="shared" si="134"/>
        <v>#NUM!</v>
      </c>
      <c r="GE156" s="57">
        <f ca="1">AVERAGE(OFFSET($GD$3,0,0,'Données projet'!$E$17+1,1))-AVERAGE(OFFSET($H$3,0,0,'Données projet'!$E$17+1,1))</f>
        <v>414.47327143450701</v>
      </c>
      <c r="GF156" s="57">
        <f t="shared" si="158"/>
        <v>546.83385887302961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42.394816111193492</v>
      </c>
      <c r="GM156" s="21">
        <f>EXP(-LN(2)/25)*GM155+(1-EXP(-LN(2)/25))/(LN(2)/25)*Calculateur!GH156*Calculateur!GJ156*VLOOKUP('Données projet'!$B$17,Paramètres!$A$1:$I$89,3,0)*0.475*44/12</f>
        <v>4.0909723574591874</v>
      </c>
      <c r="GN156" s="21">
        <f>EXP(-LN(2)/2)*GN155+(1-EXP(-LN(2)/2))/(LN(2)/2)*GH156*GK156*VLOOKUP('Données projet'!$B$17,Paramètres!$A$1:$I$89,3,0)*0.475*44/12</f>
        <v>5.2186067868970151E-14</v>
      </c>
      <c r="GO156" s="21">
        <f t="shared" si="187"/>
        <v>46.485788468652729</v>
      </c>
      <c r="GP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68.865876188110008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-2.2737367544323206E-13</v>
      </c>
      <c r="GV156" s="17">
        <f>GU156*VLOOKUP('Données projet'!$B$18,Paramètres!$A$1:$I$89,3,0)*VLOOKUP('Données projet'!$B$18,Paramètres!$A$1:$I$89,5,0)</f>
        <v>-1.2414602679200471E-13</v>
      </c>
      <c r="GW156" s="13" t="e">
        <f t="shared" si="188"/>
        <v>#NUM!</v>
      </c>
      <c r="GX156" s="20" t="e">
        <f t="shared" si="189"/>
        <v>#NUM!</v>
      </c>
      <c r="GY156" s="57" t="e">
        <f t="shared" si="137"/>
        <v>#NUM!</v>
      </c>
      <c r="GZ156" s="57">
        <f ca="1">AVERAGE(OFFSET($GY$3,0,0,'Données projet'!$E$18+1,1))-AVERAGE(OFFSET($H$3,0,0,'Données projet'!$E$18+1,1))</f>
        <v>381.00532469288714</v>
      </c>
      <c r="HA156" s="57">
        <f t="shared" si="160"/>
        <v>314.875259641757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>
        <f>EXP(-LN(2)/35)*HG155+(1-EXP(-LN(2)/35))/(LN(2)/35)*HC156*HD156*VLOOKUP('Données projet'!$B$18,Paramètres!$A$1:$I$89,3,0)*0.475*44/12</f>
        <v>71.420260162310797</v>
      </c>
      <c r="HH156" s="21">
        <f>EXP(-LN(2)/25)*HH155+(1-EXP(-LN(2)/25))/(LN(2)/25)*Calculateur!HC156*Calculateur!HE156*VLOOKUP('Données projet'!$B$18,Paramètres!$A$1:$I$89,3,0)*0.475*44/12</f>
        <v>7.5901631808701717</v>
      </c>
      <c r="HI156" s="21">
        <f>EXP(-LN(2)/2)*HI155+(1-EXP(-LN(2)/2))/(LN(2)/2)*HC156*HF156*VLOOKUP('Données projet'!$B$18,Paramètres!$A$1:$I$89,3,0)*0.475*44/12</f>
        <v>2.6313112635931329E-7</v>
      </c>
      <c r="HJ156" s="22">
        <f t="shared" si="190"/>
        <v>79.010423606312102</v>
      </c>
    </row>
    <row r="157" spans="1:218" x14ac:dyDescent="0.2">
      <c r="A157" s="10">
        <f t="shared" si="161"/>
        <v>154</v>
      </c>
      <c r="B157" s="71">
        <f>'Scénario référence'!$B$16*5+'Scénario référence'!$B$17*0+'Scénario référence'!$B$18*5</f>
        <v>3.3000000000000003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12.100000000000001</v>
      </c>
      <c r="H157" s="65">
        <f t="shared" si="110"/>
        <v>208.26666666666665</v>
      </c>
      <c r="I157" s="6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68.885550700725304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-1.1527845344971866E-13</v>
      </c>
      <c r="P157" s="13" t="e">
        <f t="shared" si="141"/>
        <v>#NUM!</v>
      </c>
      <c r="Q157" s="20" t="e">
        <f t="shared" si="162"/>
        <v>#NUM!</v>
      </c>
      <c r="R157" s="57" t="e">
        <f t="shared" si="109"/>
        <v>#NUM!</v>
      </c>
      <c r="S157" s="57">
        <f ca="1">AVERAGE(OFFSET($R$3,0,0,'Données projet'!$E$9+1,1))-AVERAGE(OFFSET($H$3,0,0,'Données projet'!$E$9+1,1))</f>
        <v>332.70145542047612</v>
      </c>
      <c r="T157" s="57">
        <f t="shared" si="142"/>
        <v>172.22433737900428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57.90314905867838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57.90314905867838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68.885550700725304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2.3049999999999997</v>
      </c>
      <c r="AI157" s="13">
        <f>IF('Données projet'!$A$62&gt;35,AI156+AH157-AQ156,IF(A157&lt;'Données projet'!$A$62,$AF$205^A157,IF(A157='Données projet'!$A$62,'Données projet'!$B$62,AI156+AH157-AQ156)))</f>
        <v>160.85499999999968</v>
      </c>
      <c r="AJ157" s="13">
        <f>AI157*VLOOKUP('Données projet'!$B$10,Paramètres!$A$1:$I$89,3,0)*VLOOKUP('Données projet'!$B$10,Paramètres!$A$1:$I$89,5,0)</f>
        <v>145.54160399999969</v>
      </c>
      <c r="AK157" s="13">
        <f t="shared" si="164"/>
        <v>37.563626766587511</v>
      </c>
      <c r="AL157" s="20">
        <f t="shared" si="165"/>
        <v>318.90827691847267</v>
      </c>
      <c r="AM157" s="57">
        <f t="shared" si="113"/>
        <v>608.15529615446553</v>
      </c>
      <c r="AN157" s="57">
        <f ca="1">AVERAGE(OFFSET($AM$3,0,0,'Données projet'!$E$10+1,1))-AVERAGE(OFFSET($H$3,0,0,'Données projet'!$E$10+1,1))</f>
        <v>469.4210143164521</v>
      </c>
      <c r="AO157" s="57">
        <f t="shared" si="144"/>
        <v>308.4508386530556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106.87092200000767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106.87092200000767</v>
      </c>
      <c r="AY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68.885550700725304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7" t="e">
        <f t="shared" si="116"/>
        <v>#NUM!</v>
      </c>
      <c r="BI157" s="57">
        <f ca="1">AVERAGE(OFFSET($BH$3,0,0,'Données projet'!$E$11+1,1))-AVERAGE(OFFSET($H$3,0,0,'Données projet'!$E$11+1,1))</f>
        <v>344.32981377462971</v>
      </c>
      <c r="BJ157" s="57">
        <f t="shared" si="146"/>
        <v>334.42512656625763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26.812085024246361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26.812085024246361</v>
      </c>
      <c r="BT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68.885550700725304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4.5474735088646412E-13</v>
      </c>
      <c r="BZ157" s="13">
        <f>BY157*VLOOKUP('Données projet'!$B$12,Paramètres!$A$1:$I$89,3,0)*VLOOKUP('Données projet'!$B$12,Paramètres!$A$1:$I$89,5,0)</f>
        <v>4.3273757910355926E-13</v>
      </c>
      <c r="CA157" s="13">
        <f t="shared" si="170"/>
        <v>5.4817614357080839E-12</v>
      </c>
      <c r="CB157" s="20">
        <f t="shared" si="171"/>
        <v>1.0301085784130276E-11</v>
      </c>
      <c r="CC157" s="57">
        <f t="shared" si="119"/>
        <v>289.2470192360031</v>
      </c>
      <c r="CD157" s="57">
        <f ca="1">AVERAGE(OFFSET($CC$3,0,0,'Données projet'!$E$12+1,1))-AVERAGE(OFFSET($H$3,0,0,'Données projet'!$E$12+1,1))</f>
        <v>498.77732039282807</v>
      </c>
      <c r="CE157" s="57">
        <f t="shared" si="148"/>
        <v>384.57317421826531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94.383624641530147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94.383624641530147</v>
      </c>
      <c r="CO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68.885550700725304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2.3049999999999997</v>
      </c>
      <c r="CT157" s="12">
        <f>IF('Données projet'!$A$140&gt;35,CT156+CS157-DB156,IF(A157&lt;'Données projet'!$A$140,$CQ$205^A157,IF(A157='Données projet'!$A$140,'Données projet'!$B$140,CT156+CS157-DB156)))</f>
        <v>160.85499999999968</v>
      </c>
      <c r="CU157" s="17">
        <f>CT157*VLOOKUP('Données projet'!$B$13,Paramètres!$A$1:$I$89,3,0)*VLOOKUP('Données projet'!$B$13,Paramètres!$A$1:$I$89,5,0)</f>
        <v>107.9015339999998</v>
      </c>
      <c r="CV157" s="13">
        <f t="shared" si="173"/>
        <v>28.836016740024228</v>
      </c>
      <c r="CW157" s="20">
        <f t="shared" si="174"/>
        <v>238.15123420554184</v>
      </c>
      <c r="CX157" s="57">
        <f t="shared" si="122"/>
        <v>527.39825344153462</v>
      </c>
      <c r="CY157" s="57">
        <f ca="1">AVERAGE(OFFSET($CX$3,0,0,'Données projet'!$E$13+1,1))-AVERAGE(OFFSET($H$3,0,0,'Données projet'!$E$13+1,1))</f>
        <v>365.99625753737246</v>
      </c>
      <c r="CZ157" s="57">
        <f t="shared" si="150"/>
        <v>242.84814712692287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97.657911482765613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97.657911482765613</v>
      </c>
      <c r="DJ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68.885550700725304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2.2737367544323206E-13</v>
      </c>
      <c r="DP157" s="17">
        <f>DO157*VLOOKUP('Données projet'!$B$14,Paramètres!$A$1:$I$89,3,0)*VLOOKUP('Données projet'!$B$14,Paramètres!$A$1:$I$89,5,0)</f>
        <v>1.4897523215040565E-13</v>
      </c>
      <c r="DQ157" s="13">
        <f t="shared" si="176"/>
        <v>2.136562777003313E-12</v>
      </c>
      <c r="DR157" s="20">
        <f t="shared" si="177"/>
        <v>3.9806453659427267E-12</v>
      </c>
      <c r="DS157" s="57">
        <f t="shared" si="125"/>
        <v>289.24701923599679</v>
      </c>
      <c r="DT157" s="57">
        <f ca="1">AVERAGE(OFFSET($DS$3,0,0,'Données projet'!$E$14+1,1))-AVERAGE(OFFSET($H$3,0,0,'Données projet'!$E$14+1,1))</f>
        <v>313.79279628660527</v>
      </c>
      <c r="DU157" s="57">
        <f t="shared" si="152"/>
        <v>317.45469955216254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26.050426525062662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26.050426525062662</v>
      </c>
      <c r="EE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68.885550700725304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-1.1368683772161603E-13</v>
      </c>
      <c r="EK157" s="17">
        <f>EJ157*VLOOKUP('Données projet'!$B$15,Paramètres!$A$1:$I$89,3,0)*VLOOKUP('Données projet'!$B$15,Paramètres!$A$1:$I$89,5,0)</f>
        <v>-9.7543306765146564E-14</v>
      </c>
      <c r="EL157" s="13" t="e">
        <f t="shared" si="179"/>
        <v>#NUM!</v>
      </c>
      <c r="EM157" s="20" t="e">
        <f t="shared" si="180"/>
        <v>#NUM!</v>
      </c>
      <c r="EN157" s="57" t="e">
        <f t="shared" si="128"/>
        <v>#NUM!</v>
      </c>
      <c r="EO157" s="57">
        <f ca="1">AVERAGE(OFFSET($EN$3,0,0,'Données projet'!$E$15+1,1))-AVERAGE(OFFSET($H$3,0,0,'Données projet'!$E$15+1,1))</f>
        <v>643.04899298561475</v>
      </c>
      <c r="EP157" s="57">
        <f t="shared" si="154"/>
        <v>474.94999304483031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96.559389136142116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96.559389136142116</v>
      </c>
      <c r="EZ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68.885550700725304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>
        <f>FE157*VLOOKUP('Données projet'!$B$16,Paramètres!$A$1:$I$89,3,0)*VLOOKUP('Données projet'!$B$16,Paramètres!$A$1:$I$89,5,0)</f>
        <v>0</v>
      </c>
      <c r="FG157" s="13" t="e">
        <f t="shared" si="182"/>
        <v>#NUM!</v>
      </c>
      <c r="FH157" s="20" t="e">
        <f t="shared" si="183"/>
        <v>#NUM!</v>
      </c>
      <c r="FI157" s="57" t="e">
        <f t="shared" si="131"/>
        <v>#NUM!</v>
      </c>
      <c r="FJ157" s="57">
        <f ca="1">AVERAGE(OFFSET($FI$3,0,0,'Données projet'!$E$16+1,1))-AVERAGE(OFFSET($H$3,0,0,'Données projet'!$E$16+1,1))</f>
        <v>375.34603719604439</v>
      </c>
      <c r="FK157" s="57">
        <f t="shared" si="156"/>
        <v>363.99476973672211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36.563140191401772</v>
      </c>
      <c r="FR157" s="21">
        <f>EXP(-LN(2)/25)*FR156+(1-EXP(-LN(2)/25))/(LN(2)/25)*Calculateur!FM157*Calculateur!FO157*VLOOKUP('Données projet'!$B$16,Paramètres!$A$1:$I$89,3,0)*0.475*44/12</f>
        <v>0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36.563140191401772</v>
      </c>
      <c r="FU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68.885550700725304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-1.1368683772161603E-13</v>
      </c>
      <c r="GA157" s="17">
        <f>FZ157*VLOOKUP('Données projet'!$B$17,Paramètres!$A$1:$I$89,3,0)*VLOOKUP('Données projet'!$B$17,Paramètres!$A$1:$I$89,5,0)</f>
        <v>-6.3550942286383367E-14</v>
      </c>
      <c r="GB157" s="13" t="e">
        <f t="shared" si="185"/>
        <v>#NUM!</v>
      </c>
      <c r="GC157" s="20" t="e">
        <f t="shared" si="186"/>
        <v>#NUM!</v>
      </c>
      <c r="GD157" s="57" t="e">
        <f t="shared" si="134"/>
        <v>#NUM!</v>
      </c>
      <c r="GE157" s="57">
        <f ca="1">AVERAGE(OFFSET($GD$3,0,0,'Données projet'!$E$17+1,1))-AVERAGE(OFFSET($H$3,0,0,'Données projet'!$E$17+1,1))</f>
        <v>414.47327143450701</v>
      </c>
      <c r="GF157" s="57">
        <f t="shared" si="158"/>
        <v>546.83385887302961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41.563479625537525</v>
      </c>
      <c r="GM157" s="21">
        <f>EXP(-LN(2)/25)*GM156+(1-EXP(-LN(2)/25))/(LN(2)/25)*Calculateur!GH157*Calculateur!GJ157*VLOOKUP('Données projet'!$B$17,Paramètres!$A$1:$I$89,3,0)*0.475*44/12</f>
        <v>3.9791045032095798</v>
      </c>
      <c r="GN157" s="21">
        <f>EXP(-LN(2)/2)*GN156+(1-EXP(-LN(2)/2))/(LN(2)/2)*GH157*GK157*VLOOKUP('Données projet'!$B$17,Paramètres!$A$1:$I$89,3,0)*0.475*44/12</f>
        <v>3.6901122473610194E-14</v>
      </c>
      <c r="GO157" s="21">
        <f t="shared" si="187"/>
        <v>45.542584128747137</v>
      </c>
      <c r="GP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68.885550700725304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-2.2737367544323206E-13</v>
      </c>
      <c r="GV157" s="17">
        <f>GU157*VLOOKUP('Données projet'!$B$18,Paramètres!$A$1:$I$89,3,0)*VLOOKUP('Données projet'!$B$18,Paramètres!$A$1:$I$89,5,0)</f>
        <v>-1.2414602679200471E-13</v>
      </c>
      <c r="GW157" s="13" t="e">
        <f t="shared" si="188"/>
        <v>#NUM!</v>
      </c>
      <c r="GX157" s="20" t="e">
        <f t="shared" si="189"/>
        <v>#NUM!</v>
      </c>
      <c r="GY157" s="57" t="e">
        <f t="shared" si="137"/>
        <v>#NUM!</v>
      </c>
      <c r="GZ157" s="57">
        <f ca="1">AVERAGE(OFFSET($GY$3,0,0,'Données projet'!$E$18+1,1))-AVERAGE(OFFSET($H$3,0,0,'Données projet'!$E$18+1,1))</f>
        <v>381.00532469288714</v>
      </c>
      <c r="HA157" s="57">
        <f t="shared" si="160"/>
        <v>314.875259641757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>
        <f>EXP(-LN(2)/35)*HG156+(1-EXP(-LN(2)/35))/(LN(2)/35)*HC157*HD157*VLOOKUP('Données projet'!$B$18,Paramètres!$A$1:$I$89,3,0)*0.475*44/12</f>
        <v>70.019752422585185</v>
      </c>
      <c r="HH157" s="21">
        <f>EXP(-LN(2)/25)*HH156+(1-EXP(-LN(2)/25))/(LN(2)/25)*Calculateur!HC157*Calculateur!HE157*VLOOKUP('Données projet'!$B$18,Paramètres!$A$1:$I$89,3,0)*0.475*44/12</f>
        <v>7.3826097695399424</v>
      </c>
      <c r="HI157" s="21">
        <f>EXP(-LN(2)/2)*HI156+(1-EXP(-LN(2)/2))/(LN(2)/2)*HC157*HF157*VLOOKUP('Données projet'!$B$18,Paramètres!$A$1:$I$89,3,0)*0.475*44/12</f>
        <v>1.8606180378992473E-7</v>
      </c>
      <c r="HJ157" s="22">
        <f t="shared" si="190"/>
        <v>77.402362378186922</v>
      </c>
    </row>
    <row r="158" spans="1:218" x14ac:dyDescent="0.2">
      <c r="A158" s="10">
        <f t="shared" si="161"/>
        <v>155</v>
      </c>
      <c r="B158" s="71">
        <f>'Scénario référence'!$B$16*5+'Scénario référence'!$B$17*0+'Scénario référence'!$B$18*5</f>
        <v>3.3000000000000003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12.100000000000001</v>
      </c>
      <c r="H158" s="65">
        <f t="shared" si="110"/>
        <v>208.26666666666665</v>
      </c>
      <c r="I158" s="6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68.90488390453234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-1.1527845344971866E-13</v>
      </c>
      <c r="P158" s="13" t="e">
        <f t="shared" si="141"/>
        <v>#NUM!</v>
      </c>
      <c r="Q158" s="20" t="e">
        <f t="shared" si="162"/>
        <v>#NUM!</v>
      </c>
      <c r="R158" s="57" t="e">
        <f t="shared" si="109"/>
        <v>#NUM!</v>
      </c>
      <c r="S158" s="57">
        <f ca="1">AVERAGE(OFFSET($R$3,0,0,'Données projet'!$E$9+1,1))-AVERAGE(OFFSET($H$3,0,0,'Données projet'!$E$9+1,1))</f>
        <v>332.70145542047612</v>
      </c>
      <c r="T158" s="57">
        <f t="shared" si="142"/>
        <v>172.22433737900428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56.767703623071313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56.767703623071313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68.90488390453234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2.3049999999999997</v>
      </c>
      <c r="AI158" s="13">
        <f>IF('Données projet'!$A$62&gt;35,AI157+AH158-AQ157,IF(A158&lt;'Données projet'!$A$62,$AF$205^A158,IF(A158='Données projet'!$A$62,'Données projet'!$B$62,AI157+AH158-AQ157)))</f>
        <v>163.15999999999968</v>
      </c>
      <c r="AJ158" s="13">
        <f>AI158*VLOOKUP('Données projet'!$B$10,Paramètres!$A$1:$I$89,3,0)*VLOOKUP('Données projet'!$B$10,Paramètres!$A$1:$I$89,5,0)</f>
        <v>147.6271679999997</v>
      </c>
      <c r="AK158" s="13">
        <f t="shared" si="164"/>
        <v>38.038851636013895</v>
      </c>
      <c r="AL158" s="20">
        <f t="shared" si="165"/>
        <v>323.36831753272367</v>
      </c>
      <c r="AM158" s="57">
        <f t="shared" si="113"/>
        <v>612.68622518267557</v>
      </c>
      <c r="AN158" s="57">
        <f ca="1">AVERAGE(OFFSET($AM$3,0,0,'Données projet'!$E$10+1,1))-AVERAGE(OFFSET($H$3,0,0,'Données projet'!$E$10+1,1))</f>
        <v>469.4210143164521</v>
      </c>
      <c r="AO158" s="57">
        <f t="shared" si="144"/>
        <v>308.4508386530556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104.77524840441347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104.77524840441347</v>
      </c>
      <c r="AY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68.90488390453234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7" t="e">
        <f t="shared" si="116"/>
        <v>#NUM!</v>
      </c>
      <c r="BI158" s="57">
        <f ca="1">AVERAGE(OFFSET($BH$3,0,0,'Données projet'!$E$11+1,1))-AVERAGE(OFFSET($H$3,0,0,'Données projet'!$E$11+1,1))</f>
        <v>344.32981377462971</v>
      </c>
      <c r="BJ158" s="57">
        <f t="shared" si="146"/>
        <v>334.42512656625763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26.286316390677957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26.286316390677957</v>
      </c>
      <c r="BT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68.90488390453234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4.5474735088646412E-13</v>
      </c>
      <c r="BZ158" s="13">
        <f>BY158*VLOOKUP('Données projet'!$B$12,Paramètres!$A$1:$I$89,3,0)*VLOOKUP('Données projet'!$B$12,Paramètres!$A$1:$I$89,5,0)</f>
        <v>4.3273757910355926E-13</v>
      </c>
      <c r="CA158" s="13">
        <f t="shared" si="170"/>
        <v>5.4817614357080839E-12</v>
      </c>
      <c r="CB158" s="20">
        <f t="shared" si="171"/>
        <v>1.0301085784130276E-11</v>
      </c>
      <c r="CC158" s="57">
        <f t="shared" si="119"/>
        <v>289.31790764996219</v>
      </c>
      <c r="CD158" s="57">
        <f ca="1">AVERAGE(OFFSET($CC$3,0,0,'Données projet'!$E$12+1,1))-AVERAGE(OFFSET($H$3,0,0,'Données projet'!$E$12+1,1))</f>
        <v>498.77732039282807</v>
      </c>
      <c r="CE158" s="57">
        <f t="shared" si="148"/>
        <v>384.57317421826531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92.532819330636372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92.532819330636372</v>
      </c>
      <c r="CO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68.90488390453234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2.3049999999999997</v>
      </c>
      <c r="CT158" s="12">
        <f>IF('Données projet'!$A$140&gt;35,CT157+CS158-DB157,IF(A158&lt;'Données projet'!$A$140,$CQ$205^A158,IF(A158='Données projet'!$A$140,'Données projet'!$B$140,CT157+CS158-DB157)))</f>
        <v>163.15999999999968</v>
      </c>
      <c r="CU158" s="17">
        <f>CT158*VLOOKUP('Données projet'!$B$13,Paramètres!$A$1:$I$89,3,0)*VLOOKUP('Données projet'!$B$13,Paramètres!$A$1:$I$89,5,0)</f>
        <v>109.44772799999978</v>
      </c>
      <c r="CV158" s="13">
        <f t="shared" si="173"/>
        <v>29.200826889353159</v>
      </c>
      <c r="CW158" s="20">
        <f t="shared" si="174"/>
        <v>241.47956643228972</v>
      </c>
      <c r="CX158" s="57">
        <f t="shared" si="122"/>
        <v>530.79747408224159</v>
      </c>
      <c r="CY158" s="57">
        <f ca="1">AVERAGE(OFFSET($CX$3,0,0,'Données projet'!$E$13+1,1))-AVERAGE(OFFSET($H$3,0,0,'Données projet'!$E$13+1,1))</f>
        <v>365.99625753737246</v>
      </c>
      <c r="CZ158" s="57">
        <f t="shared" si="150"/>
        <v>242.84814712692287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95.742899404032983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95.742899404032983</v>
      </c>
      <c r="DJ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68.90488390453234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2.2737367544323206E-13</v>
      </c>
      <c r="DP158" s="17">
        <f>DO158*VLOOKUP('Données projet'!$B$14,Paramètres!$A$1:$I$89,3,0)*VLOOKUP('Données projet'!$B$14,Paramètres!$A$1:$I$89,5,0)</f>
        <v>1.4897523215040565E-13</v>
      </c>
      <c r="DQ158" s="13">
        <f t="shared" si="176"/>
        <v>2.136562777003313E-12</v>
      </c>
      <c r="DR158" s="20">
        <f t="shared" si="177"/>
        <v>3.9806453659427267E-12</v>
      </c>
      <c r="DS158" s="57">
        <f t="shared" si="125"/>
        <v>289.31790764995588</v>
      </c>
      <c r="DT158" s="57">
        <f ca="1">AVERAGE(OFFSET($DS$3,0,0,'Données projet'!$E$14+1,1))-AVERAGE(OFFSET($H$3,0,0,'Données projet'!$E$14+1,1))</f>
        <v>313.79279628660527</v>
      </c>
      <c r="DU158" s="57">
        <f t="shared" si="152"/>
        <v>317.45469955216254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25.539593550097436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25.539593550097436</v>
      </c>
      <c r="EE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68.90488390453234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-1.1368683772161603E-13</v>
      </c>
      <c r="EK158" s="17">
        <f>EJ158*VLOOKUP('Données projet'!$B$15,Paramètres!$A$1:$I$89,3,0)*VLOOKUP('Données projet'!$B$15,Paramètres!$A$1:$I$89,5,0)</f>
        <v>-9.7543306765146564E-14</v>
      </c>
      <c r="EL158" s="13" t="e">
        <f t="shared" si="179"/>
        <v>#NUM!</v>
      </c>
      <c r="EM158" s="20" t="e">
        <f t="shared" si="180"/>
        <v>#NUM!</v>
      </c>
      <c r="EN158" s="57" t="e">
        <f t="shared" si="128"/>
        <v>#NUM!</v>
      </c>
      <c r="EO158" s="57">
        <f ca="1">AVERAGE(OFFSET($EN$3,0,0,'Données projet'!$E$15+1,1))-AVERAGE(OFFSET($H$3,0,0,'Données projet'!$E$15+1,1))</f>
        <v>643.04899298561475</v>
      </c>
      <c r="EP158" s="57">
        <f t="shared" si="154"/>
        <v>474.94999304483031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94.665918410594301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94.665918410594301</v>
      </c>
      <c r="EZ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68.90488390453234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>
        <f>FE158*VLOOKUP('Données projet'!$B$16,Paramètres!$A$1:$I$89,3,0)*VLOOKUP('Données projet'!$B$16,Paramètres!$A$1:$I$89,5,0)</f>
        <v>0</v>
      </c>
      <c r="FG158" s="13" t="e">
        <f t="shared" si="182"/>
        <v>#NUM!</v>
      </c>
      <c r="FH158" s="20" t="e">
        <f t="shared" si="183"/>
        <v>#NUM!</v>
      </c>
      <c r="FI158" s="57" t="e">
        <f t="shared" si="131"/>
        <v>#NUM!</v>
      </c>
      <c r="FJ158" s="57">
        <f ca="1">AVERAGE(OFFSET($FI$3,0,0,'Données projet'!$E$16+1,1))-AVERAGE(OFFSET($H$3,0,0,'Données projet'!$E$16+1,1))</f>
        <v>375.34603719604439</v>
      </c>
      <c r="FK158" s="57">
        <f t="shared" si="156"/>
        <v>363.99476973672211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35.846159313561827</v>
      </c>
      <c r="FR158" s="21">
        <f>EXP(-LN(2)/25)*FR157+(1-EXP(-LN(2)/25))/(LN(2)/25)*Calculateur!FM158*Calculateur!FO158*VLOOKUP('Données projet'!$B$16,Paramètres!$A$1:$I$89,3,0)*0.475*44/12</f>
        <v>0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35.846159313561827</v>
      </c>
      <c r="FU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68.90488390453234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-1.1368683772161603E-13</v>
      </c>
      <c r="GA158" s="17">
        <f>FZ158*VLOOKUP('Données projet'!$B$17,Paramètres!$A$1:$I$89,3,0)*VLOOKUP('Données projet'!$B$17,Paramètres!$A$1:$I$89,5,0)</f>
        <v>-6.3550942286383367E-14</v>
      </c>
      <c r="GB158" s="13" t="e">
        <f t="shared" si="185"/>
        <v>#NUM!</v>
      </c>
      <c r="GC158" s="20" t="e">
        <f t="shared" si="186"/>
        <v>#NUM!</v>
      </c>
      <c r="GD158" s="57" t="e">
        <f t="shared" si="134"/>
        <v>#NUM!</v>
      </c>
      <c r="GE158" s="57">
        <f ca="1">AVERAGE(OFFSET($GD$3,0,0,'Données projet'!$E$17+1,1))-AVERAGE(OFFSET($H$3,0,0,'Données projet'!$E$17+1,1))</f>
        <v>414.47327143450701</v>
      </c>
      <c r="GF158" s="57">
        <f t="shared" si="158"/>
        <v>546.83385887302961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40.748445141300081</v>
      </c>
      <c r="GM158" s="21">
        <f>EXP(-LN(2)/25)*GM157+(1-EXP(-LN(2)/25))/(LN(2)/25)*Calculateur!GH158*Calculateur!GJ158*VLOOKUP('Données projet'!$B$17,Paramètres!$A$1:$I$89,3,0)*0.475*44/12</f>
        <v>3.8702956813173022</v>
      </c>
      <c r="GN158" s="21">
        <f>EXP(-LN(2)/2)*GN157+(1-EXP(-LN(2)/2))/(LN(2)/2)*GH158*GK158*VLOOKUP('Données projet'!$B$17,Paramètres!$A$1:$I$89,3,0)*0.475*44/12</f>
        <v>2.6093033934485075E-14</v>
      </c>
      <c r="GO158" s="21">
        <f t="shared" si="187"/>
        <v>44.618740822617411</v>
      </c>
      <c r="GP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68.90488390453234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-2.2737367544323206E-13</v>
      </c>
      <c r="GV158" s="17">
        <f>GU158*VLOOKUP('Données projet'!$B$18,Paramètres!$A$1:$I$89,3,0)*VLOOKUP('Données projet'!$B$18,Paramètres!$A$1:$I$89,5,0)</f>
        <v>-1.2414602679200471E-13</v>
      </c>
      <c r="GW158" s="13" t="e">
        <f t="shared" si="188"/>
        <v>#NUM!</v>
      </c>
      <c r="GX158" s="20" t="e">
        <f t="shared" si="189"/>
        <v>#NUM!</v>
      </c>
      <c r="GY158" s="57" t="e">
        <f t="shared" si="137"/>
        <v>#NUM!</v>
      </c>
      <c r="GZ158" s="57">
        <f ca="1">AVERAGE(OFFSET($GY$3,0,0,'Données projet'!$E$18+1,1))-AVERAGE(OFFSET($H$3,0,0,'Données projet'!$E$18+1,1))</f>
        <v>381.00532469288714</v>
      </c>
      <c r="HA158" s="57">
        <f t="shared" si="160"/>
        <v>314.875259641757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>
        <f>EXP(-LN(2)/35)*HG157+(1-EXP(-LN(2)/35))/(LN(2)/35)*HC158*HD158*VLOOKUP('Données projet'!$B$18,Paramètres!$A$1:$I$89,3,0)*0.475*44/12</f>
        <v>68.646707785410214</v>
      </c>
      <c r="HH158" s="21">
        <f>EXP(-LN(2)/25)*HH157+(1-EXP(-LN(2)/25))/(LN(2)/25)*Calculateur!HC158*Calculateur!HE158*VLOOKUP('Données projet'!$B$18,Paramètres!$A$1:$I$89,3,0)*0.475*44/12</f>
        <v>7.1807319171572983</v>
      </c>
      <c r="HI158" s="21">
        <f>EXP(-LN(2)/2)*HI157+(1-EXP(-LN(2)/2))/(LN(2)/2)*HC158*HF158*VLOOKUP('Données projet'!$B$18,Paramètres!$A$1:$I$89,3,0)*0.475*44/12</f>
        <v>1.3156556317965665E-7</v>
      </c>
      <c r="HJ158" s="22">
        <f t="shared" si="190"/>
        <v>75.827439834133074</v>
      </c>
    </row>
    <row r="159" spans="1:218" x14ac:dyDescent="0.2">
      <c r="A159" s="10">
        <f t="shared" si="161"/>
        <v>156</v>
      </c>
      <c r="B159" s="71">
        <f>'Scénario référence'!$B$16*5+'Scénario référence'!$B$17*0+'Scénario référence'!$B$18*5</f>
        <v>3.3000000000000003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12.100000000000001</v>
      </c>
      <c r="H159" s="65">
        <f t="shared" si="110"/>
        <v>208.26666666666665</v>
      </c>
      <c r="I159" s="6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68.92388172047589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-1.1527845344971866E-13</v>
      </c>
      <c r="P159" s="13" t="e">
        <f t="shared" si="141"/>
        <v>#NUM!</v>
      </c>
      <c r="Q159" s="20" t="e">
        <f t="shared" si="162"/>
        <v>#NUM!</v>
      </c>
      <c r="R159" s="57" t="e">
        <f t="shared" si="109"/>
        <v>#NUM!</v>
      </c>
      <c r="S159" s="57">
        <f ca="1">AVERAGE(OFFSET($R$3,0,0,'Données projet'!$E$9+1,1))-AVERAGE(OFFSET($H$3,0,0,'Données projet'!$E$9+1,1))</f>
        <v>332.70145542047612</v>
      </c>
      <c r="T159" s="57">
        <f t="shared" si="142"/>
        <v>172.22433737900428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55.65452357990317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55.65452357990317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68.92388172047589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2.3049999999999997</v>
      </c>
      <c r="AI159" s="13">
        <f>IF('Données projet'!$A$62&gt;35,AI158+AH159-AQ158,IF(A159&lt;'Données projet'!$A$62,$AF$205^A159,IF(A159='Données projet'!$A$62,'Données projet'!$B$62,AI158+AH159-AQ158)))</f>
        <v>165.46499999999969</v>
      </c>
      <c r="AJ159" s="13">
        <f>AI159*VLOOKUP('Données projet'!$B$10,Paramètres!$A$1:$I$89,3,0)*VLOOKUP('Données projet'!$B$10,Paramètres!$A$1:$I$89,5,0)</f>
        <v>149.71273199999973</v>
      </c>
      <c r="AK159" s="13">
        <f t="shared" si="164"/>
        <v>38.513295655433602</v>
      </c>
      <c r="AL159" s="20">
        <f t="shared" si="165"/>
        <v>327.82699816654639</v>
      </c>
      <c r="AM159" s="57">
        <f t="shared" si="113"/>
        <v>617.21456447495802</v>
      </c>
      <c r="AN159" s="57">
        <f ca="1">AVERAGE(OFFSET($AM$3,0,0,'Données projet'!$E$10+1,1))-AVERAGE(OFFSET($H$3,0,0,'Données projet'!$E$10+1,1))</f>
        <v>469.4210143164521</v>
      </c>
      <c r="AO159" s="57">
        <f t="shared" si="144"/>
        <v>308.4508386530556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102.72066968979421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102.72066968979421</v>
      </c>
      <c r="AY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68.92388172047589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7" t="e">
        <f t="shared" si="116"/>
        <v>#NUM!</v>
      </c>
      <c r="BI159" s="57">
        <f ca="1">AVERAGE(OFFSET($BH$3,0,0,'Données projet'!$E$11+1,1))-AVERAGE(OFFSET($H$3,0,0,'Données projet'!$E$11+1,1))</f>
        <v>344.32981377462971</v>
      </c>
      <c r="BJ159" s="57">
        <f t="shared" si="146"/>
        <v>334.42512656625763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25.770857759326628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25.770857759326628</v>
      </c>
      <c r="BT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68.92388172047589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4.5474735088646412E-13</v>
      </c>
      <c r="BZ159" s="13">
        <f>BY159*VLOOKUP('Données projet'!$B$12,Paramètres!$A$1:$I$89,3,0)*VLOOKUP('Données projet'!$B$12,Paramètres!$A$1:$I$89,5,0)</f>
        <v>4.3273757910355926E-13</v>
      </c>
      <c r="CA159" s="13">
        <f t="shared" si="170"/>
        <v>5.4817614357080839E-12</v>
      </c>
      <c r="CB159" s="20">
        <f t="shared" si="171"/>
        <v>1.0301085784130276E-11</v>
      </c>
      <c r="CC159" s="57">
        <f t="shared" si="119"/>
        <v>289.38756630842187</v>
      </c>
      <c r="CD159" s="57">
        <f ca="1">AVERAGE(OFFSET($CC$3,0,0,'Données projet'!$E$12+1,1))-AVERAGE(OFFSET($H$3,0,0,'Données projet'!$E$12+1,1))</f>
        <v>498.77732039282807</v>
      </c>
      <c r="CE159" s="57">
        <f t="shared" si="148"/>
        <v>384.57317421826531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90.718307183009458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90.718307183009458</v>
      </c>
      <c r="CO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68.92388172047589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2.3049999999999997</v>
      </c>
      <c r="CT159" s="12">
        <f>IF('Données projet'!$A$140&gt;35,CT158+CS159-DB158,IF(A159&lt;'Données projet'!$A$140,$CQ$205^A159,IF(A159='Données projet'!$A$140,'Données projet'!$B$140,CT158+CS159-DB158)))</f>
        <v>165.46499999999969</v>
      </c>
      <c r="CU159" s="17">
        <f>CT159*VLOOKUP('Données projet'!$B$13,Paramètres!$A$1:$I$89,3,0)*VLOOKUP('Données projet'!$B$13,Paramètres!$A$1:$I$89,5,0)</f>
        <v>110.99392199999978</v>
      </c>
      <c r="CV159" s="13">
        <f t="shared" si="173"/>
        <v>29.565037612966226</v>
      </c>
      <c r="CW159" s="20">
        <f t="shared" si="174"/>
        <v>244.80685465924913</v>
      </c>
      <c r="CX159" s="57">
        <f t="shared" si="122"/>
        <v>534.19442096766068</v>
      </c>
      <c r="CY159" s="57">
        <f ca="1">AVERAGE(OFFSET($CX$3,0,0,'Données projet'!$E$13+1,1))-AVERAGE(OFFSET($H$3,0,0,'Données projet'!$E$13+1,1))</f>
        <v>365.99625753737246</v>
      </c>
      <c r="CZ159" s="57">
        <f t="shared" si="150"/>
        <v>242.84814712692287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93.865439544122268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93.865439544122268</v>
      </c>
      <c r="DJ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68.92388172047589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2.2737367544323206E-13</v>
      </c>
      <c r="DP159" s="17">
        <f>DO159*VLOOKUP('Données projet'!$B$14,Paramètres!$A$1:$I$89,3,0)*VLOOKUP('Données projet'!$B$14,Paramètres!$A$1:$I$89,5,0)</f>
        <v>1.4897523215040565E-13</v>
      </c>
      <c r="DQ159" s="13">
        <f t="shared" si="176"/>
        <v>2.136562777003313E-12</v>
      </c>
      <c r="DR159" s="20">
        <f t="shared" si="177"/>
        <v>3.9806453659427267E-12</v>
      </c>
      <c r="DS159" s="57">
        <f t="shared" si="125"/>
        <v>289.38756630841556</v>
      </c>
      <c r="DT159" s="57">
        <f ca="1">AVERAGE(OFFSET($DS$3,0,0,'Données projet'!$E$14+1,1))-AVERAGE(OFFSET($H$3,0,0,'Données projet'!$E$14+1,1))</f>
        <v>313.79279628660527</v>
      </c>
      <c r="DU159" s="57">
        <f t="shared" si="152"/>
        <v>317.45469955216254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25.038777698193929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25.038777698193929</v>
      </c>
      <c r="EE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68.92388172047589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-1.1368683772161603E-13</v>
      </c>
      <c r="EK159" s="17">
        <f>EJ159*VLOOKUP('Données projet'!$B$15,Paramètres!$A$1:$I$89,3,0)*VLOOKUP('Données projet'!$B$15,Paramètres!$A$1:$I$89,5,0)</f>
        <v>-9.7543306765146564E-14</v>
      </c>
      <c r="EL159" s="13" t="e">
        <f t="shared" si="179"/>
        <v>#NUM!</v>
      </c>
      <c r="EM159" s="20" t="e">
        <f t="shared" si="180"/>
        <v>#NUM!</v>
      </c>
      <c r="EN159" s="57" t="e">
        <f t="shared" si="128"/>
        <v>#NUM!</v>
      </c>
      <c r="EO159" s="57">
        <f ca="1">AVERAGE(OFFSET($EN$3,0,0,'Données projet'!$E$15+1,1))-AVERAGE(OFFSET($H$3,0,0,'Données projet'!$E$15+1,1))</f>
        <v>643.04899298561475</v>
      </c>
      <c r="EP159" s="57">
        <f t="shared" si="154"/>
        <v>474.94999304483031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92.80957749107138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92.80957749107138</v>
      </c>
      <c r="EZ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68.92388172047589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>
        <f>FE159*VLOOKUP('Données projet'!$B$16,Paramètres!$A$1:$I$89,3,0)*VLOOKUP('Données projet'!$B$16,Paramètres!$A$1:$I$89,5,0)</f>
        <v>0</v>
      </c>
      <c r="FG159" s="13" t="e">
        <f t="shared" si="182"/>
        <v>#NUM!</v>
      </c>
      <c r="FH159" s="20" t="e">
        <f t="shared" si="183"/>
        <v>#NUM!</v>
      </c>
      <c r="FI159" s="57" t="e">
        <f t="shared" si="131"/>
        <v>#NUM!</v>
      </c>
      <c r="FJ159" s="57">
        <f ca="1">AVERAGE(OFFSET($FI$3,0,0,'Données projet'!$E$16+1,1))-AVERAGE(OFFSET($H$3,0,0,'Données projet'!$E$16+1,1))</f>
        <v>375.34603719604439</v>
      </c>
      <c r="FK159" s="57">
        <f t="shared" si="156"/>
        <v>363.99476973672211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35.143237993421174</v>
      </c>
      <c r="FR159" s="21">
        <f>EXP(-LN(2)/25)*FR158+(1-EXP(-LN(2)/25))/(LN(2)/25)*Calculateur!FM159*Calculateur!FO159*VLOOKUP('Données projet'!$B$16,Paramètres!$A$1:$I$89,3,0)*0.475*44/12</f>
        <v>0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35.143237993421174</v>
      </c>
      <c r="FU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68.92388172047589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-1.1368683772161603E-13</v>
      </c>
      <c r="GA159" s="17">
        <f>FZ159*VLOOKUP('Données projet'!$B$17,Paramètres!$A$1:$I$89,3,0)*VLOOKUP('Données projet'!$B$17,Paramètres!$A$1:$I$89,5,0)</f>
        <v>-6.3550942286383367E-14</v>
      </c>
      <c r="GB159" s="13" t="e">
        <f t="shared" si="185"/>
        <v>#NUM!</v>
      </c>
      <c r="GC159" s="20" t="e">
        <f t="shared" si="186"/>
        <v>#NUM!</v>
      </c>
      <c r="GD159" s="57" t="e">
        <f t="shared" si="134"/>
        <v>#NUM!</v>
      </c>
      <c r="GE159" s="57">
        <f ca="1">AVERAGE(OFFSET($GD$3,0,0,'Données projet'!$E$17+1,1))-AVERAGE(OFFSET($H$3,0,0,'Données projet'!$E$17+1,1))</f>
        <v>414.47327143450701</v>
      </c>
      <c r="GF159" s="57">
        <f t="shared" si="158"/>
        <v>546.83385887302961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39.949392986176584</v>
      </c>
      <c r="GM159" s="21">
        <f>EXP(-LN(2)/25)*GM158+(1-EXP(-LN(2)/25))/(LN(2)/25)*Calculateur!GH159*Calculateur!GJ159*VLOOKUP('Données projet'!$B$17,Paramètres!$A$1:$I$89,3,0)*0.475*44/12</f>
        <v>3.7644622423816765</v>
      </c>
      <c r="GN159" s="21">
        <f>EXP(-LN(2)/2)*GN158+(1-EXP(-LN(2)/2))/(LN(2)/2)*GH159*GK159*VLOOKUP('Données projet'!$B$17,Paramètres!$A$1:$I$89,3,0)*0.475*44/12</f>
        <v>1.8450561236805097E-14</v>
      </c>
      <c r="GO159" s="21">
        <f t="shared" si="187"/>
        <v>43.71385522855828</v>
      </c>
      <c r="GP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68.92388172047589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-2.2737367544323206E-13</v>
      </c>
      <c r="GV159" s="17">
        <f>GU159*VLOOKUP('Données projet'!$B$18,Paramètres!$A$1:$I$89,3,0)*VLOOKUP('Données projet'!$B$18,Paramètres!$A$1:$I$89,5,0)</f>
        <v>-1.2414602679200471E-13</v>
      </c>
      <c r="GW159" s="13" t="e">
        <f t="shared" si="188"/>
        <v>#NUM!</v>
      </c>
      <c r="GX159" s="20" t="e">
        <f t="shared" si="189"/>
        <v>#NUM!</v>
      </c>
      <c r="GY159" s="57" t="e">
        <f t="shared" si="137"/>
        <v>#NUM!</v>
      </c>
      <c r="GZ159" s="57">
        <f ca="1">AVERAGE(OFFSET($GY$3,0,0,'Données projet'!$E$18+1,1))-AVERAGE(OFFSET($H$3,0,0,'Données projet'!$E$18+1,1))</f>
        <v>381.00532469288714</v>
      </c>
      <c r="HA159" s="57">
        <f t="shared" si="160"/>
        <v>314.875259641757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>
        <f>EXP(-LN(2)/35)*HG158+(1-EXP(-LN(2)/35))/(LN(2)/35)*HC159*HD159*VLOOKUP('Données projet'!$B$18,Paramètres!$A$1:$I$89,3,0)*0.475*44/12</f>
        <v>67.30058771609572</v>
      </c>
      <c r="HH159" s="21">
        <f>EXP(-LN(2)/25)*HH158+(1-EXP(-LN(2)/25))/(LN(2)/25)*Calculateur!HC159*Calculateur!HE159*VLOOKUP('Données projet'!$B$18,Paramètres!$A$1:$I$89,3,0)*0.475*44/12</f>
        <v>6.9843744252643525</v>
      </c>
      <c r="HI159" s="21">
        <f>EXP(-LN(2)/2)*HI158+(1-EXP(-LN(2)/2))/(LN(2)/2)*HC159*HF159*VLOOKUP('Données projet'!$B$18,Paramètres!$A$1:$I$89,3,0)*0.475*44/12</f>
        <v>9.3030901894962365E-8</v>
      </c>
      <c r="HJ159" s="22">
        <f t="shared" si="190"/>
        <v>74.284962234390974</v>
      </c>
    </row>
    <row r="160" spans="1:218" x14ac:dyDescent="0.2">
      <c r="A160" s="10">
        <f t="shared" si="161"/>
        <v>157</v>
      </c>
      <c r="B160" s="71">
        <f>'Scénario référence'!$B$16*5+'Scénario référence'!$B$17*0+'Scénario référence'!$B$18*5</f>
        <v>3.3000000000000003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12.100000000000001</v>
      </c>
      <c r="H160" s="65">
        <f t="shared" si="110"/>
        <v>208.26666666666665</v>
      </c>
      <c r="I160" s="6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68.942549966785592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-1.1527845344971866E-13</v>
      </c>
      <c r="P160" s="13" t="e">
        <f t="shared" si="141"/>
        <v>#NUM!</v>
      </c>
      <c r="Q160" s="20" t="e">
        <f t="shared" si="162"/>
        <v>#NUM!</v>
      </c>
      <c r="R160" s="57" t="e">
        <f t="shared" si="109"/>
        <v>#NUM!</v>
      </c>
      <c r="S160" s="57">
        <f ca="1">AVERAGE(OFFSET($R$3,0,0,'Données projet'!$E$9+1,1))-AVERAGE(OFFSET($H$3,0,0,'Données projet'!$E$9+1,1))</f>
        <v>332.70145542047612</v>
      </c>
      <c r="T160" s="57">
        <f t="shared" si="142"/>
        <v>172.22433737900428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54.563172318408775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54.563172318408775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68.942549966785592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>
        <f>VLOOKUP(A160,'Données projet'!$A$61:$I$81,2,0)</f>
        <v>167.77</v>
      </c>
      <c r="AG160" s="12">
        <f>VLOOKUP(A160,'Données projet'!$A$61:$I$81,9,0)</f>
        <v>2.3049999999999997</v>
      </c>
      <c r="AH160" s="12">
        <f t="array" ref="AH160">INDEX(AG:AG,MIN(IF(ISNUMBER(AG160:AG356),ROW(AG160:AG356),"")))</f>
        <v>2.3049999999999997</v>
      </c>
      <c r="AI160" s="13">
        <f>IF('Données projet'!$A$62&gt;35,AI159+AH160-AQ159,IF(A160&lt;'Données projet'!$A$62,$AF$205^A160,IF(A160='Données projet'!$A$62,'Données projet'!$B$62,AI159+AH160-AQ159)))</f>
        <v>167.7699999999997</v>
      </c>
      <c r="AJ160" s="13">
        <f>AI160*VLOOKUP('Données projet'!$B$10,Paramètres!$A$1:$I$89,3,0)*VLOOKUP('Données projet'!$B$10,Paramètres!$A$1:$I$89,5,0)</f>
        <v>151.79829599999971</v>
      </c>
      <c r="AK160" s="13">
        <f t="shared" si="164"/>
        <v>38.986970959529813</v>
      </c>
      <c r="AL160" s="20">
        <f t="shared" si="165"/>
        <v>332.28433995451388</v>
      </c>
      <c r="AM160" s="57">
        <f t="shared" si="113"/>
        <v>621.74035649939435</v>
      </c>
      <c r="AN160" s="57">
        <f ca="1">AVERAGE(OFFSET($AM$3,0,0,'Données projet'!$E$10+1,1))-AVERAGE(OFFSET($H$3,0,0,'Données projet'!$E$10+1,1))</f>
        <v>469.4210143164521</v>
      </c>
      <c r="AO160" s="57">
        <f t="shared" si="144"/>
        <v>308.4508386530556</v>
      </c>
      <c r="AP160" s="15">
        <f>IF(ISNA(VLOOKUP(A160,'Données projet'!$A$61:$I$81,3,0)),0,VLOOKUP(A160,'Données projet'!$A$61:$I$81,3,0))</f>
        <v>14</v>
      </c>
      <c r="AQ160" s="15">
        <f>IF(ISNA(VLOOKUP(A160,'Données projet'!$A$61:$I$81,4,0)),0,VLOOKUP(A160,'Données projet'!$A$61:$I$81,4,0))</f>
        <v>57.95</v>
      </c>
      <c r="AR160" s="16">
        <f>IF(ISNA(VLOOKUP(A160,'Données projet'!$A$61:$I$81,5,0)),0%,VLOOKUP(A160,'Données projet'!$A$61:$I$81,5,0)*VLOOKUP('Données projet'!$B$10,Paramètres!$A$1:$I$89,7,0))</f>
        <v>0.30099999999999999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118.15333490147823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118.15333490147823</v>
      </c>
      <c r="AY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68.942549966785592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7" t="e">
        <f t="shared" si="116"/>
        <v>#NUM!</v>
      </c>
      <c r="BI160" s="57">
        <f ca="1">AVERAGE(OFFSET($BH$3,0,0,'Données projet'!$E$11+1,1))-AVERAGE(OFFSET($H$3,0,0,'Données projet'!$E$11+1,1))</f>
        <v>344.32981377462971</v>
      </c>
      <c r="BJ160" s="57">
        <f t="shared" si="146"/>
        <v>334.42512656625763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25.265506957337376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25.265506957337376</v>
      </c>
      <c r="BT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68.942549966785592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4.5474735088646412E-13</v>
      </c>
      <c r="BZ160" s="13">
        <f>BY160*VLOOKUP('Données projet'!$B$12,Paramètres!$A$1:$I$89,3,0)*VLOOKUP('Données projet'!$B$12,Paramètres!$A$1:$I$89,5,0)</f>
        <v>4.3273757910355926E-13</v>
      </c>
      <c r="CA160" s="13">
        <f t="shared" si="170"/>
        <v>5.4817614357080839E-12</v>
      </c>
      <c r="CB160" s="20">
        <f t="shared" si="171"/>
        <v>1.0301085784130276E-11</v>
      </c>
      <c r="CC160" s="57">
        <f t="shared" si="119"/>
        <v>289.45601654489076</v>
      </c>
      <c r="CD160" s="57">
        <f ca="1">AVERAGE(OFFSET($CC$3,0,0,'Données projet'!$E$12+1,1))-AVERAGE(OFFSET($H$3,0,0,'Données projet'!$E$12+1,1))</f>
        <v>498.77732039282807</v>
      </c>
      <c r="CE160" s="57">
        <f t="shared" si="148"/>
        <v>384.57317421826531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88.939376511854377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88.939376511854377</v>
      </c>
      <c r="CO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68.942549966785592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>
        <f>VLOOKUP(A160,'Données projet'!$A$139:$I$159,2,0)</f>
        <v>167.77</v>
      </c>
      <c r="CR160" s="12">
        <f>VLOOKUP(A160,'Données projet'!$A$139:$I$159,9,0)</f>
        <v>2.3049999999999997</v>
      </c>
      <c r="CS160" s="12">
        <f t="array" ref="CS160">INDEX(CR:CR,MIN(IF(ISNUMBER(CR160:CR356),ROW(CR160:CR356),"")))</f>
        <v>2.3049999999999997</v>
      </c>
      <c r="CT160" s="12">
        <f>IF('Données projet'!$A$140&gt;35,CT159+CS160-DB159,IF(A160&lt;'Données projet'!$A$140,$CQ$205^A160,IF(A160='Données projet'!$A$140,'Données projet'!$B$140,CT159+CS160-DB159)))</f>
        <v>167.7699999999997</v>
      </c>
      <c r="CU160" s="17">
        <f>CT160*VLOOKUP('Données projet'!$B$13,Paramètres!$A$1:$I$89,3,0)*VLOOKUP('Données projet'!$B$13,Paramètres!$A$1:$I$89,5,0)</f>
        <v>112.5401159999998</v>
      </c>
      <c r="CV160" s="13">
        <f t="shared" si="173"/>
        <v>29.92865822614953</v>
      </c>
      <c r="CW160" s="20">
        <f t="shared" si="174"/>
        <v>248.1331151105434</v>
      </c>
      <c r="CX160" s="57">
        <f t="shared" si="122"/>
        <v>537.5891316554239</v>
      </c>
      <c r="CY160" s="57">
        <f ca="1">AVERAGE(OFFSET($CX$3,0,0,'Données projet'!$E$13+1,1))-AVERAGE(OFFSET($H$3,0,0,'Données projet'!$E$13+1,1))</f>
        <v>365.99625753737246</v>
      </c>
      <c r="CZ160" s="57">
        <f t="shared" si="150"/>
        <v>242.84814712692287</v>
      </c>
      <c r="DA160" s="15">
        <f>IF(ISNA(VLOOKUP(A160,'Données projet'!$A$139:$I$159,3,0)),0,VLOOKUP(A160,'Données projet'!$A$139:$I$159,3,0))</f>
        <v>14</v>
      </c>
      <c r="DB160" s="15">
        <f>IF(ISNA(VLOOKUP(A160,'Données projet'!$A$139:$I$159,4,0)),0,VLOOKUP(A160,'Données projet'!$A$139:$I$159,4,0))</f>
        <v>57.95</v>
      </c>
      <c r="DC160" s="16">
        <f>IF(ISNA(VLOOKUP(A160,'Données projet'!$A$139:$I$159,5,0)),0%,VLOOKUP(A160,'Données projet'!$A$139:$I$159,5,0)*VLOOKUP('Données projet'!$B$13,Paramètres!$A$1:$I$89,7,0))</f>
        <v>0.371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107.96770258238526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107.96770258238526</v>
      </c>
      <c r="DJ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68.942549966785592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2.2737367544323206E-13</v>
      </c>
      <c r="DP160" s="17">
        <f>DO160*VLOOKUP('Données projet'!$B$14,Paramètres!$A$1:$I$89,3,0)*VLOOKUP('Données projet'!$B$14,Paramètres!$A$1:$I$89,5,0)</f>
        <v>1.4897523215040565E-13</v>
      </c>
      <c r="DQ160" s="13">
        <f t="shared" si="176"/>
        <v>2.136562777003313E-12</v>
      </c>
      <c r="DR160" s="20">
        <f t="shared" si="177"/>
        <v>3.9806453659427267E-12</v>
      </c>
      <c r="DS160" s="57">
        <f t="shared" si="125"/>
        <v>289.45601654488445</v>
      </c>
      <c r="DT160" s="57">
        <f ca="1">AVERAGE(OFFSET($DS$3,0,0,'Données projet'!$E$14+1,1))-AVERAGE(OFFSET($H$3,0,0,'Données projet'!$E$14+1,1))</f>
        <v>313.79279628660527</v>
      </c>
      <c r="DU160" s="57">
        <f t="shared" si="152"/>
        <v>317.45469955216254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24.547782539678742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24.547782539678742</v>
      </c>
      <c r="EE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68.942549966785592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-1.1368683772161603E-13</v>
      </c>
      <c r="EK160" s="17">
        <f>EJ160*VLOOKUP('Données projet'!$B$15,Paramètres!$A$1:$I$89,3,0)*VLOOKUP('Données projet'!$B$15,Paramètres!$A$1:$I$89,5,0)</f>
        <v>-9.7543306765146564E-14</v>
      </c>
      <c r="EL160" s="13" t="e">
        <f t="shared" si="179"/>
        <v>#NUM!</v>
      </c>
      <c r="EM160" s="20" t="e">
        <f t="shared" si="180"/>
        <v>#NUM!</v>
      </c>
      <c r="EN160" s="57" t="e">
        <f t="shared" si="128"/>
        <v>#NUM!</v>
      </c>
      <c r="EO160" s="57">
        <f ca="1">AVERAGE(OFFSET($EN$3,0,0,'Données projet'!$E$15+1,1))-AVERAGE(OFFSET($H$3,0,0,'Données projet'!$E$15+1,1))</f>
        <v>643.04899298561475</v>
      </c>
      <c r="EP160" s="57">
        <f t="shared" si="154"/>
        <v>474.94999304483031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90.989638284724137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90.989638284724137</v>
      </c>
      <c r="EZ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68.942549966785592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>
        <f>FE160*VLOOKUP('Données projet'!$B$16,Paramètres!$A$1:$I$89,3,0)*VLOOKUP('Données projet'!$B$16,Paramètres!$A$1:$I$89,5,0)</f>
        <v>0</v>
      </c>
      <c r="FG160" s="13" t="e">
        <f t="shared" si="182"/>
        <v>#NUM!</v>
      </c>
      <c r="FH160" s="20" t="e">
        <f t="shared" si="183"/>
        <v>#NUM!</v>
      </c>
      <c r="FI160" s="57" t="e">
        <f t="shared" si="131"/>
        <v>#NUM!</v>
      </c>
      <c r="FJ160" s="57">
        <f ca="1">AVERAGE(OFFSET($FI$3,0,0,'Données projet'!$E$16+1,1))-AVERAGE(OFFSET($H$3,0,0,'Données projet'!$E$16+1,1))</f>
        <v>375.34603719604439</v>
      </c>
      <c r="FK160" s="57">
        <f t="shared" si="156"/>
        <v>363.99476973672211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34.454100531628804</v>
      </c>
      <c r="FR160" s="21">
        <f>EXP(-LN(2)/25)*FR159+(1-EXP(-LN(2)/25))/(LN(2)/25)*Calculateur!FM160*Calculateur!FO160*VLOOKUP('Données projet'!$B$16,Paramètres!$A$1:$I$89,3,0)*0.475*44/12</f>
        <v>0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34.454100531628804</v>
      </c>
      <c r="FU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68.942549966785592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-1.1368683772161603E-13</v>
      </c>
      <c r="GA160" s="17">
        <f>FZ160*VLOOKUP('Données projet'!$B$17,Paramètres!$A$1:$I$89,3,0)*VLOOKUP('Données projet'!$B$17,Paramètres!$A$1:$I$89,5,0)</f>
        <v>-6.3550942286383367E-14</v>
      </c>
      <c r="GB160" s="13" t="e">
        <f t="shared" si="185"/>
        <v>#NUM!</v>
      </c>
      <c r="GC160" s="20" t="e">
        <f t="shared" si="186"/>
        <v>#NUM!</v>
      </c>
      <c r="GD160" s="57" t="e">
        <f t="shared" si="134"/>
        <v>#NUM!</v>
      </c>
      <c r="GE160" s="57">
        <f ca="1">AVERAGE(OFFSET($GD$3,0,0,'Données projet'!$E$17+1,1))-AVERAGE(OFFSET($H$3,0,0,'Données projet'!$E$17+1,1))</f>
        <v>414.47327143450701</v>
      </c>
      <c r="GF160" s="57">
        <f t="shared" si="158"/>
        <v>546.83385887302961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39.166009756441369</v>
      </c>
      <c r="GM160" s="21">
        <f>EXP(-LN(2)/25)*GM159+(1-EXP(-LN(2)/25))/(LN(2)/25)*Calculateur!GH160*Calculateur!GJ160*VLOOKUP('Données projet'!$B$17,Paramètres!$A$1:$I$89,3,0)*0.475*44/12</f>
        <v>3.6615228243992841</v>
      </c>
      <c r="GN160" s="21">
        <f>EXP(-LN(2)/2)*GN159+(1-EXP(-LN(2)/2))/(LN(2)/2)*GH160*GK160*VLOOKUP('Données projet'!$B$17,Paramètres!$A$1:$I$89,3,0)*0.475*44/12</f>
        <v>1.3046516967242538E-14</v>
      </c>
      <c r="GO160" s="21">
        <f t="shared" si="187"/>
        <v>42.827532580840668</v>
      </c>
      <c r="GP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68.942549966785592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-2.2737367544323206E-13</v>
      </c>
      <c r="GV160" s="17">
        <f>GU160*VLOOKUP('Données projet'!$B$18,Paramètres!$A$1:$I$89,3,0)*VLOOKUP('Données projet'!$B$18,Paramètres!$A$1:$I$89,5,0)</f>
        <v>-1.2414602679200471E-13</v>
      </c>
      <c r="GW160" s="13" t="e">
        <f t="shared" si="188"/>
        <v>#NUM!</v>
      </c>
      <c r="GX160" s="20" t="e">
        <f t="shared" si="189"/>
        <v>#NUM!</v>
      </c>
      <c r="GY160" s="57" t="e">
        <f t="shared" si="137"/>
        <v>#NUM!</v>
      </c>
      <c r="GZ160" s="57">
        <f ca="1">AVERAGE(OFFSET($GY$3,0,0,'Données projet'!$E$18+1,1))-AVERAGE(OFFSET($H$3,0,0,'Données projet'!$E$18+1,1))</f>
        <v>381.00532469288714</v>
      </c>
      <c r="HA160" s="57">
        <f t="shared" si="160"/>
        <v>314.875259641757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>
        <f>EXP(-LN(2)/35)*HG159+(1-EXP(-LN(2)/35))/(LN(2)/35)*HC160*HD160*VLOOKUP('Données projet'!$B$18,Paramètres!$A$1:$I$89,3,0)*0.475*44/12</f>
        <v>65.980864240288312</v>
      </c>
      <c r="HH160" s="21">
        <f>EXP(-LN(2)/25)*HH159+(1-EXP(-LN(2)/25))/(LN(2)/25)*Calculateur!HC160*Calculateur!HE160*VLOOKUP('Données projet'!$B$18,Paramètres!$A$1:$I$89,3,0)*0.475*44/12</f>
        <v>6.7933863393132103</v>
      </c>
      <c r="HI160" s="21">
        <f>EXP(-LN(2)/2)*HI159+(1-EXP(-LN(2)/2))/(LN(2)/2)*HC160*HF160*VLOOKUP('Données projet'!$B$18,Paramètres!$A$1:$I$89,3,0)*0.475*44/12</f>
        <v>6.5782781589828323E-8</v>
      </c>
      <c r="HJ160" s="22">
        <f t="shared" si="190"/>
        <v>72.774250645384313</v>
      </c>
    </row>
    <row r="161" spans="1:218" x14ac:dyDescent="0.2">
      <c r="A161" s="10">
        <f t="shared" si="161"/>
        <v>158</v>
      </c>
      <c r="B161" s="71">
        <f>'Scénario référence'!$B$16*5+'Scénario référence'!$B$17*0+'Scénario référence'!$B$18*5</f>
        <v>3.3000000000000003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12.100000000000001</v>
      </c>
      <c r="H161" s="65">
        <f t="shared" si="110"/>
        <v>208.26666666666665</v>
      </c>
      <c r="I161" s="6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68.960894360757763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-1.1527845344971866E-13</v>
      </c>
      <c r="P161" s="13" t="e">
        <f t="shared" si="141"/>
        <v>#NUM!</v>
      </c>
      <c r="Q161" s="20" t="e">
        <f t="shared" si="162"/>
        <v>#NUM!</v>
      </c>
      <c r="R161" s="57" t="e">
        <f t="shared" si="109"/>
        <v>#NUM!</v>
      </c>
      <c r="S161" s="57">
        <f ca="1">AVERAGE(OFFSET($R$3,0,0,'Données projet'!$E$9+1,1))-AVERAGE(OFFSET($H$3,0,0,'Données projet'!$E$9+1,1))</f>
        <v>332.70145542047612</v>
      </c>
      <c r="T161" s="57">
        <f t="shared" si="142"/>
        <v>172.22433737900428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53.493221789493738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53.493221789493738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68.960894360757763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1.4024999999999999</v>
      </c>
      <c r="AI161" s="13">
        <f>IF('Données projet'!$A$62&gt;35,AI160+AH161-AQ160,IF(A161&lt;'Données projet'!$A$62,$AF$205^A161,IF(A161='Données projet'!$A$62,'Données projet'!$B$62,AI160+AH161-AQ160)))</f>
        <v>111.2224999999997</v>
      </c>
      <c r="AJ161" s="13">
        <f>AI161*VLOOKUP('Données projet'!$B$10,Paramètres!$A$1:$I$89,3,0)*VLOOKUP('Données projet'!$B$10,Paramètres!$A$1:$I$89,5,0)</f>
        <v>100.63411799999972</v>
      </c>
      <c r="AK161" s="13">
        <f t="shared" si="164"/>
        <v>27.113011795358847</v>
      </c>
      <c r="AL161" s="20">
        <f t="shared" si="165"/>
        <v>222.49291772691615</v>
      </c>
      <c r="AM161" s="57">
        <f t="shared" si="113"/>
        <v>512.0161970496946</v>
      </c>
      <c r="AN161" s="57">
        <f ca="1">AVERAGE(OFFSET($AM$3,0,0,'Données projet'!$E$10+1,1))-AVERAGE(OFFSET($H$3,0,0,'Données projet'!$E$10+1,1))</f>
        <v>469.4210143164521</v>
      </c>
      <c r="AO161" s="57">
        <f t="shared" si="144"/>
        <v>308.4508386530556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115.83642007047857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115.83642007047857</v>
      </c>
      <c r="AY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68.960894360757763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7" t="e">
        <f t="shared" si="116"/>
        <v>#NUM!</v>
      </c>
      <c r="BI161" s="57">
        <f ca="1">AVERAGE(OFFSET($BH$3,0,0,'Données projet'!$E$11+1,1))-AVERAGE(OFFSET($H$3,0,0,'Données projet'!$E$11+1,1))</f>
        <v>344.32981377462971</v>
      </c>
      <c r="BJ161" s="57">
        <f t="shared" si="146"/>
        <v>334.42512656625763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24.770065776341578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24.770065776341578</v>
      </c>
      <c r="BT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68.960894360757763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4.5474735088646412E-13</v>
      </c>
      <c r="BZ161" s="13">
        <f>BY161*VLOOKUP('Données projet'!$B$12,Paramètres!$A$1:$I$89,3,0)*VLOOKUP('Données projet'!$B$12,Paramètres!$A$1:$I$89,5,0)</f>
        <v>4.3273757910355926E-13</v>
      </c>
      <c r="CA161" s="13">
        <f t="shared" si="170"/>
        <v>5.4817614357080839E-12</v>
      </c>
      <c r="CB161" s="20">
        <f t="shared" si="171"/>
        <v>1.0301085784130276E-11</v>
      </c>
      <c r="CC161" s="57">
        <f t="shared" si="119"/>
        <v>289.52327932278877</v>
      </c>
      <c r="CD161" s="57">
        <f ca="1">AVERAGE(OFFSET($CC$3,0,0,'Données projet'!$E$12+1,1))-AVERAGE(OFFSET($H$3,0,0,'Données projet'!$E$12+1,1))</f>
        <v>498.77732039282807</v>
      </c>
      <c r="CE161" s="57">
        <f t="shared" si="148"/>
        <v>384.57317421826531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87.195329586120067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87.195329586120067</v>
      </c>
      <c r="CO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68.960894360757763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1.4024999999999999</v>
      </c>
      <c r="CT161" s="12">
        <f>IF('Données projet'!$A$140&gt;35,CT160+CS161-DB160,IF(A161&lt;'Données projet'!$A$140,$CQ$205^A161,IF(A161='Données projet'!$A$140,'Données projet'!$B$140,CT160+CS161-DB160)))</f>
        <v>111.2224999999997</v>
      </c>
      <c r="CU161" s="17">
        <f>CT161*VLOOKUP('Données projet'!$B$13,Paramètres!$A$1:$I$89,3,0)*VLOOKUP('Données projet'!$B$13,Paramètres!$A$1:$I$89,5,0)</f>
        <v>74.608052999999799</v>
      </c>
      <c r="CV161" s="13">
        <f t="shared" si="173"/>
        <v>20.813519068900799</v>
      </c>
      <c r="CW161" s="20">
        <f t="shared" si="174"/>
        <v>166.19257135333521</v>
      </c>
      <c r="CX161" s="57">
        <f t="shared" si="122"/>
        <v>455.71585067611369</v>
      </c>
      <c r="CY161" s="57">
        <f ca="1">AVERAGE(OFFSET($CX$3,0,0,'Données projet'!$E$13+1,1))-AVERAGE(OFFSET($H$3,0,0,'Données projet'!$E$13+1,1))</f>
        <v>365.99625753737246</v>
      </c>
      <c r="CZ161" s="57">
        <f t="shared" si="150"/>
        <v>242.84814712692287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105.85052178854073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105.85052178854073</v>
      </c>
      <c r="DJ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68.960894360757763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2.2737367544323206E-13</v>
      </c>
      <c r="DP161" s="17">
        <f>DO161*VLOOKUP('Données projet'!$B$14,Paramètres!$A$1:$I$89,3,0)*VLOOKUP('Données projet'!$B$14,Paramètres!$A$1:$I$89,5,0)</f>
        <v>1.4897523215040565E-13</v>
      </c>
      <c r="DQ161" s="13">
        <f t="shared" si="176"/>
        <v>2.136562777003313E-12</v>
      </c>
      <c r="DR161" s="20">
        <f t="shared" si="177"/>
        <v>3.9806453659427267E-12</v>
      </c>
      <c r="DS161" s="57">
        <f t="shared" si="125"/>
        <v>289.52327932278246</v>
      </c>
      <c r="DT161" s="57">
        <f ca="1">AVERAGE(OFFSET($DS$3,0,0,'Données projet'!$E$14+1,1))-AVERAGE(OFFSET($H$3,0,0,'Données projet'!$E$14+1,1))</f>
        <v>313.79279628660527</v>
      </c>
      <c r="DU161" s="57">
        <f t="shared" si="152"/>
        <v>317.45469955216254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24.066415496744565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24.066415496744565</v>
      </c>
      <c r="EE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68.960894360757763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-1.1368683772161603E-13</v>
      </c>
      <c r="EK161" s="17">
        <f>EJ161*VLOOKUP('Données projet'!$B$15,Paramètres!$A$1:$I$89,3,0)*VLOOKUP('Données projet'!$B$15,Paramètres!$A$1:$I$89,5,0)</f>
        <v>-9.7543306765146564E-14</v>
      </c>
      <c r="EL161" s="13" t="e">
        <f t="shared" si="179"/>
        <v>#NUM!</v>
      </c>
      <c r="EM161" s="20" t="e">
        <f t="shared" si="180"/>
        <v>#NUM!</v>
      </c>
      <c r="EN161" s="57" t="e">
        <f t="shared" si="128"/>
        <v>#NUM!</v>
      </c>
      <c r="EO161" s="57">
        <f ca="1">AVERAGE(OFFSET($EN$3,0,0,'Données projet'!$E$15+1,1))-AVERAGE(OFFSET($H$3,0,0,'Données projet'!$E$15+1,1))</f>
        <v>643.04899298561475</v>
      </c>
      <c r="EP161" s="57">
        <f t="shared" si="154"/>
        <v>474.94999304483031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89.205386976160057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89.205386976160057</v>
      </c>
      <c r="EZ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68.960894360757763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>
        <f>FE161*VLOOKUP('Données projet'!$B$16,Paramètres!$A$1:$I$89,3,0)*VLOOKUP('Données projet'!$B$16,Paramètres!$A$1:$I$89,5,0)</f>
        <v>0</v>
      </c>
      <c r="FG161" s="13" t="e">
        <f t="shared" si="182"/>
        <v>#NUM!</v>
      </c>
      <c r="FH161" s="20" t="e">
        <f t="shared" si="183"/>
        <v>#NUM!</v>
      </c>
      <c r="FI161" s="57" t="e">
        <f t="shared" si="131"/>
        <v>#NUM!</v>
      </c>
      <c r="FJ161" s="57">
        <f ca="1">AVERAGE(OFFSET($FI$3,0,0,'Données projet'!$E$16+1,1))-AVERAGE(OFFSET($H$3,0,0,'Données projet'!$E$16+1,1))</f>
        <v>375.34603719604439</v>
      </c>
      <c r="FK161" s="57">
        <f t="shared" si="156"/>
        <v>363.99476973672211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33.778476635129834</v>
      </c>
      <c r="FR161" s="21">
        <f>EXP(-LN(2)/25)*FR160+(1-EXP(-LN(2)/25))/(LN(2)/25)*Calculateur!FM161*Calculateur!FO161*VLOOKUP('Données projet'!$B$16,Paramètres!$A$1:$I$89,3,0)*0.475*44/12</f>
        <v>0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33.778476635129834</v>
      </c>
      <c r="FU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68.960894360757763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-1.1368683772161603E-13</v>
      </c>
      <c r="GA161" s="17">
        <f>FZ161*VLOOKUP('Données projet'!$B$17,Paramètres!$A$1:$I$89,3,0)*VLOOKUP('Données projet'!$B$17,Paramètres!$A$1:$I$89,5,0)</f>
        <v>-6.3550942286383367E-14</v>
      </c>
      <c r="GB161" s="13" t="e">
        <f t="shared" si="185"/>
        <v>#NUM!</v>
      </c>
      <c r="GC161" s="20" t="e">
        <f t="shared" si="186"/>
        <v>#NUM!</v>
      </c>
      <c r="GD161" s="57" t="e">
        <f t="shared" si="134"/>
        <v>#NUM!</v>
      </c>
      <c r="GE161" s="57">
        <f ca="1">AVERAGE(OFFSET($GD$3,0,0,'Données projet'!$E$17+1,1))-AVERAGE(OFFSET($H$3,0,0,'Données projet'!$E$17+1,1))</f>
        <v>414.47327143450701</v>
      </c>
      <c r="GF161" s="57">
        <f t="shared" si="158"/>
        <v>546.83385887302961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38.39798819402467</v>
      </c>
      <c r="GM161" s="21">
        <f>EXP(-LN(2)/25)*GM160+(1-EXP(-LN(2)/25))/(LN(2)/25)*Calculateur!GH161*Calculateur!GJ161*VLOOKUP('Données projet'!$B$17,Paramètres!$A$1:$I$89,3,0)*0.475*44/12</f>
        <v>3.561398290214969</v>
      </c>
      <c r="GN161" s="21">
        <f>EXP(-LN(2)/2)*GN160+(1-EXP(-LN(2)/2))/(LN(2)/2)*GH161*GK161*VLOOKUP('Données projet'!$B$17,Paramètres!$A$1:$I$89,3,0)*0.475*44/12</f>
        <v>9.2252806184025486E-15</v>
      </c>
      <c r="GO161" s="21">
        <f t="shared" si="187"/>
        <v>41.959386484239644</v>
      </c>
      <c r="GP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68.960894360757763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-2.2737367544323206E-13</v>
      </c>
      <c r="GV161" s="17">
        <f>GU161*VLOOKUP('Données projet'!$B$18,Paramètres!$A$1:$I$89,3,0)*VLOOKUP('Données projet'!$B$18,Paramètres!$A$1:$I$89,5,0)</f>
        <v>-1.2414602679200471E-13</v>
      </c>
      <c r="GW161" s="13" t="e">
        <f t="shared" si="188"/>
        <v>#NUM!</v>
      </c>
      <c r="GX161" s="20" t="e">
        <f t="shared" si="189"/>
        <v>#NUM!</v>
      </c>
      <c r="GY161" s="57" t="e">
        <f t="shared" si="137"/>
        <v>#NUM!</v>
      </c>
      <c r="GZ161" s="57">
        <f ca="1">AVERAGE(OFFSET($GY$3,0,0,'Données projet'!$E$18+1,1))-AVERAGE(OFFSET($H$3,0,0,'Données projet'!$E$18+1,1))</f>
        <v>381.00532469288714</v>
      </c>
      <c r="HA161" s="57">
        <f t="shared" si="160"/>
        <v>314.875259641757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>
        <f>EXP(-LN(2)/35)*HG160+(1-EXP(-LN(2)/35))/(LN(2)/35)*HC161*HD161*VLOOKUP('Données projet'!$B$18,Paramètres!$A$1:$I$89,3,0)*0.475*44/12</f>
        <v>64.687019736889638</v>
      </c>
      <c r="HH161" s="21">
        <f>EXP(-LN(2)/25)*HH160+(1-EXP(-LN(2)/25))/(LN(2)/25)*Calculateur!HC161*Calculateur!HE161*VLOOKUP('Données projet'!$B$18,Paramètres!$A$1:$I$89,3,0)*0.475*44/12</f>
        <v>6.6076208326160293</v>
      </c>
      <c r="HI161" s="21">
        <f>EXP(-LN(2)/2)*HI160+(1-EXP(-LN(2)/2))/(LN(2)/2)*HC161*HF161*VLOOKUP('Données projet'!$B$18,Paramètres!$A$1:$I$89,3,0)*0.475*44/12</f>
        <v>4.6515450947481183E-8</v>
      </c>
      <c r="HJ161" s="22">
        <f t="shared" si="190"/>
        <v>71.294640616021127</v>
      </c>
    </row>
    <row r="162" spans="1:218" x14ac:dyDescent="0.2">
      <c r="A162" s="10">
        <f t="shared" si="161"/>
        <v>159</v>
      </c>
      <c r="B162" s="71">
        <f>'Scénario référence'!$B$16*5+'Scénario référence'!$B$17*0+'Scénario référence'!$B$18*5</f>
        <v>3.3000000000000003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12.100000000000001</v>
      </c>
      <c r="H162" s="65">
        <f t="shared" si="110"/>
        <v>208.26666666666665</v>
      </c>
      <c r="I162" s="6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68.978920520506421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-1.1527845344971866E-13</v>
      </c>
      <c r="P162" s="13" t="e">
        <f t="shared" si="141"/>
        <v>#NUM!</v>
      </c>
      <c r="Q162" s="20" t="e">
        <f t="shared" si="162"/>
        <v>#NUM!</v>
      </c>
      <c r="R162" s="57" t="e">
        <f t="shared" si="109"/>
        <v>#NUM!</v>
      </c>
      <c r="S162" s="57">
        <f ca="1">AVERAGE(OFFSET($R$3,0,0,'Données projet'!$E$9+1,1))-AVERAGE(OFFSET($H$3,0,0,'Données projet'!$E$9+1,1))</f>
        <v>332.70145542047612</v>
      </c>
      <c r="T162" s="57">
        <f t="shared" si="142"/>
        <v>172.22433737900428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52.444252337845349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52.444252337845349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68.978920520506421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1.4024999999999999</v>
      </c>
      <c r="AI162" s="13">
        <f>IF('Données projet'!$A$62&gt;35,AI161+AH162-AQ161,IF(A162&lt;'Données projet'!$A$62,$AF$205^A162,IF(A162='Données projet'!$A$62,'Données projet'!$B$62,AI161+AH162-AQ161)))</f>
        <v>112.6249999999997</v>
      </c>
      <c r="AJ162" s="13">
        <f>AI162*VLOOKUP('Données projet'!$B$10,Paramètres!$A$1:$I$89,3,0)*VLOOKUP('Données projet'!$B$10,Paramètres!$A$1:$I$89,5,0)</f>
        <v>101.90309999999972</v>
      </c>
      <c r="AK162" s="13">
        <f t="shared" si="164"/>
        <v>27.414886227568331</v>
      </c>
      <c r="AL162" s="20">
        <f t="shared" si="165"/>
        <v>225.22882601301433</v>
      </c>
      <c r="AM162" s="57">
        <f t="shared" si="113"/>
        <v>514.81820125487116</v>
      </c>
      <c r="AN162" s="57">
        <f ca="1">AVERAGE(OFFSET($AM$3,0,0,'Données projet'!$E$10+1,1))-AVERAGE(OFFSET($H$3,0,0,'Données projet'!$E$10+1,1))</f>
        <v>469.4210143164521</v>
      </c>
      <c r="AO162" s="57">
        <f t="shared" si="144"/>
        <v>308.4508386530556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113.5649385261363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113.5649385261363</v>
      </c>
      <c r="AY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68.978920520506421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7" t="e">
        <f t="shared" si="116"/>
        <v>#NUM!</v>
      </c>
      <c r="BI162" s="57">
        <f ca="1">AVERAGE(OFFSET($BH$3,0,0,'Données projet'!$E$11+1,1))-AVERAGE(OFFSET($H$3,0,0,'Données projet'!$E$11+1,1))</f>
        <v>344.32981377462971</v>
      </c>
      <c r="BJ162" s="57">
        <f t="shared" si="146"/>
        <v>334.42512656625763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24.284339894715828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24.284339894715828</v>
      </c>
      <c r="BT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68.978920520506421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4.5474735088646412E-13</v>
      </c>
      <c r="BZ162" s="13">
        <f>BY162*VLOOKUP('Données projet'!$B$12,Paramètres!$A$1:$I$89,3,0)*VLOOKUP('Données projet'!$B$12,Paramètres!$A$1:$I$89,5,0)</f>
        <v>4.3273757910355926E-13</v>
      </c>
      <c r="CA162" s="13">
        <f t="shared" si="170"/>
        <v>5.4817614357080839E-12</v>
      </c>
      <c r="CB162" s="20">
        <f t="shared" si="171"/>
        <v>1.0301085784130276E-11</v>
      </c>
      <c r="CC162" s="57">
        <f t="shared" si="119"/>
        <v>289.58937524186717</v>
      </c>
      <c r="CD162" s="57">
        <f ca="1">AVERAGE(OFFSET($CC$3,0,0,'Données projet'!$E$12+1,1))-AVERAGE(OFFSET($H$3,0,0,'Données projet'!$E$12+1,1))</f>
        <v>498.77732039282807</v>
      </c>
      <c r="CE162" s="57">
        <f t="shared" si="148"/>
        <v>384.57317421826531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85.485482356835831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85.485482356835831</v>
      </c>
      <c r="CO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68.978920520506421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1.4024999999999999</v>
      </c>
      <c r="CT162" s="12">
        <f>IF('Données projet'!$A$140&gt;35,CT161+CS162-DB161,IF(A162&lt;'Données projet'!$A$140,$CQ$205^A162,IF(A162='Données projet'!$A$140,'Données projet'!$B$140,CT161+CS162-DB161)))</f>
        <v>112.6249999999997</v>
      </c>
      <c r="CU162" s="17">
        <f>CT162*VLOOKUP('Données projet'!$B$13,Paramètres!$A$1:$I$89,3,0)*VLOOKUP('Données projet'!$B$13,Paramètres!$A$1:$I$89,5,0)</f>
        <v>75.548849999999803</v>
      </c>
      <c r="CV162" s="13">
        <f t="shared" si="173"/>
        <v>21.045255376863512</v>
      </c>
      <c r="CW162" s="20">
        <f t="shared" si="174"/>
        <v>168.23473353137027</v>
      </c>
      <c r="CX162" s="57">
        <f t="shared" si="122"/>
        <v>457.82410877322718</v>
      </c>
      <c r="CY162" s="57">
        <f ca="1">AVERAGE(OFFSET($CX$3,0,0,'Données projet'!$E$13+1,1))-AVERAGE(OFFSET($H$3,0,0,'Données projet'!$E$13+1,1))</f>
        <v>365.99625753737246</v>
      </c>
      <c r="CZ162" s="57">
        <f t="shared" si="150"/>
        <v>242.84814712692287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103.77485761871073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103.77485761871073</v>
      </c>
      <c r="DJ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68.978920520506421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2.2737367544323206E-13</v>
      </c>
      <c r="DP162" s="17">
        <f>DO162*VLOOKUP('Données projet'!$B$14,Paramètres!$A$1:$I$89,3,0)*VLOOKUP('Données projet'!$B$14,Paramètres!$A$1:$I$89,5,0)</f>
        <v>1.4897523215040565E-13</v>
      </c>
      <c r="DQ162" s="13">
        <f t="shared" si="176"/>
        <v>2.136562777003313E-12</v>
      </c>
      <c r="DR162" s="20">
        <f t="shared" si="177"/>
        <v>3.9806453659427267E-12</v>
      </c>
      <c r="DS162" s="57">
        <f t="shared" si="125"/>
        <v>289.58937524186086</v>
      </c>
      <c r="DT162" s="57">
        <f ca="1">AVERAGE(OFFSET($DS$3,0,0,'Données projet'!$E$14+1,1))-AVERAGE(OFFSET($H$3,0,0,'Données projet'!$E$14+1,1))</f>
        <v>313.79279628660527</v>
      </c>
      <c r="DU162" s="57">
        <f t="shared" si="152"/>
        <v>317.45469955216254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23.594487767917421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23.594487767917421</v>
      </c>
      <c r="EE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68.978920520506421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-1.1368683772161603E-13</v>
      </c>
      <c r="EK162" s="17">
        <f>EJ162*VLOOKUP('Données projet'!$B$15,Paramètres!$A$1:$I$89,3,0)*VLOOKUP('Données projet'!$B$15,Paramètres!$A$1:$I$89,5,0)</f>
        <v>-9.7543306765146564E-14</v>
      </c>
      <c r="EL162" s="13" t="e">
        <f t="shared" si="179"/>
        <v>#NUM!</v>
      </c>
      <c r="EM162" s="20" t="e">
        <f t="shared" si="180"/>
        <v>#NUM!</v>
      </c>
      <c r="EN162" s="57" t="e">
        <f t="shared" si="128"/>
        <v>#NUM!</v>
      </c>
      <c r="EO162" s="57">
        <f ca="1">AVERAGE(OFFSET($EN$3,0,0,'Données projet'!$E$15+1,1))-AVERAGE(OFFSET($H$3,0,0,'Données projet'!$E$15+1,1))</f>
        <v>643.04899298561475</v>
      </c>
      <c r="EP162" s="57">
        <f t="shared" si="154"/>
        <v>474.94999304483031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87.456123747471082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87.456123747471082</v>
      </c>
      <c r="EZ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68.978920520506421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>
        <f>FE162*VLOOKUP('Données projet'!$B$16,Paramètres!$A$1:$I$89,3,0)*VLOOKUP('Données projet'!$B$16,Paramètres!$A$1:$I$89,5,0)</f>
        <v>0</v>
      </c>
      <c r="FG162" s="13" t="e">
        <f t="shared" si="182"/>
        <v>#NUM!</v>
      </c>
      <c r="FH162" s="20" t="e">
        <f t="shared" si="183"/>
        <v>#NUM!</v>
      </c>
      <c r="FI162" s="57" t="e">
        <f t="shared" si="131"/>
        <v>#NUM!</v>
      </c>
      <c r="FJ162" s="57">
        <f ca="1">AVERAGE(OFFSET($FI$3,0,0,'Données projet'!$E$16+1,1))-AVERAGE(OFFSET($H$3,0,0,'Données projet'!$E$16+1,1))</f>
        <v>375.34603719604439</v>
      </c>
      <c r="FK162" s="57">
        <f t="shared" si="156"/>
        <v>363.99476973672211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33.116101311151326</v>
      </c>
      <c r="FR162" s="21">
        <f>EXP(-LN(2)/25)*FR161+(1-EXP(-LN(2)/25))/(LN(2)/25)*Calculateur!FM162*Calculateur!FO162*VLOOKUP('Données projet'!$B$16,Paramètres!$A$1:$I$89,3,0)*0.475*44/12</f>
        <v>0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33.116101311151326</v>
      </c>
      <c r="FU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68.978920520506421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-1.1368683772161603E-13</v>
      </c>
      <c r="GA162" s="17">
        <f>FZ162*VLOOKUP('Données projet'!$B$17,Paramètres!$A$1:$I$89,3,0)*VLOOKUP('Données projet'!$B$17,Paramètres!$A$1:$I$89,5,0)</f>
        <v>-6.3550942286383367E-14</v>
      </c>
      <c r="GB162" s="13" t="e">
        <f t="shared" si="185"/>
        <v>#NUM!</v>
      </c>
      <c r="GC162" s="20" t="e">
        <f t="shared" si="186"/>
        <v>#NUM!</v>
      </c>
      <c r="GD162" s="57" t="e">
        <f t="shared" si="134"/>
        <v>#NUM!</v>
      </c>
      <c r="GE162" s="57">
        <f ca="1">AVERAGE(OFFSET($GD$3,0,0,'Données projet'!$E$17+1,1))-AVERAGE(OFFSET($H$3,0,0,'Données projet'!$E$17+1,1))</f>
        <v>414.47327143450701</v>
      </c>
      <c r="GF162" s="57">
        <f t="shared" si="158"/>
        <v>546.83385887302961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37.645027066000068</v>
      </c>
      <c r="GM162" s="21">
        <f>EXP(-LN(2)/25)*GM161+(1-EXP(-LN(2)/25))/(LN(2)/25)*Calculateur!GH162*Calculateur!GJ162*VLOOKUP('Données projet'!$B$17,Paramètres!$A$1:$I$89,3,0)*0.475*44/12</f>
        <v>3.4640116666832443</v>
      </c>
      <c r="GN162" s="21">
        <f>EXP(-LN(2)/2)*GN161+(1-EXP(-LN(2)/2))/(LN(2)/2)*GH162*GK162*VLOOKUP('Données projet'!$B$17,Paramètres!$A$1:$I$89,3,0)*0.475*44/12</f>
        <v>6.5232584836212688E-15</v>
      </c>
      <c r="GO162" s="21">
        <f t="shared" si="187"/>
        <v>41.109038732683317</v>
      </c>
      <c r="GP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68.978920520506421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-2.2737367544323206E-13</v>
      </c>
      <c r="GV162" s="17">
        <f>GU162*VLOOKUP('Données projet'!$B$18,Paramètres!$A$1:$I$89,3,0)*VLOOKUP('Données projet'!$B$18,Paramètres!$A$1:$I$89,5,0)</f>
        <v>-1.2414602679200471E-13</v>
      </c>
      <c r="GW162" s="13" t="e">
        <f t="shared" si="188"/>
        <v>#NUM!</v>
      </c>
      <c r="GX162" s="20" t="e">
        <f t="shared" si="189"/>
        <v>#NUM!</v>
      </c>
      <c r="GY162" s="57" t="e">
        <f t="shared" si="137"/>
        <v>#NUM!</v>
      </c>
      <c r="GZ162" s="57">
        <f ca="1">AVERAGE(OFFSET($GY$3,0,0,'Données projet'!$E$18+1,1))-AVERAGE(OFFSET($H$3,0,0,'Données projet'!$E$18+1,1))</f>
        <v>381.00532469288714</v>
      </c>
      <c r="HA162" s="57">
        <f t="shared" si="160"/>
        <v>314.875259641757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>
        <f>EXP(-LN(2)/35)*HG161+(1-EXP(-LN(2)/35))/(LN(2)/35)*HC162*HD162*VLOOKUP('Données projet'!$B$18,Paramètres!$A$1:$I$89,3,0)*0.475*44/12</f>
        <v>63.418546735035399</v>
      </c>
      <c r="HH162" s="21">
        <f>EXP(-LN(2)/25)*HH161+(1-EXP(-LN(2)/25))/(LN(2)/25)*Calculateur!HC162*Calculateur!HE162*VLOOKUP('Données projet'!$B$18,Paramètres!$A$1:$I$89,3,0)*0.475*44/12</f>
        <v>6.4269350934684661</v>
      </c>
      <c r="HI162" s="21">
        <f>EXP(-LN(2)/2)*HI161+(1-EXP(-LN(2)/2))/(LN(2)/2)*HC162*HF162*VLOOKUP('Données projet'!$B$18,Paramètres!$A$1:$I$89,3,0)*0.475*44/12</f>
        <v>3.2891390794914161E-8</v>
      </c>
      <c r="HJ162" s="22">
        <f t="shared" si="190"/>
        <v>69.845481861395257</v>
      </c>
    </row>
    <row r="163" spans="1:218" x14ac:dyDescent="0.2">
      <c r="A163" s="10">
        <f t="shared" si="161"/>
        <v>160</v>
      </c>
      <c r="B163" s="71">
        <f>'Scénario référence'!$B$16*5+'Scénario référence'!$B$17*0+'Scénario référence'!$B$18*5</f>
        <v>3.3000000000000003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12.100000000000001</v>
      </c>
      <c r="H163" s="65">
        <f t="shared" si="110"/>
        <v>208.26666666666665</v>
      </c>
      <c r="I163" s="6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68.996633966683902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-1.1527845344971866E-13</v>
      </c>
      <c r="P163" s="13" t="e">
        <f t="shared" si="141"/>
        <v>#NUM!</v>
      </c>
      <c r="Q163" s="20" t="e">
        <f t="shared" si="162"/>
        <v>#NUM!</v>
      </c>
      <c r="R163" s="57" t="e">
        <f t="shared" si="109"/>
        <v>#NUM!</v>
      </c>
      <c r="S163" s="57">
        <f ca="1">AVERAGE(OFFSET($R$3,0,0,'Données projet'!$E$9+1,1))-AVERAGE(OFFSET($H$3,0,0,'Données projet'!$E$9+1,1))</f>
        <v>332.70145542047612</v>
      </c>
      <c r="T163" s="57">
        <f t="shared" si="142"/>
        <v>172.22433737900428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51.415852537335589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51.415852537335589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68.996633966683902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1.4024999999999999</v>
      </c>
      <c r="AI163" s="13">
        <f>IF('Données projet'!$A$62&gt;35,AI162+AH163-AQ162,IF(A163&lt;'Données projet'!$A$62,$AF$205^A163,IF(A163='Données projet'!$A$62,'Données projet'!$B$62,AI162+AH163-AQ162)))</f>
        <v>114.0274999999997</v>
      </c>
      <c r="AJ163" s="13">
        <f>AI163*VLOOKUP('Données projet'!$B$10,Paramètres!$A$1:$I$89,3,0)*VLOOKUP('Données projet'!$B$10,Paramètres!$A$1:$I$89,5,0)</f>
        <v>103.17208199999973</v>
      </c>
      <c r="AK163" s="13">
        <f t="shared" si="164"/>
        <v>27.716323394967262</v>
      </c>
      <c r="AL163" s="20">
        <f t="shared" si="165"/>
        <v>227.96397272956747</v>
      </c>
      <c r="AM163" s="57">
        <f t="shared" si="113"/>
        <v>517.61829727407508</v>
      </c>
      <c r="AN163" s="57">
        <f ca="1">AVERAGE(OFFSET($AM$3,0,0,'Données projet'!$E$10+1,1))-AVERAGE(OFFSET($H$3,0,0,'Données projet'!$E$10+1,1))</f>
        <v>469.4210143164521</v>
      </c>
      <c r="AO163" s="57">
        <f t="shared" si="144"/>
        <v>308.4508386530556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111.33799934941165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111.33799934941165</v>
      </c>
      <c r="AY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68.996633966683902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7" t="e">
        <f t="shared" si="116"/>
        <v>#NUM!</v>
      </c>
      <c r="BI163" s="57">
        <f ca="1">AVERAGE(OFFSET($BH$3,0,0,'Données projet'!$E$11+1,1))-AVERAGE(OFFSET($H$3,0,0,'Données projet'!$E$11+1,1))</f>
        <v>344.32981377462971</v>
      </c>
      <c r="BJ163" s="57">
        <f t="shared" si="146"/>
        <v>334.42512656625763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23.808138801365224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23.808138801365224</v>
      </c>
      <c r="BT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68.996633966683902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4.5474735088646412E-13</v>
      </c>
      <c r="BZ163" s="13">
        <f>BY163*VLOOKUP('Données projet'!$B$12,Paramètres!$A$1:$I$89,3,0)*VLOOKUP('Données projet'!$B$12,Paramètres!$A$1:$I$89,5,0)</f>
        <v>4.3273757910355926E-13</v>
      </c>
      <c r="CA163" s="13">
        <f t="shared" si="170"/>
        <v>5.4817614357080839E-12</v>
      </c>
      <c r="CB163" s="20">
        <f t="shared" si="171"/>
        <v>1.0301085784130276E-11</v>
      </c>
      <c r="CC163" s="57">
        <f t="shared" si="119"/>
        <v>289.65432454451792</v>
      </c>
      <c r="CD163" s="57">
        <f ca="1">AVERAGE(OFFSET($CC$3,0,0,'Données projet'!$E$12+1,1))-AVERAGE(OFFSET($H$3,0,0,'Données projet'!$E$12+1,1))</f>
        <v>498.77732039282807</v>
      </c>
      <c r="CE163" s="57">
        <f t="shared" si="148"/>
        <v>384.57317421826531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83.809164188814023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83.809164188814023</v>
      </c>
      <c r="CO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68.996633966683902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1.4024999999999999</v>
      </c>
      <c r="CT163" s="12">
        <f>IF('Données projet'!$A$140&gt;35,CT162+CS163-DB162,IF(A163&lt;'Données projet'!$A$140,$CQ$205^A163,IF(A163='Données projet'!$A$140,'Données projet'!$B$140,CT162+CS163-DB162)))</f>
        <v>114.0274999999997</v>
      </c>
      <c r="CU163" s="17">
        <f>CT163*VLOOKUP('Données projet'!$B$13,Paramètres!$A$1:$I$89,3,0)*VLOOKUP('Données projet'!$B$13,Paramètres!$A$1:$I$89,5,0)</f>
        <v>76.489646999999806</v>
      </c>
      <c r="CV163" s="13">
        <f t="shared" si="173"/>
        <v>21.276656015017867</v>
      </c>
      <c r="CW163" s="20">
        <f t="shared" si="174"/>
        <v>170.27631108448909</v>
      </c>
      <c r="CX163" s="57">
        <f t="shared" si="122"/>
        <v>459.9306356289967</v>
      </c>
      <c r="CY163" s="57">
        <f ca="1">AVERAGE(OFFSET($CX$3,0,0,'Données projet'!$E$13+1,1))-AVERAGE(OFFSET($H$3,0,0,'Données projet'!$E$13+1,1))</f>
        <v>365.99625753737246</v>
      </c>
      <c r="CZ163" s="57">
        <f t="shared" si="150"/>
        <v>242.84814712692287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101.73989595722095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101.73989595722095</v>
      </c>
      <c r="DJ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68.996633966683902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2.2737367544323206E-13</v>
      </c>
      <c r="DP163" s="17">
        <f>DO163*VLOOKUP('Données projet'!$B$14,Paramètres!$A$1:$I$89,3,0)*VLOOKUP('Données projet'!$B$14,Paramètres!$A$1:$I$89,5,0)</f>
        <v>1.4897523215040565E-13</v>
      </c>
      <c r="DQ163" s="13">
        <f t="shared" si="176"/>
        <v>2.136562777003313E-12</v>
      </c>
      <c r="DR163" s="20">
        <f t="shared" si="177"/>
        <v>3.9806453659427267E-12</v>
      </c>
      <c r="DS163" s="57">
        <f t="shared" si="125"/>
        <v>289.65432454451161</v>
      </c>
      <c r="DT163" s="57">
        <f ca="1">AVERAGE(OFFSET($DS$3,0,0,'Données projet'!$E$14+1,1))-AVERAGE(OFFSET($H$3,0,0,'Données projet'!$E$14+1,1))</f>
        <v>313.79279628660527</v>
      </c>
      <c r="DU163" s="57">
        <f t="shared" si="152"/>
        <v>317.45469955216254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23.131814254005086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23.131814254005086</v>
      </c>
      <c r="EE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68.996633966683902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-1.1368683772161603E-13</v>
      </c>
      <c r="EK163" s="17">
        <f>EJ163*VLOOKUP('Données projet'!$B$15,Paramètres!$A$1:$I$89,3,0)*VLOOKUP('Données projet'!$B$15,Paramètres!$A$1:$I$89,5,0)</f>
        <v>-9.7543306765146564E-14</v>
      </c>
      <c r="EL163" s="13" t="e">
        <f t="shared" si="179"/>
        <v>#NUM!</v>
      </c>
      <c r="EM163" s="20" t="e">
        <f t="shared" si="180"/>
        <v>#NUM!</v>
      </c>
      <c r="EN163" s="57" t="e">
        <f t="shared" si="128"/>
        <v>#NUM!</v>
      </c>
      <c r="EO163" s="57">
        <f ca="1">AVERAGE(OFFSET($EN$3,0,0,'Données projet'!$E$15+1,1))-AVERAGE(OFFSET($H$3,0,0,'Données projet'!$E$15+1,1))</f>
        <v>643.04899298561475</v>
      </c>
      <c r="EP163" s="57">
        <f t="shared" si="154"/>
        <v>474.94999304483031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85.741162503751482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85.741162503751482</v>
      </c>
      <c r="EZ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68.996633966683902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>
        <f>FE163*VLOOKUP('Données projet'!$B$16,Paramètres!$A$1:$I$89,3,0)*VLOOKUP('Données projet'!$B$16,Paramètres!$A$1:$I$89,5,0)</f>
        <v>0</v>
      </c>
      <c r="FG163" s="13" t="e">
        <f t="shared" si="182"/>
        <v>#NUM!</v>
      </c>
      <c r="FH163" s="20" t="e">
        <f t="shared" si="183"/>
        <v>#NUM!</v>
      </c>
      <c r="FI163" s="57" t="e">
        <f t="shared" si="131"/>
        <v>#NUM!</v>
      </c>
      <c r="FJ163" s="57">
        <f ca="1">AVERAGE(OFFSET($FI$3,0,0,'Données projet'!$E$16+1,1))-AVERAGE(OFFSET($H$3,0,0,'Données projet'!$E$16+1,1))</f>
        <v>375.34603719604439</v>
      </c>
      <c r="FK163" s="57">
        <f t="shared" si="156"/>
        <v>363.99476973672211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32.466714763266978</v>
      </c>
      <c r="FR163" s="21">
        <f>EXP(-LN(2)/25)*FR162+(1-EXP(-LN(2)/25))/(LN(2)/25)*Calculateur!FM163*Calculateur!FO163*VLOOKUP('Données projet'!$B$16,Paramètres!$A$1:$I$89,3,0)*0.475*44/12</f>
        <v>0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32.466714763266978</v>
      </c>
      <c r="FU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68.996633966683902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-1.1368683772161603E-13</v>
      </c>
      <c r="GA163" s="17">
        <f>FZ163*VLOOKUP('Données projet'!$B$17,Paramètres!$A$1:$I$89,3,0)*VLOOKUP('Données projet'!$B$17,Paramètres!$A$1:$I$89,5,0)</f>
        <v>-6.3550942286383367E-14</v>
      </c>
      <c r="GB163" s="13" t="e">
        <f t="shared" si="185"/>
        <v>#NUM!</v>
      </c>
      <c r="GC163" s="20" t="e">
        <f t="shared" si="186"/>
        <v>#NUM!</v>
      </c>
      <c r="GD163" s="57" t="e">
        <f t="shared" si="134"/>
        <v>#NUM!</v>
      </c>
      <c r="GE163" s="57">
        <f ca="1">AVERAGE(OFFSET($GD$3,0,0,'Données projet'!$E$17+1,1))-AVERAGE(OFFSET($H$3,0,0,'Données projet'!$E$17+1,1))</f>
        <v>414.47327143450701</v>
      </c>
      <c r="GF163" s="57">
        <f t="shared" si="158"/>
        <v>546.83385887302961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36.906831046435087</v>
      </c>
      <c r="GM163" s="21">
        <f>EXP(-LN(2)/25)*GM162+(1-EXP(-LN(2)/25))/(LN(2)/25)*Calculateur!GH163*Calculateur!GJ163*VLOOKUP('Données projet'!$B$17,Paramètres!$A$1:$I$89,3,0)*0.475*44/12</f>
        <v>3.3692880854933347</v>
      </c>
      <c r="GN163" s="21">
        <f>EXP(-LN(2)/2)*GN162+(1-EXP(-LN(2)/2))/(LN(2)/2)*GH163*GK163*VLOOKUP('Données projet'!$B$17,Paramètres!$A$1:$I$89,3,0)*0.475*44/12</f>
        <v>4.6126403092012743E-15</v>
      </c>
      <c r="GO163" s="21">
        <f t="shared" si="187"/>
        <v>40.276119131928432</v>
      </c>
      <c r="GP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68.996633966683902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-2.2737367544323206E-13</v>
      </c>
      <c r="GV163" s="17">
        <f>GU163*VLOOKUP('Données projet'!$B$18,Paramètres!$A$1:$I$89,3,0)*VLOOKUP('Données projet'!$B$18,Paramètres!$A$1:$I$89,5,0)</f>
        <v>-1.2414602679200471E-13</v>
      </c>
      <c r="GW163" s="13" t="e">
        <f t="shared" si="188"/>
        <v>#NUM!</v>
      </c>
      <c r="GX163" s="20" t="e">
        <f t="shared" si="189"/>
        <v>#NUM!</v>
      </c>
      <c r="GY163" s="57" t="e">
        <f t="shared" si="137"/>
        <v>#NUM!</v>
      </c>
      <c r="GZ163" s="57">
        <f ca="1">AVERAGE(OFFSET($GY$3,0,0,'Données projet'!$E$18+1,1))-AVERAGE(OFFSET($H$3,0,0,'Données projet'!$E$18+1,1))</f>
        <v>381.00532469288714</v>
      </c>
      <c r="HA163" s="57">
        <f t="shared" si="160"/>
        <v>314.875259641757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>
        <f>EXP(-LN(2)/35)*HG162+(1-EXP(-LN(2)/35))/(LN(2)/35)*HC163*HD163*VLOOKUP('Données projet'!$B$18,Paramètres!$A$1:$I$89,3,0)*0.475*44/12</f>
        <v>62.174947715055382</v>
      </c>
      <c r="HH163" s="21">
        <f>EXP(-LN(2)/25)*HH162+(1-EXP(-LN(2)/25))/(LN(2)/25)*Calculateur!HC163*Calculateur!HE163*VLOOKUP('Données projet'!$B$18,Paramètres!$A$1:$I$89,3,0)*0.475*44/12</f>
        <v>6.2511902153597436</v>
      </c>
      <c r="HI163" s="21">
        <f>EXP(-LN(2)/2)*HI162+(1-EXP(-LN(2)/2))/(LN(2)/2)*HC163*HF163*VLOOKUP('Données projet'!$B$18,Paramètres!$A$1:$I$89,3,0)*0.475*44/12</f>
        <v>2.3257725473740591E-8</v>
      </c>
      <c r="HJ163" s="22">
        <f t="shared" si="190"/>
        <v>68.42613795367285</v>
      </c>
    </row>
    <row r="164" spans="1:218" x14ac:dyDescent="0.2">
      <c r="A164" s="10">
        <f t="shared" si="161"/>
        <v>161</v>
      </c>
      <c r="B164" s="71">
        <f>'Scénario référence'!$B$16*5+'Scénario référence'!$B$17*0+'Scénario référence'!$B$18*5</f>
        <v>3.3000000000000003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12.100000000000001</v>
      </c>
      <c r="H164" s="65">
        <f t="shared" si="110"/>
        <v>208.26666666666665</v>
      </c>
      <c r="I164" s="6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69.014040124171544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-1.1527845344971866E-13</v>
      </c>
      <c r="P164" s="13" t="e">
        <f t="shared" si="141"/>
        <v>#NUM!</v>
      </c>
      <c r="Q164" s="20" t="e">
        <f t="shared" si="162"/>
        <v>#NUM!</v>
      </c>
      <c r="R164" s="57" t="e">
        <f t="shared" si="109"/>
        <v>#NUM!</v>
      </c>
      <c r="S164" s="57">
        <f ca="1">AVERAGE(OFFSET($R$3,0,0,'Données projet'!$E$9+1,1))-AVERAGE(OFFSET($H$3,0,0,'Données projet'!$E$9+1,1))</f>
        <v>332.70145542047612</v>
      </c>
      <c r="T164" s="57">
        <f t="shared" si="142"/>
        <v>172.22433737900428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50.407619029651883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50.407619029651883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69.014040124171544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>
        <f>VLOOKUP(A164,'Données projet'!$A$61:$I$81,2,0)</f>
        <v>115.43</v>
      </c>
      <c r="AG164" s="12">
        <f>VLOOKUP(A164,'Données projet'!$A$61:$I$81,9,0)</f>
        <v>1.4024999999999999</v>
      </c>
      <c r="AH164" s="12">
        <f t="array" ref="AH164">INDEX(AG:AG,MIN(IF(ISNUMBER(AG164:AG360),ROW(AG164:AG360),"")))</f>
        <v>1.4024999999999999</v>
      </c>
      <c r="AI164" s="13">
        <f>IF('Données projet'!$A$62&gt;35,AI163+AH164-AQ163,IF(A164&lt;'Données projet'!$A$62,$AF$205^A164,IF(A164='Données projet'!$A$62,'Données projet'!$B$62,AI163+AH164-AQ163)))</f>
        <v>115.42999999999971</v>
      </c>
      <c r="AJ164" s="13">
        <f>AI164*VLOOKUP('Données projet'!$B$10,Paramètres!$A$1:$I$89,3,0)*VLOOKUP('Données projet'!$B$10,Paramètres!$A$1:$I$89,5,0)</f>
        <v>104.44106399999973</v>
      </c>
      <c r="AK164" s="13">
        <f t="shared" si="164"/>
        <v>28.017329297798007</v>
      </c>
      <c r="AL164" s="20">
        <f t="shared" si="165"/>
        <v>230.69836832699772</v>
      </c>
      <c r="AM164" s="57">
        <f t="shared" si="113"/>
        <v>520.41651544896001</v>
      </c>
      <c r="AN164" s="57">
        <f ca="1">AVERAGE(OFFSET($AM$3,0,0,'Données projet'!$E$10+1,1))-AVERAGE(OFFSET($H$3,0,0,'Données projet'!$E$10+1,1))</f>
        <v>469.4210143164521</v>
      </c>
      <c r="AO164" s="57">
        <f t="shared" si="144"/>
        <v>308.4508386530556</v>
      </c>
      <c r="AP164" s="15">
        <f>IF(ISNA(VLOOKUP(A164,'Données projet'!$A$61:$I$81,3,0)),0,VLOOKUP(A164,'Données projet'!$A$61:$I$81,3,0))</f>
        <v>15</v>
      </c>
      <c r="AQ164" s="15">
        <f>IF(ISNA(VLOOKUP(A164,'Données projet'!$A$61:$I$81,4,0)),0,VLOOKUP(A164,'Données projet'!$A$61:$I$81,4,0))</f>
        <v>115.43</v>
      </c>
      <c r="AR164" s="16">
        <f>IF(ISNA(VLOOKUP(A164,'Données projet'!$A$61:$I$81,5,0)),0%,VLOOKUP(A164,'Données projet'!$A$61:$I$81,5,0)*VLOOKUP('Données projet'!$B$10,Paramètres!$A$1:$I$89,7,0))</f>
        <v>0.34400000000000003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148.87176600630715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148.87176600630715</v>
      </c>
      <c r="AY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69.014040124171544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7" t="e">
        <f t="shared" si="116"/>
        <v>#NUM!</v>
      </c>
      <c r="BI164" s="57">
        <f ca="1">AVERAGE(OFFSET($BH$3,0,0,'Données projet'!$E$11+1,1))-AVERAGE(OFFSET($H$3,0,0,'Données projet'!$E$11+1,1))</f>
        <v>344.32981377462971</v>
      </c>
      <c r="BJ164" s="57">
        <f t="shared" si="146"/>
        <v>334.42512656625763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23.341275721001239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23.341275721001239</v>
      </c>
      <c r="BT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69.014040124171544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4.5474735088646412E-13</v>
      </c>
      <c r="BZ164" s="13">
        <f>BY164*VLOOKUP('Données projet'!$B$12,Paramètres!$A$1:$I$89,3,0)*VLOOKUP('Données projet'!$B$12,Paramètres!$A$1:$I$89,5,0)</f>
        <v>4.3273757910355926E-13</v>
      </c>
      <c r="CA164" s="13">
        <f t="shared" si="170"/>
        <v>5.4817614357080839E-12</v>
      </c>
      <c r="CB164" s="20">
        <f t="shared" si="171"/>
        <v>1.0301085784130276E-11</v>
      </c>
      <c r="CC164" s="57">
        <f t="shared" si="119"/>
        <v>289.71814712197261</v>
      </c>
      <c r="CD164" s="57">
        <f ca="1">AVERAGE(OFFSET($CC$3,0,0,'Données projet'!$E$12+1,1))-AVERAGE(OFFSET($H$3,0,0,'Données projet'!$E$12+1,1))</f>
        <v>498.77732039282807</v>
      </c>
      <c r="CE164" s="57">
        <f t="shared" si="148"/>
        <v>384.57317421826531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82.165717597614005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82.165717597614005</v>
      </c>
      <c r="CO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69.014040124171544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>
        <f>VLOOKUP(A164,'Données projet'!$A$139:$I$159,2,0)</f>
        <v>115.43</v>
      </c>
      <c r="CR164" s="12">
        <f>VLOOKUP(A164,'Données projet'!$A$139:$I$159,9,0)</f>
        <v>1.4024999999999999</v>
      </c>
      <c r="CS164" s="12">
        <f t="array" ref="CS164">INDEX(CR:CR,MIN(IF(ISNUMBER(CR164:CR360),ROW(CR164:CR360),"")))</f>
        <v>1.4024999999999999</v>
      </c>
      <c r="CT164" s="12">
        <f>IF('Données projet'!$A$140&gt;35,CT163+CS164-DB163,IF(A164&lt;'Données projet'!$A$140,$CQ$205^A164,IF(A164='Données projet'!$A$140,'Données projet'!$B$140,CT163+CS164-DB163)))</f>
        <v>115.42999999999971</v>
      </c>
      <c r="CU164" s="17">
        <f>CT164*VLOOKUP('Données projet'!$B$13,Paramètres!$A$1:$I$89,3,0)*VLOOKUP('Données projet'!$B$13,Paramètres!$A$1:$I$89,5,0)</f>
        <v>77.43044399999981</v>
      </c>
      <c r="CV164" s="13">
        <f t="shared" si="173"/>
        <v>21.507725589497696</v>
      </c>
      <c r="CW164" s="20">
        <f t="shared" si="174"/>
        <v>172.31731203504148</v>
      </c>
      <c r="CX164" s="57">
        <f t="shared" si="122"/>
        <v>462.0354591570038</v>
      </c>
      <c r="CY164" s="57">
        <f ca="1">AVERAGE(OFFSET($CX$3,0,0,'Données projet'!$E$13+1,1))-AVERAGE(OFFSET($H$3,0,0,'Données projet'!$E$13+1,1))</f>
        <v>365.99625753737246</v>
      </c>
      <c r="CZ164" s="57">
        <f t="shared" si="150"/>
        <v>242.84814712692287</v>
      </c>
      <c r="DA164" s="15">
        <f>IF(ISNA(VLOOKUP(A164,'Données projet'!$A$139:$I$159,3,0)),0,VLOOKUP(A164,'Données projet'!$A$139:$I$159,3,0))</f>
        <v>15</v>
      </c>
      <c r="DB164" s="15">
        <f>IF(ISNA(VLOOKUP(A164,'Données projet'!$A$139:$I$159,4,0)),0,VLOOKUP(A164,'Données projet'!$A$139:$I$159,4,0))</f>
        <v>115.43</v>
      </c>
      <c r="DC164" s="16">
        <f>IF(ISNA(VLOOKUP(A164,'Données projet'!$A$139:$I$159,5,0)),0%,VLOOKUP(A164,'Données projet'!$A$139:$I$159,5,0)*VLOOKUP('Données projet'!$B$13,Paramètres!$A$1:$I$89,7,0))</f>
        <v>0.42400000000000004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136.03799307472892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136.03799307472892</v>
      </c>
      <c r="DJ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69.014040124171544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2.2737367544323206E-13</v>
      </c>
      <c r="DP164" s="17">
        <f>DO164*VLOOKUP('Données projet'!$B$14,Paramètres!$A$1:$I$89,3,0)*VLOOKUP('Données projet'!$B$14,Paramètres!$A$1:$I$89,5,0)</f>
        <v>1.4897523215040565E-13</v>
      </c>
      <c r="DQ164" s="13">
        <f t="shared" si="176"/>
        <v>2.136562777003313E-12</v>
      </c>
      <c r="DR164" s="20">
        <f t="shared" si="177"/>
        <v>3.9806453659427267E-12</v>
      </c>
      <c r="DS164" s="57">
        <f t="shared" si="125"/>
        <v>289.7181471219663</v>
      </c>
      <c r="DT164" s="57">
        <f ca="1">AVERAGE(OFFSET($DS$3,0,0,'Données projet'!$E$14+1,1))-AVERAGE(OFFSET($H$3,0,0,'Données projet'!$E$14+1,1))</f>
        <v>313.79279628660527</v>
      </c>
      <c r="DU164" s="57">
        <f t="shared" si="152"/>
        <v>317.45469955216254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22.67821348549759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22.67821348549759</v>
      </c>
      <c r="EE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69.014040124171544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-1.1368683772161603E-13</v>
      </c>
      <c r="EK164" s="17">
        <f>EJ164*VLOOKUP('Données projet'!$B$15,Paramètres!$A$1:$I$89,3,0)*VLOOKUP('Données projet'!$B$15,Paramètres!$A$1:$I$89,5,0)</f>
        <v>-9.7543306765146564E-14</v>
      </c>
      <c r="EL164" s="13" t="e">
        <f t="shared" si="179"/>
        <v>#NUM!</v>
      </c>
      <c r="EM164" s="20" t="e">
        <f t="shared" si="180"/>
        <v>#NUM!</v>
      </c>
      <c r="EN164" s="57" t="e">
        <f t="shared" si="128"/>
        <v>#NUM!</v>
      </c>
      <c r="EO164" s="57">
        <f ca="1">AVERAGE(OFFSET($EN$3,0,0,'Données projet'!$E$15+1,1))-AVERAGE(OFFSET($H$3,0,0,'Données projet'!$E$15+1,1))</f>
        <v>643.04899298561475</v>
      </c>
      <c r="EP164" s="57">
        <f t="shared" si="154"/>
        <v>474.94999304483031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84.059830603998151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84.059830603998151</v>
      </c>
      <c r="EZ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69.014040124171544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>
        <f>FE164*VLOOKUP('Données projet'!$B$16,Paramètres!$A$1:$I$89,3,0)*VLOOKUP('Données projet'!$B$16,Paramètres!$A$1:$I$89,5,0)</f>
        <v>0</v>
      </c>
      <c r="FG164" s="13" t="e">
        <f t="shared" si="182"/>
        <v>#NUM!</v>
      </c>
      <c r="FH164" s="20" t="e">
        <f t="shared" si="183"/>
        <v>#NUM!</v>
      </c>
      <c r="FI164" s="57" t="e">
        <f t="shared" si="131"/>
        <v>#NUM!</v>
      </c>
      <c r="FJ164" s="57">
        <f ca="1">AVERAGE(OFFSET($FI$3,0,0,'Données projet'!$E$16+1,1))-AVERAGE(OFFSET($H$3,0,0,'Données projet'!$E$16+1,1))</f>
        <v>375.34603719604439</v>
      </c>
      <c r="FK164" s="57">
        <f t="shared" si="156"/>
        <v>363.99476973672211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31.83006228949996</v>
      </c>
      <c r="FR164" s="21">
        <f>EXP(-LN(2)/25)*FR163+(1-EXP(-LN(2)/25))/(LN(2)/25)*Calculateur!FM164*Calculateur!FO164*VLOOKUP('Données projet'!$B$16,Paramètres!$A$1:$I$89,3,0)*0.475*44/12</f>
        <v>0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31.83006228949996</v>
      </c>
      <c r="FU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69.014040124171544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-1.1368683772161603E-13</v>
      </c>
      <c r="GA164" s="17">
        <f>FZ164*VLOOKUP('Données projet'!$B$17,Paramètres!$A$1:$I$89,3,0)*VLOOKUP('Données projet'!$B$17,Paramètres!$A$1:$I$89,5,0)</f>
        <v>-6.3550942286383367E-14</v>
      </c>
      <c r="GB164" s="13" t="e">
        <f t="shared" si="185"/>
        <v>#NUM!</v>
      </c>
      <c r="GC164" s="20" t="e">
        <f t="shared" si="186"/>
        <v>#NUM!</v>
      </c>
      <c r="GD164" s="57" t="e">
        <f t="shared" si="134"/>
        <v>#NUM!</v>
      </c>
      <c r="GE164" s="57">
        <f ca="1">AVERAGE(OFFSET($GD$3,0,0,'Données projet'!$E$17+1,1))-AVERAGE(OFFSET($H$3,0,0,'Données projet'!$E$17+1,1))</f>
        <v>414.47327143450701</v>
      </c>
      <c r="GF164" s="57">
        <f t="shared" si="158"/>
        <v>546.83385887302961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36.183110600558663</v>
      </c>
      <c r="GM164" s="21">
        <f>EXP(-LN(2)/25)*GM163+(1-EXP(-LN(2)/25))/(LN(2)/25)*Calculateur!GH164*Calculateur!GJ164*VLOOKUP('Données projet'!$B$17,Paramètres!$A$1:$I$89,3,0)*0.475*44/12</f>
        <v>3.2771547256123594</v>
      </c>
      <c r="GN164" s="21">
        <f>EXP(-LN(2)/2)*GN163+(1-EXP(-LN(2)/2))/(LN(2)/2)*GH164*GK164*VLOOKUP('Données projet'!$B$17,Paramètres!$A$1:$I$89,3,0)*0.475*44/12</f>
        <v>3.2616292418106344E-15</v>
      </c>
      <c r="GO164" s="21">
        <f t="shared" si="187"/>
        <v>39.460265326171026</v>
      </c>
      <c r="GP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69.014040124171544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-2.2737367544323206E-13</v>
      </c>
      <c r="GV164" s="17">
        <f>GU164*VLOOKUP('Données projet'!$B$18,Paramètres!$A$1:$I$89,3,0)*VLOOKUP('Données projet'!$B$18,Paramètres!$A$1:$I$89,5,0)</f>
        <v>-1.2414602679200471E-13</v>
      </c>
      <c r="GW164" s="13" t="e">
        <f t="shared" si="188"/>
        <v>#NUM!</v>
      </c>
      <c r="GX164" s="20" t="e">
        <f t="shared" si="189"/>
        <v>#NUM!</v>
      </c>
      <c r="GY164" s="57" t="e">
        <f t="shared" si="137"/>
        <v>#NUM!</v>
      </c>
      <c r="GZ164" s="57">
        <f ca="1">AVERAGE(OFFSET($GY$3,0,0,'Données projet'!$E$18+1,1))-AVERAGE(OFFSET($H$3,0,0,'Données projet'!$E$18+1,1))</f>
        <v>381.00532469288714</v>
      </c>
      <c r="HA164" s="57">
        <f t="shared" si="160"/>
        <v>314.875259641757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>
        <f>EXP(-LN(2)/35)*HG163+(1-EXP(-LN(2)/35))/(LN(2)/35)*HC164*HD164*VLOOKUP('Données projet'!$B$18,Paramètres!$A$1:$I$89,3,0)*0.475*44/12</f>
        <v>60.95573491333667</v>
      </c>
      <c r="HH164" s="21">
        <f>EXP(-LN(2)/25)*HH163+(1-EXP(-LN(2)/25))/(LN(2)/25)*Calculateur!HC164*Calculateur!HE164*VLOOKUP('Données projet'!$B$18,Paramètres!$A$1:$I$89,3,0)*0.475*44/12</f>
        <v>6.0802510901849249</v>
      </c>
      <c r="HI164" s="21">
        <f>EXP(-LN(2)/2)*HI163+(1-EXP(-LN(2)/2))/(LN(2)/2)*HC164*HF164*VLOOKUP('Données projet'!$B$18,Paramètres!$A$1:$I$89,3,0)*0.475*44/12</f>
        <v>1.6445695397457081E-8</v>
      </c>
      <c r="HJ164" s="22">
        <f t="shared" si="190"/>
        <v>67.035986019967297</v>
      </c>
    </row>
    <row r="165" spans="1:218" x14ac:dyDescent="0.2">
      <c r="A165" s="10">
        <f t="shared" si="161"/>
        <v>162</v>
      </c>
      <c r="B165" s="71">
        <f>'Scénario référence'!$B$16*5+'Scénario référence'!$B$17*0+'Scénario référence'!$B$18*5</f>
        <v>3.3000000000000003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12.100000000000001</v>
      </c>
      <c r="H165" s="65">
        <f t="shared" si="110"/>
        <v>208.26666666666665</v>
      </c>
      <c r="I165" s="6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69.031144323741103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-1.1527845344971866E-13</v>
      </c>
      <c r="P165" s="13" t="e">
        <f t="shared" si="141"/>
        <v>#NUM!</v>
      </c>
      <c r="Q165" s="20" t="e">
        <f t="shared" si="162"/>
        <v>#NUM!</v>
      </c>
      <c r="R165" s="57" t="e">
        <f t="shared" si="109"/>
        <v>#NUM!</v>
      </c>
      <c r="S165" s="57">
        <f ca="1">AVERAGE(OFFSET($R$3,0,0,'Données projet'!$E$9+1,1))-AVERAGE(OFFSET($H$3,0,0,'Données projet'!$E$9+1,1))</f>
        <v>332.70145542047612</v>
      </c>
      <c r="T165" s="57">
        <f t="shared" si="142"/>
        <v>172.22433737900428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49.419156366092139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49.419156366092139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69.031144323741103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-2.9842794901924208E-13</v>
      </c>
      <c r="AJ165" s="13">
        <f>AI165*VLOOKUP('Données projet'!$B$10,Paramètres!$A$1:$I$89,3,0)*VLOOKUP('Données projet'!$B$10,Paramètres!$A$1:$I$89,5,0)</f>
        <v>-2.7001760827261026E-13</v>
      </c>
      <c r="AK165" s="13" t="e">
        <f t="shared" si="164"/>
        <v>#NUM!</v>
      </c>
      <c r="AL165" s="20" t="e">
        <f t="shared" si="165"/>
        <v>#NUM!</v>
      </c>
      <c r="AM165" s="57" t="e">
        <f t="shared" si="113"/>
        <v>#NUM!</v>
      </c>
      <c r="AN165" s="57">
        <f ca="1">AVERAGE(OFFSET($AM$3,0,0,'Données projet'!$E$10+1,1))-AVERAGE(OFFSET($H$3,0,0,'Données projet'!$E$10+1,1))</f>
        <v>469.4210143164521</v>
      </c>
      <c r="AO165" s="57">
        <f t="shared" si="144"/>
        <v>308.4508386530556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145.95248147773469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145.95248147773469</v>
      </c>
      <c r="AY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69.031144323741103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7" t="e">
        <f t="shared" si="116"/>
        <v>#NUM!</v>
      </c>
      <c r="BI165" s="57">
        <f ca="1">AVERAGE(OFFSET($BH$3,0,0,'Données projet'!$E$11+1,1))-AVERAGE(OFFSET($H$3,0,0,'Données projet'!$E$11+1,1))</f>
        <v>344.32981377462971</v>
      </c>
      <c r="BJ165" s="57">
        <f t="shared" si="146"/>
        <v>334.42512656625763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22.88356754088483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22.88356754088483</v>
      </c>
      <c r="BT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69.031144323741103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4.5474735088646412E-13</v>
      </c>
      <c r="BZ165" s="13">
        <f>BY165*VLOOKUP('Données projet'!$B$12,Paramètres!$A$1:$I$89,3,0)*VLOOKUP('Données projet'!$B$12,Paramètres!$A$1:$I$89,5,0)</f>
        <v>4.3273757910355926E-13</v>
      </c>
      <c r="CA165" s="13">
        <f t="shared" si="170"/>
        <v>5.4817614357080839E-12</v>
      </c>
      <c r="CB165" s="20">
        <f t="shared" si="171"/>
        <v>1.0301085784130276E-11</v>
      </c>
      <c r="CC165" s="57">
        <f t="shared" si="119"/>
        <v>289.78086252039435</v>
      </c>
      <c r="CD165" s="57">
        <f ca="1">AVERAGE(OFFSET($CC$3,0,0,'Données projet'!$E$12+1,1))-AVERAGE(OFFSET($H$3,0,0,'Données projet'!$E$12+1,1))</f>
        <v>498.77732039282807</v>
      </c>
      <c r="CE165" s="57">
        <f t="shared" si="148"/>
        <v>384.57317421826531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80.554497991663965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80.554497991663965</v>
      </c>
      <c r="CO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69.031144323741103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-2.9842794901924208E-13</v>
      </c>
      <c r="CU165" s="17">
        <f>CT165*VLOOKUP('Données projet'!$B$13,Paramètres!$A$1:$I$89,3,0)*VLOOKUP('Données projet'!$B$13,Paramètres!$A$1:$I$89,5,0)</f>
        <v>-2.0018546820210759E-13</v>
      </c>
      <c r="CV165" s="13" t="e">
        <f t="shared" si="173"/>
        <v>#NUM!</v>
      </c>
      <c r="CW165" s="20" t="e">
        <f t="shared" si="174"/>
        <v>#NUM!</v>
      </c>
      <c r="CX165" s="57" t="e">
        <f t="shared" si="122"/>
        <v>#NUM!</v>
      </c>
      <c r="CY165" s="57">
        <f ca="1">AVERAGE(OFFSET($CX$3,0,0,'Données projet'!$E$13+1,1))-AVERAGE(OFFSET($H$3,0,0,'Données projet'!$E$13+1,1))</f>
        <v>365.99625753737246</v>
      </c>
      <c r="CZ165" s="57">
        <f t="shared" si="150"/>
        <v>242.84814712692287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133.37037100551615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133.37037100551615</v>
      </c>
      <c r="DJ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69.031144323741103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2.2737367544323206E-13</v>
      </c>
      <c r="DP165" s="17">
        <f>DO165*VLOOKUP('Données projet'!$B$14,Paramètres!$A$1:$I$89,3,0)*VLOOKUP('Données projet'!$B$14,Paramètres!$A$1:$I$89,5,0)</f>
        <v>1.4897523215040565E-13</v>
      </c>
      <c r="DQ165" s="13">
        <f t="shared" si="176"/>
        <v>2.136562777003313E-12</v>
      </c>
      <c r="DR165" s="20">
        <f t="shared" si="177"/>
        <v>3.9806453659427267E-12</v>
      </c>
      <c r="DS165" s="57">
        <f t="shared" si="125"/>
        <v>289.78086252038804</v>
      </c>
      <c r="DT165" s="57">
        <f ca="1">AVERAGE(OFFSET($DS$3,0,0,'Données projet'!$E$14+1,1))-AVERAGE(OFFSET($H$3,0,0,'Données projet'!$E$14+1,1))</f>
        <v>313.79279628660527</v>
      </c>
      <c r="DU165" s="57">
        <f t="shared" si="152"/>
        <v>317.45469955216254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22.233507551391376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22.233507551391376</v>
      </c>
      <c r="EE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69.031144323741103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-1.1368683772161603E-13</v>
      </c>
      <c r="EK165" s="17">
        <f>EJ165*VLOOKUP('Données projet'!$B$15,Paramètres!$A$1:$I$89,3,0)*VLOOKUP('Données projet'!$B$15,Paramètres!$A$1:$I$89,5,0)</f>
        <v>-9.7543306765146564E-14</v>
      </c>
      <c r="EL165" s="13" t="e">
        <f t="shared" si="179"/>
        <v>#NUM!</v>
      </c>
      <c r="EM165" s="20" t="e">
        <f t="shared" si="180"/>
        <v>#NUM!</v>
      </c>
      <c r="EN165" s="57" t="e">
        <f t="shared" si="128"/>
        <v>#NUM!</v>
      </c>
      <c r="EO165" s="57">
        <f ca="1">AVERAGE(OFFSET($EN$3,0,0,'Données projet'!$E$15+1,1))-AVERAGE(OFFSET($H$3,0,0,'Données projet'!$E$15+1,1))</f>
        <v>643.04899298561475</v>
      </c>
      <c r="EP165" s="57">
        <f t="shared" si="154"/>
        <v>474.94999304483031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82.411468597287779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82.411468597287779</v>
      </c>
      <c r="EZ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69.031144323741103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>
        <f>FE165*VLOOKUP('Données projet'!$B$16,Paramètres!$A$1:$I$89,3,0)*VLOOKUP('Données projet'!$B$16,Paramètres!$A$1:$I$89,5,0)</f>
        <v>0</v>
      </c>
      <c r="FG165" s="13" t="e">
        <f t="shared" si="182"/>
        <v>#NUM!</v>
      </c>
      <c r="FH165" s="20" t="e">
        <f t="shared" si="183"/>
        <v>#NUM!</v>
      </c>
      <c r="FI165" s="57" t="e">
        <f t="shared" si="131"/>
        <v>#NUM!</v>
      </c>
      <c r="FJ165" s="57">
        <f ca="1">AVERAGE(OFFSET($FI$3,0,0,'Données projet'!$E$16+1,1))-AVERAGE(OFFSET($H$3,0,0,'Données projet'!$E$16+1,1))</f>
        <v>375.34603719604439</v>
      </c>
      <c r="FK165" s="57">
        <f t="shared" si="156"/>
        <v>363.99476973672211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31.205894182423847</v>
      </c>
      <c r="FR165" s="21">
        <f>EXP(-LN(2)/25)*FR164+(1-EXP(-LN(2)/25))/(LN(2)/25)*Calculateur!FM165*Calculateur!FO165*VLOOKUP('Données projet'!$B$16,Paramètres!$A$1:$I$89,3,0)*0.475*44/12</f>
        <v>0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31.205894182423847</v>
      </c>
      <c r="FU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69.031144323741103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-1.1368683772161603E-13</v>
      </c>
      <c r="GA165" s="17">
        <f>FZ165*VLOOKUP('Données projet'!$B$17,Paramètres!$A$1:$I$89,3,0)*VLOOKUP('Données projet'!$B$17,Paramètres!$A$1:$I$89,5,0)</f>
        <v>-6.3550942286383367E-14</v>
      </c>
      <c r="GB165" s="13" t="e">
        <f t="shared" si="185"/>
        <v>#NUM!</v>
      </c>
      <c r="GC165" s="20" t="e">
        <f t="shared" si="186"/>
        <v>#NUM!</v>
      </c>
      <c r="GD165" s="57" t="e">
        <f t="shared" si="134"/>
        <v>#NUM!</v>
      </c>
      <c r="GE165" s="57">
        <f ca="1">AVERAGE(OFFSET($GD$3,0,0,'Données projet'!$E$17+1,1))-AVERAGE(OFFSET($H$3,0,0,'Données projet'!$E$17+1,1))</f>
        <v>414.47327143450701</v>
      </c>
      <c r="GF165" s="57">
        <f t="shared" si="158"/>
        <v>546.83385887302961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35.47358187119999</v>
      </c>
      <c r="GM165" s="21">
        <f>EXP(-LN(2)/25)*GM164+(1-EXP(-LN(2)/25))/(LN(2)/25)*Calculateur!GH165*Calculateur!GJ165*VLOOKUP('Données projet'!$B$17,Paramètres!$A$1:$I$89,3,0)*0.475*44/12</f>
        <v>3.1875407573024126</v>
      </c>
      <c r="GN165" s="21">
        <f>EXP(-LN(2)/2)*GN164+(1-EXP(-LN(2)/2))/(LN(2)/2)*GH165*GK165*VLOOKUP('Données projet'!$B$17,Paramètres!$A$1:$I$89,3,0)*0.475*44/12</f>
        <v>2.3063201546006371E-15</v>
      </c>
      <c r="GO165" s="21">
        <f t="shared" si="187"/>
        <v>38.661122628502405</v>
      </c>
      <c r="GP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69.031144323741103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-2.2737367544323206E-13</v>
      </c>
      <c r="GV165" s="17">
        <f>GU165*VLOOKUP('Données projet'!$B$18,Paramètres!$A$1:$I$89,3,0)*VLOOKUP('Données projet'!$B$18,Paramètres!$A$1:$I$89,5,0)</f>
        <v>-1.2414602679200471E-13</v>
      </c>
      <c r="GW165" s="13" t="e">
        <f t="shared" si="188"/>
        <v>#NUM!</v>
      </c>
      <c r="GX165" s="20" t="e">
        <f t="shared" si="189"/>
        <v>#NUM!</v>
      </c>
      <c r="GY165" s="57" t="e">
        <f t="shared" si="137"/>
        <v>#NUM!</v>
      </c>
      <c r="GZ165" s="57">
        <f ca="1">AVERAGE(OFFSET($GY$3,0,0,'Données projet'!$E$18+1,1))-AVERAGE(OFFSET($H$3,0,0,'Données projet'!$E$18+1,1))</f>
        <v>381.00532469288714</v>
      </c>
      <c r="HA165" s="57">
        <f t="shared" si="160"/>
        <v>314.875259641757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>
        <f>EXP(-LN(2)/35)*HG164+(1-EXP(-LN(2)/35))/(LN(2)/35)*HC165*HD165*VLOOKUP('Données projet'!$B$18,Paramètres!$A$1:$I$89,3,0)*0.475*44/12</f>
        <v>59.76043013101328</v>
      </c>
      <c r="HH165" s="21">
        <f>EXP(-LN(2)/25)*HH164+(1-EXP(-LN(2)/25))/(LN(2)/25)*Calculateur!HC165*Calculateur!HE165*VLOOKUP('Données projet'!$B$18,Paramètres!$A$1:$I$89,3,0)*0.475*44/12</f>
        <v>5.9139863043773095</v>
      </c>
      <c r="HI165" s="21">
        <f>EXP(-LN(2)/2)*HI164+(1-EXP(-LN(2)/2))/(LN(2)/2)*HC165*HF165*VLOOKUP('Données projet'!$B$18,Paramètres!$A$1:$I$89,3,0)*0.475*44/12</f>
        <v>1.1628862736870296E-8</v>
      </c>
      <c r="HJ165" s="22">
        <f t="shared" si="190"/>
        <v>65.674416447019439</v>
      </c>
    </row>
    <row r="166" spans="1:218" x14ac:dyDescent="0.2">
      <c r="A166" s="10">
        <f t="shared" si="161"/>
        <v>163</v>
      </c>
      <c r="B166" s="71">
        <f>'Scénario référence'!$B$16*5+'Scénario référence'!$B$17*0+'Scénario référence'!$B$18*5</f>
        <v>3.3000000000000003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12.100000000000001</v>
      </c>
      <c r="H166" s="65">
        <f t="shared" si="110"/>
        <v>208.26666666666665</v>
      </c>
      <c r="I166" s="6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69.047951803687411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-1.1527845344971866E-13</v>
      </c>
      <c r="P166" s="13" t="e">
        <f t="shared" si="141"/>
        <v>#NUM!</v>
      </c>
      <c r="Q166" s="20" t="e">
        <f t="shared" si="162"/>
        <v>#NUM!</v>
      </c>
      <c r="R166" s="57" t="e">
        <f t="shared" si="109"/>
        <v>#NUM!</v>
      </c>
      <c r="S166" s="57">
        <f ca="1">AVERAGE(OFFSET($R$3,0,0,'Données projet'!$E$9+1,1))-AVERAGE(OFFSET($H$3,0,0,'Données projet'!$E$9+1,1))</f>
        <v>332.70145542047612</v>
      </c>
      <c r="T166" s="57">
        <f t="shared" si="142"/>
        <v>172.22433737900428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48.450076852462111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48.450076852462111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69.047951803687411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-2.9842794901924208E-13</v>
      </c>
      <c r="AJ166" s="13">
        <f>AI166*VLOOKUP('Données projet'!$B$10,Paramètres!$A$1:$I$89,3,0)*VLOOKUP('Données projet'!$B$10,Paramètres!$A$1:$I$89,5,0)</f>
        <v>-2.7001760827261026E-13</v>
      </c>
      <c r="AK166" s="13" t="e">
        <f t="shared" si="164"/>
        <v>#NUM!</v>
      </c>
      <c r="AL166" s="20" t="e">
        <f t="shared" si="165"/>
        <v>#NUM!</v>
      </c>
      <c r="AM166" s="57" t="e">
        <f t="shared" si="113"/>
        <v>#NUM!</v>
      </c>
      <c r="AN166" s="57">
        <f ca="1">AVERAGE(OFFSET($AM$3,0,0,'Données projet'!$E$10+1,1))-AVERAGE(OFFSET($H$3,0,0,'Données projet'!$E$10+1,1))</f>
        <v>469.4210143164521</v>
      </c>
      <c r="AO166" s="57">
        <f t="shared" si="144"/>
        <v>308.4508386530556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143.0904423381798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143.0904423381798</v>
      </c>
      <c r="AY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69.047951803687411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7" t="e">
        <f t="shared" si="116"/>
        <v>#NUM!</v>
      </c>
      <c r="BI166" s="57">
        <f ca="1">AVERAGE(OFFSET($BH$3,0,0,'Données projet'!$E$11+1,1))-AVERAGE(OFFSET($H$3,0,0,'Données projet'!$E$11+1,1))</f>
        <v>344.32981377462971</v>
      </c>
      <c r="BJ166" s="57">
        <f t="shared" si="146"/>
        <v>334.42512656625763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22.434834739006078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22.434834739006078</v>
      </c>
      <c r="BT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69.047951803687411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4.5474735088646412E-13</v>
      </c>
      <c r="BZ166" s="13">
        <f>BY166*VLOOKUP('Données projet'!$B$12,Paramètres!$A$1:$I$89,3,0)*VLOOKUP('Données projet'!$B$12,Paramètres!$A$1:$I$89,5,0)</f>
        <v>4.3273757910355926E-13</v>
      </c>
      <c r="CA166" s="13">
        <f t="shared" si="170"/>
        <v>5.4817614357080839E-12</v>
      </c>
      <c r="CB166" s="20">
        <f t="shared" si="171"/>
        <v>1.0301085784130276E-11</v>
      </c>
      <c r="CC166" s="57">
        <f t="shared" si="119"/>
        <v>289.84248994686413</v>
      </c>
      <c r="CD166" s="57">
        <f ca="1">AVERAGE(OFFSET($CC$3,0,0,'Données projet'!$E$12+1,1))-AVERAGE(OFFSET($H$3,0,0,'Données projet'!$E$12+1,1))</f>
        <v>498.77732039282807</v>
      </c>
      <c r="CE166" s="57">
        <f t="shared" si="148"/>
        <v>384.57317421826531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78.974873419439689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78.974873419439689</v>
      </c>
      <c r="CO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69.047951803687411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-2.9842794901924208E-13</v>
      </c>
      <c r="CU166" s="17">
        <f>CT166*VLOOKUP('Données projet'!$B$13,Paramètres!$A$1:$I$89,3,0)*VLOOKUP('Données projet'!$B$13,Paramètres!$A$1:$I$89,5,0)</f>
        <v>-2.0018546820210759E-13</v>
      </c>
      <c r="CV166" s="13" t="e">
        <f t="shared" si="173"/>
        <v>#NUM!</v>
      </c>
      <c r="CW166" s="20" t="e">
        <f t="shared" si="174"/>
        <v>#NUM!</v>
      </c>
      <c r="CX166" s="57" t="e">
        <f t="shared" si="122"/>
        <v>#NUM!</v>
      </c>
      <c r="CY166" s="57">
        <f ca="1">AVERAGE(OFFSET($CX$3,0,0,'Données projet'!$E$13+1,1))-AVERAGE(OFFSET($H$3,0,0,'Données projet'!$E$13+1,1))</f>
        <v>365.99625753737246</v>
      </c>
      <c r="CZ166" s="57">
        <f t="shared" si="150"/>
        <v>242.84814712692287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130.75505937799184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130.75505937799184</v>
      </c>
      <c r="DJ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69.047951803687411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2.2737367544323206E-13</v>
      </c>
      <c r="DP166" s="17">
        <f>DO166*VLOOKUP('Données projet'!$B$14,Paramètres!$A$1:$I$89,3,0)*VLOOKUP('Données projet'!$B$14,Paramètres!$A$1:$I$89,5,0)</f>
        <v>1.4897523215040565E-13</v>
      </c>
      <c r="DQ166" s="13">
        <f t="shared" si="176"/>
        <v>2.136562777003313E-12</v>
      </c>
      <c r="DR166" s="20">
        <f t="shared" si="177"/>
        <v>3.9806453659427267E-12</v>
      </c>
      <c r="DS166" s="57">
        <f t="shared" si="125"/>
        <v>289.84248994685782</v>
      </c>
      <c r="DT166" s="57">
        <f ca="1">AVERAGE(OFFSET($DS$3,0,0,'Données projet'!$E$14+1,1))-AVERAGE(OFFSET($H$3,0,0,'Données projet'!$E$14+1,1))</f>
        <v>313.79279628660527</v>
      </c>
      <c r="DU166" s="57">
        <f t="shared" si="152"/>
        <v>317.45469955216254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21.797522029409151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21.797522029409151</v>
      </c>
      <c r="EE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69.047951803687411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-1.1368683772161603E-13</v>
      </c>
      <c r="EK166" s="17">
        <f>EJ166*VLOOKUP('Données projet'!$B$15,Paramètres!$A$1:$I$89,3,0)*VLOOKUP('Données projet'!$B$15,Paramètres!$A$1:$I$89,5,0)</f>
        <v>-9.7543306765146564E-14</v>
      </c>
      <c r="EL166" s="13" t="e">
        <f t="shared" si="179"/>
        <v>#NUM!</v>
      </c>
      <c r="EM166" s="20" t="e">
        <f t="shared" si="180"/>
        <v>#NUM!</v>
      </c>
      <c r="EN166" s="57" t="e">
        <f t="shared" si="128"/>
        <v>#NUM!</v>
      </c>
      <c r="EO166" s="57">
        <f ca="1">AVERAGE(OFFSET($EN$3,0,0,'Données projet'!$E$15+1,1))-AVERAGE(OFFSET($H$3,0,0,'Données projet'!$E$15+1,1))</f>
        <v>643.04899298561475</v>
      </c>
      <c r="EP166" s="57">
        <f t="shared" si="154"/>
        <v>474.94999304483031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80.79542996412745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80.79542996412745</v>
      </c>
      <c r="EZ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69.047951803687411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>
        <f>FE166*VLOOKUP('Données projet'!$B$16,Paramètres!$A$1:$I$89,3,0)*VLOOKUP('Données projet'!$B$16,Paramètres!$A$1:$I$89,5,0)</f>
        <v>0</v>
      </c>
      <c r="FG166" s="13" t="e">
        <f t="shared" si="182"/>
        <v>#NUM!</v>
      </c>
      <c r="FH166" s="20" t="e">
        <f t="shared" si="183"/>
        <v>#NUM!</v>
      </c>
      <c r="FI166" s="57" t="e">
        <f t="shared" si="131"/>
        <v>#NUM!</v>
      </c>
      <c r="FJ166" s="57">
        <f ca="1">AVERAGE(OFFSET($FI$3,0,0,'Données projet'!$E$16+1,1))-AVERAGE(OFFSET($H$3,0,0,'Données projet'!$E$16+1,1))</f>
        <v>375.34603719604439</v>
      </c>
      <c r="FK166" s="57">
        <f t="shared" si="156"/>
        <v>363.99476973672211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30.593965631222545</v>
      </c>
      <c r="FR166" s="21">
        <f>EXP(-LN(2)/25)*FR165+(1-EXP(-LN(2)/25))/(LN(2)/25)*Calculateur!FM166*Calculateur!FO166*VLOOKUP('Données projet'!$B$16,Paramètres!$A$1:$I$89,3,0)*0.475*44/12</f>
        <v>0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30.593965631222545</v>
      </c>
      <c r="FU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69.047951803687411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-1.1368683772161603E-13</v>
      </c>
      <c r="GA166" s="17">
        <f>FZ166*VLOOKUP('Données projet'!$B$17,Paramètres!$A$1:$I$89,3,0)*VLOOKUP('Données projet'!$B$17,Paramètres!$A$1:$I$89,5,0)</f>
        <v>-6.3550942286383367E-14</v>
      </c>
      <c r="GB166" s="13" t="e">
        <f t="shared" si="185"/>
        <v>#NUM!</v>
      </c>
      <c r="GC166" s="20" t="e">
        <f t="shared" si="186"/>
        <v>#NUM!</v>
      </c>
      <c r="GD166" s="57" t="e">
        <f t="shared" si="134"/>
        <v>#NUM!</v>
      </c>
      <c r="GE166" s="57">
        <f ca="1">AVERAGE(OFFSET($GD$3,0,0,'Données projet'!$E$17+1,1))-AVERAGE(OFFSET($H$3,0,0,'Données projet'!$E$17+1,1))</f>
        <v>414.47327143450701</v>
      </c>
      <c r="GF166" s="57">
        <f t="shared" si="158"/>
        <v>546.83385887302961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34.77796656745425</v>
      </c>
      <c r="GM166" s="21">
        <f>EXP(-LN(2)/25)*GM165+(1-EXP(-LN(2)/25))/(LN(2)/25)*Calculateur!GH166*Calculateur!GJ166*VLOOKUP('Données projet'!$B$17,Paramètres!$A$1:$I$89,3,0)*0.475*44/12</f>
        <v>3.1003772876684947</v>
      </c>
      <c r="GN166" s="21">
        <f>EXP(-LN(2)/2)*GN165+(1-EXP(-LN(2)/2))/(LN(2)/2)*GH166*GK166*VLOOKUP('Données projet'!$B$17,Paramètres!$A$1:$I$89,3,0)*0.475*44/12</f>
        <v>1.6308146209053172E-15</v>
      </c>
      <c r="GO166" s="21">
        <f t="shared" si="187"/>
        <v>37.878343855122743</v>
      </c>
      <c r="GP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69.047951803687411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-2.2737367544323206E-13</v>
      </c>
      <c r="GV166" s="17">
        <f>GU166*VLOOKUP('Données projet'!$B$18,Paramètres!$A$1:$I$89,3,0)*VLOOKUP('Données projet'!$B$18,Paramètres!$A$1:$I$89,5,0)</f>
        <v>-1.2414602679200471E-13</v>
      </c>
      <c r="GW166" s="13" t="e">
        <f t="shared" si="188"/>
        <v>#NUM!</v>
      </c>
      <c r="GX166" s="20" t="e">
        <f t="shared" si="189"/>
        <v>#NUM!</v>
      </c>
      <c r="GY166" s="57" t="e">
        <f t="shared" si="137"/>
        <v>#NUM!</v>
      </c>
      <c r="GZ166" s="57">
        <f ca="1">AVERAGE(OFFSET($GY$3,0,0,'Données projet'!$E$18+1,1))-AVERAGE(OFFSET($H$3,0,0,'Données projet'!$E$18+1,1))</f>
        <v>381.00532469288714</v>
      </c>
      <c r="HA166" s="57">
        <f t="shared" si="160"/>
        <v>314.875259641757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>
        <f>EXP(-LN(2)/35)*HG165+(1-EXP(-LN(2)/35))/(LN(2)/35)*HC166*HD166*VLOOKUP('Données projet'!$B$18,Paramètres!$A$1:$I$89,3,0)*0.475*44/12</f>
        <v>58.588564546407326</v>
      </c>
      <c r="HH166" s="21">
        <f>EXP(-LN(2)/25)*HH165+(1-EXP(-LN(2)/25))/(LN(2)/25)*Calculateur!HC166*Calculateur!HE166*VLOOKUP('Données projet'!$B$18,Paramètres!$A$1:$I$89,3,0)*0.475*44/12</f>
        <v>5.7522680378810884</v>
      </c>
      <c r="HI166" s="21">
        <f>EXP(-LN(2)/2)*HI165+(1-EXP(-LN(2)/2))/(LN(2)/2)*HC166*HF166*VLOOKUP('Données projet'!$B$18,Paramètres!$A$1:$I$89,3,0)*0.475*44/12</f>
        <v>8.2228476987285404E-9</v>
      </c>
      <c r="HJ166" s="22">
        <f t="shared" si="190"/>
        <v>64.340832592511262</v>
      </c>
    </row>
    <row r="167" spans="1:218" x14ac:dyDescent="0.2">
      <c r="A167" s="10">
        <f t="shared" si="161"/>
        <v>164</v>
      </c>
      <c r="B167" s="71">
        <f>'Scénario référence'!$B$16*5+'Scénario référence'!$B$17*0+'Scénario référence'!$B$18*5</f>
        <v>3.3000000000000003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12.100000000000001</v>
      </c>
      <c r="H167" s="65">
        <f t="shared" si="110"/>
        <v>208.26666666666665</v>
      </c>
      <c r="I167" s="6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69.064467711432528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-1.1527845344971866E-13</v>
      </c>
      <c r="P167" s="13" t="e">
        <f t="shared" si="141"/>
        <v>#NUM!</v>
      </c>
      <c r="Q167" s="20" t="e">
        <f t="shared" si="162"/>
        <v>#NUM!</v>
      </c>
      <c r="R167" s="57" t="e">
        <f t="shared" si="109"/>
        <v>#NUM!</v>
      </c>
      <c r="S167" s="57">
        <f ca="1">AVERAGE(OFFSET($R$3,0,0,'Données projet'!$E$9+1,1))-AVERAGE(OFFSET($H$3,0,0,'Données projet'!$E$9+1,1))</f>
        <v>332.70145542047612</v>
      </c>
      <c r="T167" s="57">
        <f t="shared" si="142"/>
        <v>172.22433737900428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47.500000397014226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47.500000397014226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69.064467711432528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-2.9842794901924208E-13</v>
      </c>
      <c r="AJ167" s="13">
        <f>AI167*VLOOKUP('Données projet'!$B$10,Paramètres!$A$1:$I$89,3,0)*VLOOKUP('Données projet'!$B$10,Paramètres!$A$1:$I$89,5,0)</f>
        <v>-2.7001760827261026E-13</v>
      </c>
      <c r="AK167" s="13" t="e">
        <f t="shared" si="164"/>
        <v>#NUM!</v>
      </c>
      <c r="AL167" s="20" t="e">
        <f t="shared" si="165"/>
        <v>#NUM!</v>
      </c>
      <c r="AM167" s="57" t="e">
        <f t="shared" si="113"/>
        <v>#NUM!</v>
      </c>
      <c r="AN167" s="57">
        <f ca="1">AVERAGE(OFFSET($AM$3,0,0,'Données projet'!$E$10+1,1))-AVERAGE(OFFSET($H$3,0,0,'Données projet'!$E$10+1,1))</f>
        <v>469.4210143164521</v>
      </c>
      <c r="AO167" s="57">
        <f t="shared" si="144"/>
        <v>308.4508386530556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140.28452604048007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140.28452604048007</v>
      </c>
      <c r="AY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69.064467711432528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7" t="e">
        <f t="shared" si="116"/>
        <v>#NUM!</v>
      </c>
      <c r="BI167" s="57">
        <f ca="1">AVERAGE(OFFSET($BH$3,0,0,'Données projet'!$E$11+1,1))-AVERAGE(OFFSET($H$3,0,0,'Données projet'!$E$11+1,1))</f>
        <v>344.32981377462971</v>
      </c>
      <c r="BJ167" s="57">
        <f t="shared" si="146"/>
        <v>334.42512656625763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21.994901313672187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21.994901313672187</v>
      </c>
      <c r="BT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69.064467711432528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4.5474735088646412E-13</v>
      </c>
      <c r="BZ167" s="13">
        <f>BY167*VLOOKUP('Données projet'!$B$12,Paramètres!$A$1:$I$89,3,0)*VLOOKUP('Données projet'!$B$12,Paramètres!$A$1:$I$89,5,0)</f>
        <v>4.3273757910355926E-13</v>
      </c>
      <c r="CA167" s="13">
        <f t="shared" si="170"/>
        <v>5.4817614357080839E-12</v>
      </c>
      <c r="CB167" s="20">
        <f t="shared" si="171"/>
        <v>1.0301085784130276E-11</v>
      </c>
      <c r="CC167" s="57">
        <f t="shared" si="119"/>
        <v>289.9030482752629</v>
      </c>
      <c r="CD167" s="57">
        <f ca="1">AVERAGE(OFFSET($CC$3,0,0,'Données projet'!$E$12+1,1))-AVERAGE(OFFSET($H$3,0,0,'Données projet'!$E$12+1,1))</f>
        <v>498.77732039282807</v>
      </c>
      <c r="CE167" s="57">
        <f t="shared" si="148"/>
        <v>384.57317421826531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77.426224321600884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77.426224321600884</v>
      </c>
      <c r="CO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69.064467711432528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-2.9842794901924208E-13</v>
      </c>
      <c r="CU167" s="17">
        <f>CT167*VLOOKUP('Données projet'!$B$13,Paramètres!$A$1:$I$89,3,0)*VLOOKUP('Données projet'!$B$13,Paramètres!$A$1:$I$89,5,0)</f>
        <v>-2.0018546820210759E-13</v>
      </c>
      <c r="CV167" s="13" t="e">
        <f t="shared" si="173"/>
        <v>#NUM!</v>
      </c>
      <c r="CW167" s="20" t="e">
        <f t="shared" si="174"/>
        <v>#NUM!</v>
      </c>
      <c r="CX167" s="57" t="e">
        <f t="shared" si="122"/>
        <v>#NUM!</v>
      </c>
      <c r="CY167" s="57">
        <f ca="1">AVERAGE(OFFSET($CX$3,0,0,'Données projet'!$E$13+1,1))-AVERAGE(OFFSET($H$3,0,0,'Données projet'!$E$13+1,1))</f>
        <v>365.99625753737246</v>
      </c>
      <c r="CZ167" s="57">
        <f t="shared" si="150"/>
        <v>242.84814712692287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128.19103241630071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128.19103241630071</v>
      </c>
      <c r="DJ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69.064467711432528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2.2737367544323206E-13</v>
      </c>
      <c r="DP167" s="17">
        <f>DO167*VLOOKUP('Données projet'!$B$14,Paramètres!$A$1:$I$89,3,0)*VLOOKUP('Données projet'!$B$14,Paramètres!$A$1:$I$89,5,0)</f>
        <v>1.4897523215040565E-13</v>
      </c>
      <c r="DQ167" s="13">
        <f t="shared" si="176"/>
        <v>2.136562777003313E-12</v>
      </c>
      <c r="DR167" s="20">
        <f t="shared" si="177"/>
        <v>3.9806453659427267E-12</v>
      </c>
      <c r="DS167" s="57">
        <f t="shared" si="125"/>
        <v>289.90304827525659</v>
      </c>
      <c r="DT167" s="57">
        <f ca="1">AVERAGE(OFFSET($DS$3,0,0,'Données projet'!$E$14+1,1))-AVERAGE(OFFSET($H$3,0,0,'Données projet'!$E$14+1,1))</f>
        <v>313.79279628660527</v>
      </c>
      <c r="DU167" s="57">
        <f t="shared" si="152"/>
        <v>317.45469955216254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21.370085917588085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21.370085917588085</v>
      </c>
      <c r="EE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69.064467711432528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-1.1368683772161603E-13</v>
      </c>
      <c r="EK167" s="17">
        <f>EJ167*VLOOKUP('Données projet'!$B$15,Paramètres!$A$1:$I$89,3,0)*VLOOKUP('Données projet'!$B$15,Paramètres!$A$1:$I$89,5,0)</f>
        <v>-9.7543306765146564E-14</v>
      </c>
      <c r="EL167" s="13" t="e">
        <f t="shared" si="179"/>
        <v>#NUM!</v>
      </c>
      <c r="EM167" s="20" t="e">
        <f t="shared" si="180"/>
        <v>#NUM!</v>
      </c>
      <c r="EN167" s="57" t="e">
        <f t="shared" si="128"/>
        <v>#NUM!</v>
      </c>
      <c r="EO167" s="57">
        <f ca="1">AVERAGE(OFFSET($EN$3,0,0,'Données projet'!$E$15+1,1))-AVERAGE(OFFSET($H$3,0,0,'Données projet'!$E$15+1,1))</f>
        <v>643.04899298561475</v>
      </c>
      <c r="EP167" s="57">
        <f t="shared" si="154"/>
        <v>474.94999304483031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79.211080862877154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79.211080862877154</v>
      </c>
      <c r="EZ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69.064467711432528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>
        <f>FE167*VLOOKUP('Données projet'!$B$16,Paramètres!$A$1:$I$89,3,0)*VLOOKUP('Données projet'!$B$16,Paramètres!$A$1:$I$89,5,0)</f>
        <v>0</v>
      </c>
      <c r="FG167" s="13" t="e">
        <f t="shared" si="182"/>
        <v>#NUM!</v>
      </c>
      <c r="FH167" s="20" t="e">
        <f t="shared" si="183"/>
        <v>#NUM!</v>
      </c>
      <c r="FI167" s="57" t="e">
        <f t="shared" si="131"/>
        <v>#NUM!</v>
      </c>
      <c r="FJ167" s="57">
        <f ca="1">AVERAGE(OFFSET($FI$3,0,0,'Données projet'!$E$16+1,1))-AVERAGE(OFFSET($H$3,0,0,'Données projet'!$E$16+1,1))</f>
        <v>375.34603719604439</v>
      </c>
      <c r="FK167" s="57">
        <f t="shared" si="156"/>
        <v>363.99476973672211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29.994036625670738</v>
      </c>
      <c r="FR167" s="21">
        <f>EXP(-LN(2)/25)*FR166+(1-EXP(-LN(2)/25))/(LN(2)/25)*Calculateur!FM167*Calculateur!FO167*VLOOKUP('Données projet'!$B$16,Paramètres!$A$1:$I$89,3,0)*0.475*44/12</f>
        <v>0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29.994036625670738</v>
      </c>
      <c r="FU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69.064467711432528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-1.1368683772161603E-13</v>
      </c>
      <c r="GA167" s="17">
        <f>FZ167*VLOOKUP('Données projet'!$B$17,Paramètres!$A$1:$I$89,3,0)*VLOOKUP('Données projet'!$B$17,Paramètres!$A$1:$I$89,5,0)</f>
        <v>-6.3550942286383367E-14</v>
      </c>
      <c r="GB167" s="13" t="e">
        <f t="shared" si="185"/>
        <v>#NUM!</v>
      </c>
      <c r="GC167" s="20" t="e">
        <f t="shared" si="186"/>
        <v>#NUM!</v>
      </c>
      <c r="GD167" s="57" t="e">
        <f t="shared" si="134"/>
        <v>#NUM!</v>
      </c>
      <c r="GE167" s="57">
        <f ca="1">AVERAGE(OFFSET($GD$3,0,0,'Données projet'!$E$17+1,1))-AVERAGE(OFFSET($H$3,0,0,'Données projet'!$E$17+1,1))</f>
        <v>414.47327143450701</v>
      </c>
      <c r="GF167" s="57">
        <f t="shared" si="158"/>
        <v>546.83385887302961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34.095991855531523</v>
      </c>
      <c r="GM167" s="21">
        <f>EXP(-LN(2)/25)*GM166+(1-EXP(-LN(2)/25))/(LN(2)/25)*Calculateur!GH167*Calculateur!GJ167*VLOOKUP('Données projet'!$B$17,Paramètres!$A$1:$I$89,3,0)*0.475*44/12</f>
        <v>3.0155973076954443</v>
      </c>
      <c r="GN167" s="21">
        <f>EXP(-LN(2)/2)*GN166+(1-EXP(-LN(2)/2))/(LN(2)/2)*GH167*GK167*VLOOKUP('Données projet'!$B$17,Paramètres!$A$1:$I$89,3,0)*0.475*44/12</f>
        <v>1.1531600773003186E-15</v>
      </c>
      <c r="GO167" s="21">
        <f t="shared" si="187"/>
        <v>37.111589163226967</v>
      </c>
      <c r="GP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69.064467711432528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-2.2737367544323206E-13</v>
      </c>
      <c r="GV167" s="17">
        <f>GU167*VLOOKUP('Données projet'!$B$18,Paramètres!$A$1:$I$89,3,0)*VLOOKUP('Données projet'!$B$18,Paramètres!$A$1:$I$89,5,0)</f>
        <v>-1.2414602679200471E-13</v>
      </c>
      <c r="GW167" s="13" t="e">
        <f t="shared" si="188"/>
        <v>#NUM!</v>
      </c>
      <c r="GX167" s="20" t="e">
        <f t="shared" si="189"/>
        <v>#NUM!</v>
      </c>
      <c r="GY167" s="57" t="e">
        <f t="shared" si="137"/>
        <v>#NUM!</v>
      </c>
      <c r="GZ167" s="57">
        <f ca="1">AVERAGE(OFFSET($GY$3,0,0,'Données projet'!$E$18+1,1))-AVERAGE(OFFSET($H$3,0,0,'Données projet'!$E$18+1,1))</f>
        <v>381.00532469288714</v>
      </c>
      <c r="HA167" s="57">
        <f t="shared" si="160"/>
        <v>314.875259641757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>
        <f>EXP(-LN(2)/35)*HG166+(1-EXP(-LN(2)/35))/(LN(2)/35)*HC167*HD167*VLOOKUP('Données projet'!$B$18,Paramètres!$A$1:$I$89,3,0)*0.475*44/12</f>
        <v>57.439678531148061</v>
      </c>
      <c r="HH167" s="21">
        <f>EXP(-LN(2)/25)*HH166+(1-EXP(-LN(2)/25))/(LN(2)/25)*Calculateur!HC167*Calculateur!HE167*VLOOKUP('Données projet'!$B$18,Paramètres!$A$1:$I$89,3,0)*0.475*44/12</f>
        <v>5.5949719658866011</v>
      </c>
      <c r="HI167" s="21">
        <f>EXP(-LN(2)/2)*HI166+(1-EXP(-LN(2)/2))/(LN(2)/2)*HC167*HF167*VLOOKUP('Données projet'!$B$18,Paramètres!$A$1:$I$89,3,0)*0.475*44/12</f>
        <v>5.8144313684351478E-9</v>
      </c>
      <c r="HJ167" s="22">
        <f t="shared" si="190"/>
        <v>63.03465050284909</v>
      </c>
    </row>
    <row r="168" spans="1:218" x14ac:dyDescent="0.2">
      <c r="A168" s="10">
        <f t="shared" si="161"/>
        <v>165</v>
      </c>
      <c r="B168" s="71">
        <f>'Scénario référence'!$B$16*5+'Scénario référence'!$B$17*0+'Scénario référence'!$B$18*5</f>
        <v>3.3000000000000003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12.100000000000001</v>
      </c>
      <c r="H168" s="65">
        <f t="shared" si="110"/>
        <v>208.26666666666665</v>
      </c>
      <c r="I168" s="6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69.080697105102303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-1.1527845344971866E-13</v>
      </c>
      <c r="P168" s="13" t="e">
        <f t="shared" si="141"/>
        <v>#NUM!</v>
      </c>
      <c r="Q168" s="20" t="e">
        <f t="shared" si="162"/>
        <v>#NUM!</v>
      </c>
      <c r="R168" s="57" t="e">
        <f t="shared" si="109"/>
        <v>#NUM!</v>
      </c>
      <c r="S168" s="57">
        <f ca="1">AVERAGE(OFFSET($R$3,0,0,'Données projet'!$E$9+1,1))-AVERAGE(OFFSET($H$3,0,0,'Données projet'!$E$9+1,1))</f>
        <v>332.70145542047612</v>
      </c>
      <c r="T168" s="57">
        <f t="shared" si="142"/>
        <v>172.22433737900428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46.568554361368257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46.568554361368257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69.080697105102303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-2.9842794901924208E-13</v>
      </c>
      <c r="AJ168" s="13">
        <f>AI168*VLOOKUP('Données projet'!$B$10,Paramètres!$A$1:$I$89,3,0)*VLOOKUP('Données projet'!$B$10,Paramètres!$A$1:$I$89,5,0)</f>
        <v>-2.7001760827261026E-13</v>
      </c>
      <c r="AK168" s="13" t="e">
        <f t="shared" si="164"/>
        <v>#NUM!</v>
      </c>
      <c r="AL168" s="20" t="e">
        <f t="shared" si="165"/>
        <v>#NUM!</v>
      </c>
      <c r="AM168" s="57" t="e">
        <f t="shared" si="113"/>
        <v>#NUM!</v>
      </c>
      <c r="AN168" s="57">
        <f ca="1">AVERAGE(OFFSET($AM$3,0,0,'Données projet'!$E$10+1,1))-AVERAGE(OFFSET($H$3,0,0,'Données projet'!$E$10+1,1))</f>
        <v>469.4210143164521</v>
      </c>
      <c r="AO168" s="57">
        <f t="shared" si="144"/>
        <v>308.4508386530556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137.53363204993829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137.53363204993829</v>
      </c>
      <c r="AY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69.080697105102303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7" t="e">
        <f t="shared" si="116"/>
        <v>#NUM!</v>
      </c>
      <c r="BI168" s="57">
        <f ca="1">AVERAGE(OFFSET($BH$3,0,0,'Données projet'!$E$11+1,1))-AVERAGE(OFFSET($H$3,0,0,'Données projet'!$E$11+1,1))</f>
        <v>344.32981377462971</v>
      </c>
      <c r="BJ168" s="57">
        <f t="shared" si="146"/>
        <v>334.42512656625763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21.563594714476199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21.563594714476199</v>
      </c>
      <c r="BT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69.080697105102303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4.5474735088646412E-13</v>
      </c>
      <c r="BZ168" s="13">
        <f>BY168*VLOOKUP('Données projet'!$B$12,Paramètres!$A$1:$I$89,3,0)*VLOOKUP('Données projet'!$B$12,Paramètres!$A$1:$I$89,5,0)</f>
        <v>4.3273757910355926E-13</v>
      </c>
      <c r="CA168" s="13">
        <f t="shared" si="170"/>
        <v>5.4817614357080839E-12</v>
      </c>
      <c r="CB168" s="20">
        <f t="shared" si="171"/>
        <v>1.0301085784130276E-11</v>
      </c>
      <c r="CC168" s="57">
        <f t="shared" si="119"/>
        <v>289.96255605205204</v>
      </c>
      <c r="CD168" s="57">
        <f ca="1">AVERAGE(OFFSET($CC$3,0,0,'Données projet'!$E$12+1,1))-AVERAGE(OFFSET($H$3,0,0,'Données projet'!$E$12+1,1))</f>
        <v>498.77732039282807</v>
      </c>
      <c r="CE168" s="57">
        <f t="shared" si="148"/>
        <v>384.57317421826531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75.907943287988019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75.907943287988019</v>
      </c>
      <c r="CO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69.080697105102303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-2.9842794901924208E-13</v>
      </c>
      <c r="CU168" s="17">
        <f>CT168*VLOOKUP('Données projet'!$B$13,Paramètres!$A$1:$I$89,3,0)*VLOOKUP('Données projet'!$B$13,Paramètres!$A$1:$I$89,5,0)</f>
        <v>-2.0018546820210759E-13</v>
      </c>
      <c r="CV168" s="13" t="e">
        <f t="shared" si="173"/>
        <v>#NUM!</v>
      </c>
      <c r="CW168" s="20" t="e">
        <f t="shared" si="174"/>
        <v>#NUM!</v>
      </c>
      <c r="CX168" s="57" t="e">
        <f t="shared" si="122"/>
        <v>#NUM!</v>
      </c>
      <c r="CY168" s="57">
        <f ca="1">AVERAGE(OFFSET($CX$3,0,0,'Données projet'!$E$13+1,1))-AVERAGE(OFFSET($H$3,0,0,'Données projet'!$E$13+1,1))</f>
        <v>365.99625753737246</v>
      </c>
      <c r="CZ168" s="57">
        <f t="shared" si="150"/>
        <v>242.84814712692287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125.67728445942633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125.67728445942633</v>
      </c>
      <c r="DJ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69.080697105102303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2.2737367544323206E-13</v>
      </c>
      <c r="DP168" s="17">
        <f>DO168*VLOOKUP('Données projet'!$B$14,Paramètres!$A$1:$I$89,3,0)*VLOOKUP('Données projet'!$B$14,Paramètres!$A$1:$I$89,5,0)</f>
        <v>1.4897523215040565E-13</v>
      </c>
      <c r="DQ168" s="13">
        <f t="shared" si="176"/>
        <v>2.136562777003313E-12</v>
      </c>
      <c r="DR168" s="20">
        <f t="shared" si="177"/>
        <v>3.9806453659427267E-12</v>
      </c>
      <c r="DS168" s="57">
        <f t="shared" si="125"/>
        <v>289.96255605204573</v>
      </c>
      <c r="DT168" s="57">
        <f ca="1">AVERAGE(OFFSET($DS$3,0,0,'Données projet'!$E$14+1,1))-AVERAGE(OFFSET($H$3,0,0,'Données projet'!$E$14+1,1))</f>
        <v>313.79279628660527</v>
      </c>
      <c r="DU168" s="57">
        <f t="shared" si="152"/>
        <v>317.45469955216254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20.951031567209547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20.951031567209547</v>
      </c>
      <c r="EE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69.080697105102303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-1.1368683772161603E-13</v>
      </c>
      <c r="EK168" s="17">
        <f>EJ168*VLOOKUP('Données projet'!$B$15,Paramètres!$A$1:$I$89,3,0)*VLOOKUP('Données projet'!$B$15,Paramètres!$A$1:$I$89,5,0)</f>
        <v>-9.7543306765146564E-14</v>
      </c>
      <c r="EL168" s="13" t="e">
        <f t="shared" si="179"/>
        <v>#NUM!</v>
      </c>
      <c r="EM168" s="20" t="e">
        <f t="shared" si="180"/>
        <v>#NUM!</v>
      </c>
      <c r="EN168" s="57" t="e">
        <f t="shared" si="128"/>
        <v>#NUM!</v>
      </c>
      <c r="EO168" s="57">
        <f ca="1">AVERAGE(OFFSET($EN$3,0,0,'Données projet'!$E$15+1,1))-AVERAGE(OFFSET($H$3,0,0,'Données projet'!$E$15+1,1))</f>
        <v>643.04899298561475</v>
      </c>
      <c r="EP168" s="57">
        <f t="shared" si="154"/>
        <v>474.94999304483031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77.657799881144854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77.657799881144854</v>
      </c>
      <c r="EZ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69.080697105102303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>
        <f>FE168*VLOOKUP('Données projet'!$B$16,Paramètres!$A$1:$I$89,3,0)*VLOOKUP('Données projet'!$B$16,Paramètres!$A$1:$I$89,5,0)</f>
        <v>0</v>
      </c>
      <c r="FG168" s="13" t="e">
        <f t="shared" si="182"/>
        <v>#NUM!</v>
      </c>
      <c r="FH168" s="20" t="e">
        <f t="shared" si="183"/>
        <v>#NUM!</v>
      </c>
      <c r="FI168" s="57" t="e">
        <f t="shared" si="131"/>
        <v>#NUM!</v>
      </c>
      <c r="FJ168" s="57">
        <f ca="1">AVERAGE(OFFSET($FI$3,0,0,'Données projet'!$E$16+1,1))-AVERAGE(OFFSET($H$3,0,0,'Données projet'!$E$16+1,1))</f>
        <v>375.34603719604439</v>
      </c>
      <c r="FK168" s="57">
        <f t="shared" si="156"/>
        <v>363.99476973672211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29.405871861997237</v>
      </c>
      <c r="FR168" s="21">
        <f>EXP(-LN(2)/25)*FR167+(1-EXP(-LN(2)/25))/(LN(2)/25)*Calculateur!FM168*Calculateur!FO168*VLOOKUP('Données projet'!$B$16,Paramètres!$A$1:$I$89,3,0)*0.475*44/12</f>
        <v>0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29.405871861997237</v>
      </c>
      <c r="FU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69.080697105102303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-1.1368683772161603E-13</v>
      </c>
      <c r="GA168" s="17">
        <f>FZ168*VLOOKUP('Données projet'!$B$17,Paramètres!$A$1:$I$89,3,0)*VLOOKUP('Données projet'!$B$17,Paramètres!$A$1:$I$89,5,0)</f>
        <v>-6.3550942286383367E-14</v>
      </c>
      <c r="GB168" s="13" t="e">
        <f t="shared" si="185"/>
        <v>#NUM!</v>
      </c>
      <c r="GC168" s="20" t="e">
        <f t="shared" si="186"/>
        <v>#NUM!</v>
      </c>
      <c r="GD168" s="57" t="e">
        <f t="shared" si="134"/>
        <v>#NUM!</v>
      </c>
      <c r="GE168" s="57">
        <f ca="1">AVERAGE(OFFSET($GD$3,0,0,'Données projet'!$E$17+1,1))-AVERAGE(OFFSET($H$3,0,0,'Données projet'!$E$17+1,1))</f>
        <v>414.47327143450701</v>
      </c>
      <c r="GF168" s="57">
        <f t="shared" si="158"/>
        <v>546.83385887302961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33.427390251746097</v>
      </c>
      <c r="GM168" s="21">
        <f>EXP(-LN(2)/25)*GM167+(1-EXP(-LN(2)/25))/(LN(2)/25)*Calculateur!GH168*Calculateur!GJ168*VLOOKUP('Données projet'!$B$17,Paramètres!$A$1:$I$89,3,0)*0.475*44/12</f>
        <v>2.9331356407331421</v>
      </c>
      <c r="GN168" s="21">
        <f>EXP(-LN(2)/2)*GN167+(1-EXP(-LN(2)/2))/(LN(2)/2)*GH168*GK168*VLOOKUP('Données projet'!$B$17,Paramètres!$A$1:$I$89,3,0)*0.475*44/12</f>
        <v>8.1540731045265861E-16</v>
      </c>
      <c r="GO168" s="21">
        <f t="shared" si="187"/>
        <v>36.360525892479238</v>
      </c>
      <c r="GP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69.080697105102303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-2.2737367544323206E-13</v>
      </c>
      <c r="GV168" s="17">
        <f>GU168*VLOOKUP('Données projet'!$B$18,Paramètres!$A$1:$I$89,3,0)*VLOOKUP('Données projet'!$B$18,Paramètres!$A$1:$I$89,5,0)</f>
        <v>-1.2414602679200471E-13</v>
      </c>
      <c r="GW168" s="13" t="e">
        <f t="shared" si="188"/>
        <v>#NUM!</v>
      </c>
      <c r="GX168" s="20" t="e">
        <f t="shared" si="189"/>
        <v>#NUM!</v>
      </c>
      <c r="GY168" s="57" t="e">
        <f t="shared" si="137"/>
        <v>#NUM!</v>
      </c>
      <c r="GZ168" s="57">
        <f ca="1">AVERAGE(OFFSET($GY$3,0,0,'Données projet'!$E$18+1,1))-AVERAGE(OFFSET($H$3,0,0,'Données projet'!$E$18+1,1))</f>
        <v>381.00532469288714</v>
      </c>
      <c r="HA168" s="57">
        <f t="shared" si="160"/>
        <v>314.875259641757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>
        <f>EXP(-LN(2)/35)*HG167+(1-EXP(-LN(2)/35))/(LN(2)/35)*HC168*HD168*VLOOKUP('Données projet'!$B$18,Paramètres!$A$1:$I$89,3,0)*0.475*44/12</f>
        <v>56.313321469896756</v>
      </c>
      <c r="HH168" s="21">
        <f>EXP(-LN(2)/25)*HH167+(1-EXP(-LN(2)/25))/(LN(2)/25)*Calculateur!HC168*Calculateur!HE168*VLOOKUP('Données projet'!$B$18,Paramètres!$A$1:$I$89,3,0)*0.475*44/12</f>
        <v>5.4419771632526439</v>
      </c>
      <c r="HI168" s="21">
        <f>EXP(-LN(2)/2)*HI167+(1-EXP(-LN(2)/2))/(LN(2)/2)*HC168*HF168*VLOOKUP('Données projet'!$B$18,Paramètres!$A$1:$I$89,3,0)*0.475*44/12</f>
        <v>4.1114238493642702E-9</v>
      </c>
      <c r="HJ168" s="22">
        <f t="shared" si="190"/>
        <v>61.755298637260822</v>
      </c>
    </row>
    <row r="169" spans="1:218" x14ac:dyDescent="0.2">
      <c r="A169" s="10">
        <f t="shared" si="161"/>
        <v>166</v>
      </c>
      <c r="B169" s="71">
        <f>'Scénario référence'!$B$16*5+'Scénario référence'!$B$17*0+'Scénario référence'!$B$18*5</f>
        <v>3.3000000000000003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12.100000000000001</v>
      </c>
      <c r="H169" s="65">
        <f t="shared" si="110"/>
        <v>208.26666666666665</v>
      </c>
      <c r="I169" s="6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69.096644955075419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-1.1527845344971866E-13</v>
      </c>
      <c r="P169" s="13" t="e">
        <f t="shared" si="141"/>
        <v>#NUM!</v>
      </c>
      <c r="Q169" s="20" t="e">
        <f t="shared" si="162"/>
        <v>#NUM!</v>
      </c>
      <c r="R169" s="57" t="e">
        <f t="shared" si="109"/>
        <v>#NUM!</v>
      </c>
      <c r="S169" s="57">
        <f ca="1">AVERAGE(OFFSET($R$3,0,0,'Données projet'!$E$9+1,1))-AVERAGE(OFFSET($H$3,0,0,'Données projet'!$E$9+1,1))</f>
        <v>332.70145542047612</v>
      </c>
      <c r="T169" s="57">
        <f t="shared" si="142"/>
        <v>172.22433737900428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45.655373414355324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45.655373414355324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69.096644955075419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-2.9842794901924208E-13</v>
      </c>
      <c r="AJ169" s="13">
        <f>AI169*VLOOKUP('Données projet'!$B$10,Paramètres!$A$1:$I$89,3,0)*VLOOKUP('Données projet'!$B$10,Paramètres!$A$1:$I$89,5,0)</f>
        <v>-2.7001760827261026E-13</v>
      </c>
      <c r="AK169" s="13" t="e">
        <f t="shared" si="164"/>
        <v>#NUM!</v>
      </c>
      <c r="AL169" s="20" t="e">
        <f t="shared" si="165"/>
        <v>#NUM!</v>
      </c>
      <c r="AM169" s="57" t="e">
        <f t="shared" si="113"/>
        <v>#NUM!</v>
      </c>
      <c r="AN169" s="57">
        <f ca="1">AVERAGE(OFFSET($AM$3,0,0,'Données projet'!$E$10+1,1))-AVERAGE(OFFSET($H$3,0,0,'Données projet'!$E$10+1,1))</f>
        <v>469.4210143164521</v>
      </c>
      <c r="AO169" s="57">
        <f t="shared" si="144"/>
        <v>308.4508386530556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134.83668141267137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134.83668141267137</v>
      </c>
      <c r="AY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69.096644955075419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7" t="e">
        <f t="shared" si="116"/>
        <v>#NUM!</v>
      </c>
      <c r="BI169" s="57">
        <f ca="1">AVERAGE(OFFSET($BH$3,0,0,'Données projet'!$E$11+1,1))-AVERAGE(OFFSET($H$3,0,0,'Données projet'!$E$11+1,1))</f>
        <v>344.32981377462971</v>
      </c>
      <c r="BJ169" s="57">
        <f t="shared" si="146"/>
        <v>334.42512656625763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21.140745774619397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21.140745774619397</v>
      </c>
      <c r="BT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69.096644955075419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4.5474735088646412E-13</v>
      </c>
      <c r="BZ169" s="13">
        <f>BY169*VLOOKUP('Données projet'!$B$12,Paramètres!$A$1:$I$89,3,0)*VLOOKUP('Données projet'!$B$12,Paramètres!$A$1:$I$89,5,0)</f>
        <v>4.3273757910355926E-13</v>
      </c>
      <c r="CA169" s="13">
        <f t="shared" si="170"/>
        <v>5.4817614357080839E-12</v>
      </c>
      <c r="CB169" s="20">
        <f t="shared" si="171"/>
        <v>1.0301085784130276E-11</v>
      </c>
      <c r="CC169" s="57">
        <f t="shared" si="119"/>
        <v>290.02103150195353</v>
      </c>
      <c r="CD169" s="57">
        <f ca="1">AVERAGE(OFFSET($CC$3,0,0,'Données projet'!$E$12+1,1))-AVERAGE(OFFSET($H$3,0,0,'Données projet'!$E$12+1,1))</f>
        <v>498.77732039282807</v>
      </c>
      <c r="CE169" s="57">
        <f t="shared" si="148"/>
        <v>384.57317421826531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74.419434819384307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74.419434819384307</v>
      </c>
      <c r="CO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69.096644955075419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-2.9842794901924208E-13</v>
      </c>
      <c r="CU169" s="17">
        <f>CT169*VLOOKUP('Données projet'!$B$13,Paramètres!$A$1:$I$89,3,0)*VLOOKUP('Données projet'!$B$13,Paramètres!$A$1:$I$89,5,0)</f>
        <v>-2.0018546820210759E-13</v>
      </c>
      <c r="CV169" s="13" t="e">
        <f t="shared" si="173"/>
        <v>#NUM!</v>
      </c>
      <c r="CW169" s="20" t="e">
        <f t="shared" si="174"/>
        <v>#NUM!</v>
      </c>
      <c r="CX169" s="57" t="e">
        <f t="shared" si="122"/>
        <v>#NUM!</v>
      </c>
      <c r="CY169" s="57">
        <f ca="1">AVERAGE(OFFSET($CX$3,0,0,'Données projet'!$E$13+1,1))-AVERAGE(OFFSET($H$3,0,0,'Données projet'!$E$13+1,1))</f>
        <v>365.99625753737246</v>
      </c>
      <c r="CZ169" s="57">
        <f t="shared" si="150"/>
        <v>242.84814712692287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123.2128295667514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123.2128295667514</v>
      </c>
      <c r="DJ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69.096644955075419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2.2737367544323206E-13</v>
      </c>
      <c r="DP169" s="17">
        <f>DO169*VLOOKUP('Données projet'!$B$14,Paramètres!$A$1:$I$89,3,0)*VLOOKUP('Données projet'!$B$14,Paramètres!$A$1:$I$89,5,0)</f>
        <v>1.4897523215040565E-13</v>
      </c>
      <c r="DQ169" s="13">
        <f t="shared" si="176"/>
        <v>2.136562777003313E-12</v>
      </c>
      <c r="DR169" s="20">
        <f t="shared" si="177"/>
        <v>3.9806453659427267E-12</v>
      </c>
      <c r="DS169" s="57">
        <f t="shared" si="125"/>
        <v>290.02103150194722</v>
      </c>
      <c r="DT169" s="57">
        <f ca="1">AVERAGE(OFFSET($DS$3,0,0,'Données projet'!$E$14+1,1))-AVERAGE(OFFSET($H$3,0,0,'Données projet'!$E$14+1,1))</f>
        <v>313.79279628660527</v>
      </c>
      <c r="DU169" s="57">
        <f t="shared" si="152"/>
        <v>317.45469955216254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20.540194617044016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20.540194617044016</v>
      </c>
      <c r="EE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69.096644955075419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-1.1368683772161603E-13</v>
      </c>
      <c r="EK169" s="17">
        <f>EJ169*VLOOKUP('Données projet'!$B$15,Paramètres!$A$1:$I$89,3,0)*VLOOKUP('Données projet'!$B$15,Paramètres!$A$1:$I$89,5,0)</f>
        <v>-9.7543306765146564E-14</v>
      </c>
      <c r="EL169" s="13" t="e">
        <f t="shared" si="179"/>
        <v>#NUM!</v>
      </c>
      <c r="EM169" s="20" t="e">
        <f t="shared" si="180"/>
        <v>#NUM!</v>
      </c>
      <c r="EN169" s="57" t="e">
        <f t="shared" si="128"/>
        <v>#NUM!</v>
      </c>
      <c r="EO169" s="57">
        <f ca="1">AVERAGE(OFFSET($EN$3,0,0,'Données projet'!$E$15+1,1))-AVERAGE(OFFSET($H$3,0,0,'Données projet'!$E$15+1,1))</f>
        <v>643.04899298561475</v>
      </c>
      <c r="EP169" s="57">
        <f t="shared" si="154"/>
        <v>474.94999304483031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76.134977792056475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76.134977792056475</v>
      </c>
      <c r="EZ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69.096644955075419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>
        <f>FE169*VLOOKUP('Données projet'!$B$16,Paramètres!$A$1:$I$89,3,0)*VLOOKUP('Données projet'!$B$16,Paramètres!$A$1:$I$89,5,0)</f>
        <v>0</v>
      </c>
      <c r="FG169" s="13" t="e">
        <f t="shared" si="182"/>
        <v>#NUM!</v>
      </c>
      <c r="FH169" s="20" t="e">
        <f t="shared" si="183"/>
        <v>#NUM!</v>
      </c>
      <c r="FI169" s="57" t="e">
        <f t="shared" si="131"/>
        <v>#NUM!</v>
      </c>
      <c r="FJ169" s="57">
        <f ca="1">AVERAGE(OFFSET($FI$3,0,0,'Données projet'!$E$16+1,1))-AVERAGE(OFFSET($H$3,0,0,'Données projet'!$E$16+1,1))</f>
        <v>375.34603719604439</v>
      </c>
      <c r="FK169" s="57">
        <f t="shared" si="156"/>
        <v>363.99476973672211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28.829240650594294</v>
      </c>
      <c r="FR169" s="21">
        <f>EXP(-LN(2)/25)*FR168+(1-EXP(-LN(2)/25))/(LN(2)/25)*Calculateur!FM169*Calculateur!FO169*VLOOKUP('Données projet'!$B$16,Paramètres!$A$1:$I$89,3,0)*0.475*44/12</f>
        <v>0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28.829240650594294</v>
      </c>
      <c r="FU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69.096644955075419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-1.1368683772161603E-13</v>
      </c>
      <c r="GA169" s="17">
        <f>FZ169*VLOOKUP('Données projet'!$B$17,Paramètres!$A$1:$I$89,3,0)*VLOOKUP('Données projet'!$B$17,Paramètres!$A$1:$I$89,5,0)</f>
        <v>-6.3550942286383367E-14</v>
      </c>
      <c r="GB169" s="13" t="e">
        <f t="shared" si="185"/>
        <v>#NUM!</v>
      </c>
      <c r="GC169" s="20" t="e">
        <f t="shared" si="186"/>
        <v>#NUM!</v>
      </c>
      <c r="GD169" s="57" t="e">
        <f t="shared" si="134"/>
        <v>#NUM!</v>
      </c>
      <c r="GE169" s="57">
        <f ca="1">AVERAGE(OFFSET($GD$3,0,0,'Données projet'!$E$17+1,1))-AVERAGE(OFFSET($H$3,0,0,'Données projet'!$E$17+1,1))</f>
        <v>414.47327143450701</v>
      </c>
      <c r="GF169" s="57">
        <f t="shared" si="158"/>
        <v>546.83385887302961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32.77189951760419</v>
      </c>
      <c r="GM169" s="21">
        <f>EXP(-LN(2)/25)*GM168+(1-EXP(-LN(2)/25))/(LN(2)/25)*Calculateur!GH169*Calculateur!GJ169*VLOOKUP('Données projet'!$B$17,Paramètres!$A$1:$I$89,3,0)*0.475*44/12</f>
        <v>2.8529288923903948</v>
      </c>
      <c r="GN169" s="21">
        <f>EXP(-LN(2)/2)*GN168+(1-EXP(-LN(2)/2))/(LN(2)/2)*GH169*GK169*VLOOKUP('Données projet'!$B$17,Paramètres!$A$1:$I$89,3,0)*0.475*44/12</f>
        <v>5.7658003865015929E-16</v>
      </c>
      <c r="GO169" s="21">
        <f t="shared" si="187"/>
        <v>35.624828409994585</v>
      </c>
      <c r="GP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69.096644955075419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-2.2737367544323206E-13</v>
      </c>
      <c r="GV169" s="17">
        <f>GU169*VLOOKUP('Données projet'!$B$18,Paramètres!$A$1:$I$89,3,0)*VLOOKUP('Données projet'!$B$18,Paramètres!$A$1:$I$89,5,0)</f>
        <v>-1.2414602679200471E-13</v>
      </c>
      <c r="GW169" s="13" t="e">
        <f t="shared" si="188"/>
        <v>#NUM!</v>
      </c>
      <c r="GX169" s="20" t="e">
        <f t="shared" si="189"/>
        <v>#NUM!</v>
      </c>
      <c r="GY169" s="57" t="e">
        <f t="shared" si="137"/>
        <v>#NUM!</v>
      </c>
      <c r="GZ169" s="57">
        <f ca="1">AVERAGE(OFFSET($GY$3,0,0,'Données projet'!$E$18+1,1))-AVERAGE(OFFSET($H$3,0,0,'Données projet'!$E$18+1,1))</f>
        <v>381.00532469288714</v>
      </c>
      <c r="HA169" s="57">
        <f t="shared" si="160"/>
        <v>314.875259641757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>
        <f>EXP(-LN(2)/35)*HG168+(1-EXP(-LN(2)/35))/(LN(2)/35)*HC169*HD169*VLOOKUP('Données projet'!$B$18,Paramètres!$A$1:$I$89,3,0)*0.475*44/12</f>
        <v>55.209051583606623</v>
      </c>
      <c r="HH169" s="21">
        <f>EXP(-LN(2)/25)*HH168+(1-EXP(-LN(2)/25))/(LN(2)/25)*Calculateur!HC169*Calculateur!HE169*VLOOKUP('Données projet'!$B$18,Paramètres!$A$1:$I$89,3,0)*0.475*44/12</f>
        <v>5.2931660115423593</v>
      </c>
      <c r="HI169" s="21">
        <f>EXP(-LN(2)/2)*HI168+(1-EXP(-LN(2)/2))/(LN(2)/2)*HC169*HF169*VLOOKUP('Données projet'!$B$18,Paramètres!$A$1:$I$89,3,0)*0.475*44/12</f>
        <v>2.9072156842175739E-9</v>
      </c>
      <c r="HJ169" s="22">
        <f t="shared" si="190"/>
        <v>60.502217598056198</v>
      </c>
    </row>
    <row r="170" spans="1:218" x14ac:dyDescent="0.2">
      <c r="A170" s="10">
        <f t="shared" si="161"/>
        <v>167</v>
      </c>
      <c r="B170" s="71">
        <f>'Scénario référence'!$B$16*5+'Scénario référence'!$B$17*0+'Scénario référence'!$B$18*5</f>
        <v>3.3000000000000003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12.100000000000001</v>
      </c>
      <c r="H170" s="65">
        <f t="shared" si="110"/>
        <v>208.26666666666665</v>
      </c>
      <c r="I170" s="6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69.112316145505531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-1.1527845344971866E-13</v>
      </c>
      <c r="P170" s="13" t="e">
        <f t="shared" si="141"/>
        <v>#NUM!</v>
      </c>
      <c r="Q170" s="20" t="e">
        <f t="shared" si="162"/>
        <v>#NUM!</v>
      </c>
      <c r="R170" s="57" t="e">
        <f t="shared" si="109"/>
        <v>#NUM!</v>
      </c>
      <c r="S170" s="57">
        <f ca="1">AVERAGE(OFFSET($R$3,0,0,'Données projet'!$E$9+1,1))-AVERAGE(OFFSET($H$3,0,0,'Données projet'!$E$9+1,1))</f>
        <v>332.70145542047612</v>
      </c>
      <c r="T170" s="57">
        <f t="shared" si="142"/>
        <v>172.22433737900428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44.76009938872793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44.76009938872793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69.112316145505531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-2.9842794901924208E-13</v>
      </c>
      <c r="AJ170" s="13">
        <f>AI170*VLOOKUP('Données projet'!$B$10,Paramètres!$A$1:$I$89,3,0)*VLOOKUP('Données projet'!$B$10,Paramètres!$A$1:$I$89,5,0)</f>
        <v>-2.7001760827261026E-13</v>
      </c>
      <c r="AK170" s="13" t="e">
        <f t="shared" si="164"/>
        <v>#NUM!</v>
      </c>
      <c r="AL170" s="20" t="e">
        <f t="shared" si="165"/>
        <v>#NUM!</v>
      </c>
      <c r="AM170" s="57" t="e">
        <f t="shared" si="113"/>
        <v>#NUM!</v>
      </c>
      <c r="AN170" s="57">
        <f ca="1">AVERAGE(OFFSET($AM$3,0,0,'Données projet'!$E$10+1,1))-AVERAGE(OFFSET($H$3,0,0,'Données projet'!$E$10+1,1))</f>
        <v>469.4210143164521</v>
      </c>
      <c r="AO170" s="57">
        <f t="shared" si="144"/>
        <v>308.4508386530556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132.1926163324238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132.1926163324238</v>
      </c>
      <c r="AY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69.112316145505531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7" t="e">
        <f t="shared" si="116"/>
        <v>#NUM!</v>
      </c>
      <c r="BI170" s="57">
        <f ca="1">AVERAGE(OFFSET($BH$3,0,0,'Données projet'!$E$11+1,1))-AVERAGE(OFFSET($H$3,0,0,'Données projet'!$E$11+1,1))</f>
        <v>344.32981377462971</v>
      </c>
      <c r="BJ170" s="57">
        <f t="shared" si="146"/>
        <v>334.42512656625763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20.7261886445608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20.7261886445608</v>
      </c>
      <c r="BT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69.112316145505531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4.5474735088646412E-13</v>
      </c>
      <c r="BZ170" s="13">
        <f>BY170*VLOOKUP('Données projet'!$B$12,Paramètres!$A$1:$I$89,3,0)*VLOOKUP('Données projet'!$B$12,Paramètres!$A$1:$I$89,5,0)</f>
        <v>4.3273757910355926E-13</v>
      </c>
      <c r="CA170" s="13">
        <f t="shared" si="170"/>
        <v>5.4817614357080839E-12</v>
      </c>
      <c r="CB170" s="20">
        <f t="shared" si="171"/>
        <v>1.0301085784130276E-11</v>
      </c>
      <c r="CC170" s="57">
        <f t="shared" si="119"/>
        <v>290.07849253353061</v>
      </c>
      <c r="CD170" s="57">
        <f ca="1">AVERAGE(OFFSET($CC$3,0,0,'Données projet'!$E$12+1,1))-AVERAGE(OFFSET($H$3,0,0,'Données projet'!$E$12+1,1))</f>
        <v>498.77732039282807</v>
      </c>
      <c r="CE170" s="57">
        <f t="shared" si="148"/>
        <v>384.57317421826531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72.960115093949398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72.960115093949398</v>
      </c>
      <c r="CO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69.112316145505531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-2.9842794901924208E-13</v>
      </c>
      <c r="CU170" s="17">
        <f>CT170*VLOOKUP('Données projet'!$B$13,Paramètres!$A$1:$I$89,3,0)*VLOOKUP('Données projet'!$B$13,Paramètres!$A$1:$I$89,5,0)</f>
        <v>-2.0018546820210759E-13</v>
      </c>
      <c r="CV170" s="13" t="e">
        <f t="shared" si="173"/>
        <v>#NUM!</v>
      </c>
      <c r="CW170" s="20" t="e">
        <f t="shared" si="174"/>
        <v>#NUM!</v>
      </c>
      <c r="CX170" s="57" t="e">
        <f t="shared" si="122"/>
        <v>#NUM!</v>
      </c>
      <c r="CY170" s="57">
        <f ca="1">AVERAGE(OFFSET($CX$3,0,0,'Données projet'!$E$13+1,1))-AVERAGE(OFFSET($H$3,0,0,'Données projet'!$E$13+1,1))</f>
        <v>365.99625753737246</v>
      </c>
      <c r="CZ170" s="57">
        <f t="shared" si="150"/>
        <v>242.84814712692287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120.79670113135275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120.79670113135275</v>
      </c>
      <c r="DJ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69.112316145505531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2.2737367544323206E-13</v>
      </c>
      <c r="DP170" s="17">
        <f>DO170*VLOOKUP('Données projet'!$B$14,Paramètres!$A$1:$I$89,3,0)*VLOOKUP('Données projet'!$B$14,Paramètres!$A$1:$I$89,5,0)</f>
        <v>1.4897523215040565E-13</v>
      </c>
      <c r="DQ170" s="13">
        <f t="shared" si="176"/>
        <v>2.136562777003313E-12</v>
      </c>
      <c r="DR170" s="20">
        <f t="shared" si="177"/>
        <v>3.9806453659427267E-12</v>
      </c>
      <c r="DS170" s="57">
        <f t="shared" si="125"/>
        <v>290.0784925335243</v>
      </c>
      <c r="DT170" s="57">
        <f ca="1">AVERAGE(OFFSET($DS$3,0,0,'Données projet'!$E$14+1,1))-AVERAGE(OFFSET($H$3,0,0,'Données projet'!$E$14+1,1))</f>
        <v>313.79279628660527</v>
      </c>
      <c r="DU170" s="57">
        <f t="shared" si="152"/>
        <v>317.45469955216254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20.137413928885433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20.137413928885433</v>
      </c>
      <c r="EE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69.112316145505531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-1.1368683772161603E-13</v>
      </c>
      <c r="EK170" s="17">
        <f>EJ170*VLOOKUP('Données projet'!$B$15,Paramètres!$A$1:$I$89,3,0)*VLOOKUP('Données projet'!$B$15,Paramètres!$A$1:$I$89,5,0)</f>
        <v>-9.7543306765146564E-14</v>
      </c>
      <c r="EL170" s="13" t="e">
        <f t="shared" si="179"/>
        <v>#NUM!</v>
      </c>
      <c r="EM170" s="20" t="e">
        <f t="shared" si="180"/>
        <v>#NUM!</v>
      </c>
      <c r="EN170" s="57" t="e">
        <f t="shared" si="128"/>
        <v>#NUM!</v>
      </c>
      <c r="EO170" s="57">
        <f ca="1">AVERAGE(OFFSET($EN$3,0,0,'Données projet'!$E$15+1,1))-AVERAGE(OFFSET($H$3,0,0,'Données projet'!$E$15+1,1))</f>
        <v>643.04899298561475</v>
      </c>
      <c r="EP170" s="57">
        <f t="shared" si="154"/>
        <v>474.94999304483031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74.642017315305353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74.642017315305353</v>
      </c>
      <c r="EZ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69.112316145505531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>
        <f>FE170*VLOOKUP('Données projet'!$B$16,Paramètres!$A$1:$I$89,3,0)*VLOOKUP('Données projet'!$B$16,Paramètres!$A$1:$I$89,5,0)</f>
        <v>0</v>
      </c>
      <c r="FG170" s="13" t="e">
        <f t="shared" si="182"/>
        <v>#NUM!</v>
      </c>
      <c r="FH170" s="20" t="e">
        <f t="shared" si="183"/>
        <v>#NUM!</v>
      </c>
      <c r="FI170" s="57" t="e">
        <f t="shared" si="131"/>
        <v>#NUM!</v>
      </c>
      <c r="FJ170" s="57">
        <f ca="1">AVERAGE(OFFSET($FI$3,0,0,'Données projet'!$E$16+1,1))-AVERAGE(OFFSET($H$3,0,0,'Données projet'!$E$16+1,1))</f>
        <v>375.34603719604439</v>
      </c>
      <c r="FK170" s="57">
        <f t="shared" si="156"/>
        <v>363.99476973672211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28.263916825536651</v>
      </c>
      <c r="FR170" s="21">
        <f>EXP(-LN(2)/25)*FR169+(1-EXP(-LN(2)/25))/(LN(2)/25)*Calculateur!FM170*Calculateur!FO170*VLOOKUP('Données projet'!$B$16,Paramètres!$A$1:$I$89,3,0)*0.475*44/12</f>
        <v>0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28.263916825536651</v>
      </c>
      <c r="FU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69.112316145505531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-1.1368683772161603E-13</v>
      </c>
      <c r="GA170" s="17">
        <f>FZ170*VLOOKUP('Données projet'!$B$17,Paramètres!$A$1:$I$89,3,0)*VLOOKUP('Données projet'!$B$17,Paramètres!$A$1:$I$89,5,0)</f>
        <v>-6.3550942286383367E-14</v>
      </c>
      <c r="GB170" s="13" t="e">
        <f t="shared" si="185"/>
        <v>#NUM!</v>
      </c>
      <c r="GC170" s="20" t="e">
        <f t="shared" si="186"/>
        <v>#NUM!</v>
      </c>
      <c r="GD170" s="57" t="e">
        <f t="shared" si="134"/>
        <v>#NUM!</v>
      </c>
      <c r="GE170" s="57">
        <f ca="1">AVERAGE(OFFSET($GD$3,0,0,'Données projet'!$E$17+1,1))-AVERAGE(OFFSET($H$3,0,0,'Données projet'!$E$17+1,1))</f>
        <v>414.47327143450701</v>
      </c>
      <c r="GF170" s="57">
        <f t="shared" si="158"/>
        <v>546.83385887302961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32.129262556948937</v>
      </c>
      <c r="GM170" s="21">
        <f>EXP(-LN(2)/25)*GM169+(1-EXP(-LN(2)/25))/(LN(2)/25)*Calculateur!GH170*Calculateur!GJ170*VLOOKUP('Données projet'!$B$17,Paramètres!$A$1:$I$89,3,0)*0.475*44/12</f>
        <v>2.7749154017989697</v>
      </c>
      <c r="GN170" s="21">
        <f>EXP(-LN(2)/2)*GN169+(1-EXP(-LN(2)/2))/(LN(2)/2)*GH170*GK170*VLOOKUP('Données projet'!$B$17,Paramètres!$A$1:$I$89,3,0)*0.475*44/12</f>
        <v>4.077036552263293E-16</v>
      </c>
      <c r="GO170" s="21">
        <f t="shared" si="187"/>
        <v>34.904177958747908</v>
      </c>
      <c r="GP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69.112316145505531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-2.2737367544323206E-13</v>
      </c>
      <c r="GV170" s="17">
        <f>GU170*VLOOKUP('Données projet'!$B$18,Paramètres!$A$1:$I$89,3,0)*VLOOKUP('Données projet'!$B$18,Paramètres!$A$1:$I$89,5,0)</f>
        <v>-1.2414602679200471E-13</v>
      </c>
      <c r="GW170" s="13" t="e">
        <f t="shared" si="188"/>
        <v>#NUM!</v>
      </c>
      <c r="GX170" s="20" t="e">
        <f t="shared" si="189"/>
        <v>#NUM!</v>
      </c>
      <c r="GY170" s="57" t="e">
        <f t="shared" si="137"/>
        <v>#NUM!</v>
      </c>
      <c r="GZ170" s="57">
        <f ca="1">AVERAGE(OFFSET($GY$3,0,0,'Données projet'!$E$18+1,1))-AVERAGE(OFFSET($H$3,0,0,'Données projet'!$E$18+1,1))</f>
        <v>381.00532469288714</v>
      </c>
      <c r="HA170" s="57">
        <f t="shared" si="160"/>
        <v>314.875259641757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>
        <f>EXP(-LN(2)/35)*HG169+(1-EXP(-LN(2)/35))/(LN(2)/35)*HC170*HD170*VLOOKUP('Données projet'!$B$18,Paramètres!$A$1:$I$89,3,0)*0.475*44/12</f>
        <v>54.126435756248512</v>
      </c>
      <c r="HH170" s="21">
        <f>EXP(-LN(2)/25)*HH169+(1-EXP(-LN(2)/25))/(LN(2)/25)*Calculateur!HC170*Calculateur!HE170*VLOOKUP('Données projet'!$B$18,Paramètres!$A$1:$I$89,3,0)*0.475*44/12</f>
        <v>5.1484241086012306</v>
      </c>
      <c r="HI170" s="21">
        <f>EXP(-LN(2)/2)*HI169+(1-EXP(-LN(2)/2))/(LN(2)/2)*HC170*HF170*VLOOKUP('Données projet'!$B$18,Paramètres!$A$1:$I$89,3,0)*0.475*44/12</f>
        <v>2.0557119246821351E-9</v>
      </c>
      <c r="HJ170" s="22">
        <f t="shared" si="190"/>
        <v>59.274859866905459</v>
      </c>
    </row>
    <row r="171" spans="1:218" x14ac:dyDescent="0.2">
      <c r="A171" s="10">
        <f t="shared" si="161"/>
        <v>168</v>
      </c>
      <c r="B171" s="71">
        <f>'Scénario référence'!$B$16*5+'Scénario référence'!$B$17*0+'Scénario référence'!$B$18*5</f>
        <v>3.3000000000000003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12.100000000000001</v>
      </c>
      <c r="H171" s="65">
        <f t="shared" si="110"/>
        <v>208.26666666666665</v>
      </c>
      <c r="I171" s="6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69.127715475817226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-1.1527845344971866E-13</v>
      </c>
      <c r="P171" s="13" t="e">
        <f t="shared" si="141"/>
        <v>#NUM!</v>
      </c>
      <c r="Q171" s="20" t="e">
        <f t="shared" si="162"/>
        <v>#NUM!</v>
      </c>
      <c r="R171" s="57" t="e">
        <f t="shared" si="109"/>
        <v>#NUM!</v>
      </c>
      <c r="S171" s="57">
        <f ca="1">AVERAGE(OFFSET($R$3,0,0,'Données projet'!$E$9+1,1))-AVERAGE(OFFSET($H$3,0,0,'Données projet'!$E$9+1,1))</f>
        <v>332.70145542047612</v>
      </c>
      <c r="T171" s="57">
        <f t="shared" si="142"/>
        <v>172.22433737900428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43.882381140679854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43.882381140679854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69.127715475817226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-2.9842794901924208E-13</v>
      </c>
      <c r="AJ171" s="13">
        <f>AI171*VLOOKUP('Données projet'!$B$10,Paramètres!$A$1:$I$89,3,0)*VLOOKUP('Données projet'!$B$10,Paramètres!$A$1:$I$89,5,0)</f>
        <v>-2.7001760827261026E-13</v>
      </c>
      <c r="AK171" s="13" t="e">
        <f t="shared" si="164"/>
        <v>#NUM!</v>
      </c>
      <c r="AL171" s="20" t="e">
        <f t="shared" si="165"/>
        <v>#NUM!</v>
      </c>
      <c r="AM171" s="57" t="e">
        <f t="shared" si="113"/>
        <v>#NUM!</v>
      </c>
      <c r="AN171" s="57">
        <f ca="1">AVERAGE(OFFSET($AM$3,0,0,'Données projet'!$E$10+1,1))-AVERAGE(OFFSET($H$3,0,0,'Données projet'!$E$10+1,1))</f>
        <v>469.4210143164521</v>
      </c>
      <c r="AO171" s="57">
        <f t="shared" si="144"/>
        <v>308.4508386530556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129.60039975567943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129.60039975567943</v>
      </c>
      <c r="AY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69.127715475817226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7" t="e">
        <f t="shared" si="116"/>
        <v>#NUM!</v>
      </c>
      <c r="BI171" s="57">
        <f ca="1">AVERAGE(OFFSET($BH$3,0,0,'Données projet'!$E$11+1,1))-AVERAGE(OFFSET($H$3,0,0,'Données projet'!$E$11+1,1))</f>
        <v>344.32981377462971</v>
      </c>
      <c r="BJ171" s="57">
        <f t="shared" si="146"/>
        <v>334.42512656625763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20.319760726967768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20.319760726967768</v>
      </c>
      <c r="BT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69.127715475817226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4.5474735088646412E-13</v>
      </c>
      <c r="BZ171" s="13">
        <f>BY171*VLOOKUP('Données projet'!$B$12,Paramètres!$A$1:$I$89,3,0)*VLOOKUP('Données projet'!$B$12,Paramètres!$A$1:$I$89,5,0)</f>
        <v>4.3273757910355926E-13</v>
      </c>
      <c r="CA171" s="13">
        <f t="shared" si="170"/>
        <v>5.4817614357080839E-12</v>
      </c>
      <c r="CB171" s="20">
        <f t="shared" si="171"/>
        <v>1.0301085784130276E-11</v>
      </c>
      <c r="CC171" s="57">
        <f t="shared" si="119"/>
        <v>290.13495674467345</v>
      </c>
      <c r="CD171" s="57">
        <f ca="1">AVERAGE(OFFSET($CC$3,0,0,'Données projet'!$E$12+1,1))-AVERAGE(OFFSET($H$3,0,0,'Données projet'!$E$12+1,1))</f>
        <v>498.77732039282807</v>
      </c>
      <c r="CE171" s="57">
        <f t="shared" si="148"/>
        <v>384.57317421826531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71.529411738233122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71.529411738233122</v>
      </c>
      <c r="CO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69.127715475817226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-2.9842794901924208E-13</v>
      </c>
      <c r="CU171" s="17">
        <f>CT171*VLOOKUP('Données projet'!$B$13,Paramètres!$A$1:$I$89,3,0)*VLOOKUP('Données projet'!$B$13,Paramètres!$A$1:$I$89,5,0)</f>
        <v>-2.0018546820210759E-13</v>
      </c>
      <c r="CV171" s="13" t="e">
        <f t="shared" si="173"/>
        <v>#NUM!</v>
      </c>
      <c r="CW171" s="20" t="e">
        <f t="shared" si="174"/>
        <v>#NUM!</v>
      </c>
      <c r="CX171" s="57" t="e">
        <f t="shared" si="122"/>
        <v>#NUM!</v>
      </c>
      <c r="CY171" s="57">
        <f ca="1">AVERAGE(OFFSET($CX$3,0,0,'Données projet'!$E$13+1,1))-AVERAGE(OFFSET($H$3,0,0,'Données projet'!$E$13+1,1))</f>
        <v>365.99625753737246</v>
      </c>
      <c r="CZ171" s="57">
        <f t="shared" si="150"/>
        <v>242.84814712692287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118.42795150087944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118.42795150087944</v>
      </c>
      <c r="DJ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69.127715475817226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2.2737367544323206E-13</v>
      </c>
      <c r="DP171" s="17">
        <f>DO171*VLOOKUP('Données projet'!$B$14,Paramètres!$A$1:$I$89,3,0)*VLOOKUP('Données projet'!$B$14,Paramètres!$A$1:$I$89,5,0)</f>
        <v>1.4897523215040565E-13</v>
      </c>
      <c r="DQ171" s="13">
        <f t="shared" si="176"/>
        <v>2.136562777003313E-12</v>
      </c>
      <c r="DR171" s="20">
        <f t="shared" si="177"/>
        <v>3.9806453659427267E-12</v>
      </c>
      <c r="DS171" s="57">
        <f t="shared" si="125"/>
        <v>290.13495674466714</v>
      </c>
      <c r="DT171" s="57">
        <f ca="1">AVERAGE(OFFSET($DS$3,0,0,'Données projet'!$E$14+1,1))-AVERAGE(OFFSET($H$3,0,0,'Données projet'!$E$14+1,1))</f>
        <v>313.79279628660527</v>
      </c>
      <c r="DU171" s="57">
        <f t="shared" si="152"/>
        <v>317.45469955216254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19.74253152434968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19.74253152434968</v>
      </c>
      <c r="EE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69.127715475817226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-1.1368683772161603E-13</v>
      </c>
      <c r="EK171" s="17">
        <f>EJ171*VLOOKUP('Données projet'!$B$15,Paramètres!$A$1:$I$89,3,0)*VLOOKUP('Données projet'!$B$15,Paramètres!$A$1:$I$89,5,0)</f>
        <v>-9.7543306765146564E-14</v>
      </c>
      <c r="EL171" s="13" t="e">
        <f t="shared" si="179"/>
        <v>#NUM!</v>
      </c>
      <c r="EM171" s="20" t="e">
        <f t="shared" si="180"/>
        <v>#NUM!</v>
      </c>
      <c r="EN171" s="57" t="e">
        <f t="shared" si="128"/>
        <v>#NUM!</v>
      </c>
      <c r="EO171" s="57">
        <f ca="1">AVERAGE(OFFSET($EN$3,0,0,'Données projet'!$E$15+1,1))-AVERAGE(OFFSET($H$3,0,0,'Données projet'!$E$15+1,1))</f>
        <v>643.04899298561475</v>
      </c>
      <c r="EP171" s="57">
        <f t="shared" si="154"/>
        <v>474.94999304483031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73.178332882887346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73.178332882887346</v>
      </c>
      <c r="EZ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69.127715475817226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>
        <f>FE171*VLOOKUP('Données projet'!$B$16,Paramètres!$A$1:$I$89,3,0)*VLOOKUP('Données projet'!$B$16,Paramètres!$A$1:$I$89,5,0)</f>
        <v>0</v>
      </c>
      <c r="FG171" s="13" t="e">
        <f t="shared" si="182"/>
        <v>#NUM!</v>
      </c>
      <c r="FH171" s="20" t="e">
        <f t="shared" si="183"/>
        <v>#NUM!</v>
      </c>
      <c r="FI171" s="57" t="e">
        <f t="shared" si="131"/>
        <v>#NUM!</v>
      </c>
      <c r="FJ171" s="57">
        <f ca="1">AVERAGE(OFFSET($FI$3,0,0,'Données projet'!$E$16+1,1))-AVERAGE(OFFSET($H$3,0,0,'Données projet'!$E$16+1,1))</f>
        <v>375.34603719604439</v>
      </c>
      <c r="FK171" s="57">
        <f t="shared" si="156"/>
        <v>363.99476973672211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27.709678655874903</v>
      </c>
      <c r="FR171" s="21">
        <f>EXP(-LN(2)/25)*FR170+(1-EXP(-LN(2)/25))/(LN(2)/25)*Calculateur!FM171*Calculateur!FO171*VLOOKUP('Données projet'!$B$16,Paramètres!$A$1:$I$89,3,0)*0.475*44/12</f>
        <v>0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27.709678655874903</v>
      </c>
      <c r="FU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69.127715475817226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-1.1368683772161603E-13</v>
      </c>
      <c r="GA171" s="17">
        <f>FZ171*VLOOKUP('Données projet'!$B$17,Paramètres!$A$1:$I$89,3,0)*VLOOKUP('Données projet'!$B$17,Paramètres!$A$1:$I$89,5,0)</f>
        <v>-6.3550942286383367E-14</v>
      </c>
      <c r="GB171" s="13" t="e">
        <f t="shared" si="185"/>
        <v>#NUM!</v>
      </c>
      <c r="GC171" s="20" t="e">
        <f t="shared" si="186"/>
        <v>#NUM!</v>
      </c>
      <c r="GD171" s="57" t="e">
        <f t="shared" si="134"/>
        <v>#NUM!</v>
      </c>
      <c r="GE171" s="57">
        <f ca="1">AVERAGE(OFFSET($GD$3,0,0,'Données projet'!$E$17+1,1))-AVERAGE(OFFSET($H$3,0,0,'Données projet'!$E$17+1,1))</f>
        <v>414.47327143450701</v>
      </c>
      <c r="GF171" s="57">
        <f t="shared" si="158"/>
        <v>546.83385887302961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31.499227315122294</v>
      </c>
      <c r="GM171" s="21">
        <f>EXP(-LN(2)/25)*GM170+(1-EXP(-LN(2)/25))/(LN(2)/25)*Calculateur!GH171*Calculateur!GJ171*VLOOKUP('Données projet'!$B$17,Paramètres!$A$1:$I$89,3,0)*0.475*44/12</f>
        <v>2.6990351942103179</v>
      </c>
      <c r="GN171" s="21">
        <f>EXP(-LN(2)/2)*GN170+(1-EXP(-LN(2)/2))/(LN(2)/2)*GH171*GK171*VLOOKUP('Données projet'!$B$17,Paramètres!$A$1:$I$89,3,0)*0.475*44/12</f>
        <v>2.8829001932507964E-16</v>
      </c>
      <c r="GO171" s="21">
        <f t="shared" si="187"/>
        <v>34.198262509332615</v>
      </c>
      <c r="GP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69.127715475817226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-2.2737367544323206E-13</v>
      </c>
      <c r="GV171" s="17">
        <f>GU171*VLOOKUP('Données projet'!$B$18,Paramètres!$A$1:$I$89,3,0)*VLOOKUP('Données projet'!$B$18,Paramètres!$A$1:$I$89,5,0)</f>
        <v>-1.2414602679200471E-13</v>
      </c>
      <c r="GW171" s="13" t="e">
        <f t="shared" si="188"/>
        <v>#NUM!</v>
      </c>
      <c r="GX171" s="20" t="e">
        <f t="shared" si="189"/>
        <v>#NUM!</v>
      </c>
      <c r="GY171" s="57" t="e">
        <f t="shared" si="137"/>
        <v>#NUM!</v>
      </c>
      <c r="GZ171" s="57">
        <f ca="1">AVERAGE(OFFSET($GY$3,0,0,'Données projet'!$E$18+1,1))-AVERAGE(OFFSET($H$3,0,0,'Données projet'!$E$18+1,1))</f>
        <v>381.00532469288714</v>
      </c>
      <c r="HA171" s="57">
        <f t="shared" si="160"/>
        <v>314.875259641757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>
        <f>EXP(-LN(2)/35)*HG170+(1-EXP(-LN(2)/35))/(LN(2)/35)*HC171*HD171*VLOOKUP('Données projet'!$B$18,Paramètres!$A$1:$I$89,3,0)*0.475*44/12</f>
        <v>53.065049364934438</v>
      </c>
      <c r="HH171" s="21">
        <f>EXP(-LN(2)/25)*HH170+(1-EXP(-LN(2)/25))/(LN(2)/25)*Calculateur!HC171*Calculateur!HE171*VLOOKUP('Données projet'!$B$18,Paramètres!$A$1:$I$89,3,0)*0.475*44/12</f>
        <v>5.0076401806076731</v>
      </c>
      <c r="HI171" s="21">
        <f>EXP(-LN(2)/2)*HI170+(1-EXP(-LN(2)/2))/(LN(2)/2)*HC171*HF171*VLOOKUP('Données projet'!$B$18,Paramètres!$A$1:$I$89,3,0)*0.475*44/12</f>
        <v>1.453607842108787E-9</v>
      </c>
      <c r="HJ171" s="22">
        <f t="shared" si="190"/>
        <v>58.072689546995719</v>
      </c>
    </row>
    <row r="172" spans="1:218" x14ac:dyDescent="0.2">
      <c r="A172" s="10">
        <f t="shared" si="161"/>
        <v>169</v>
      </c>
      <c r="B172" s="71">
        <f>'Scénario référence'!$B$16*5+'Scénario référence'!$B$17*0+'Scénario référence'!$B$18*5</f>
        <v>3.3000000000000003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12.100000000000001</v>
      </c>
      <c r="H172" s="65">
        <f t="shared" si="110"/>
        <v>208.26666666666665</v>
      </c>
      <c r="I172" s="6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69.142847662175754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-1.1527845344971866E-13</v>
      </c>
      <c r="P172" s="13" t="e">
        <f t="shared" si="141"/>
        <v>#NUM!</v>
      </c>
      <c r="Q172" s="20" t="e">
        <f t="shared" si="162"/>
        <v>#NUM!</v>
      </c>
      <c r="R172" s="57" t="e">
        <f t="shared" si="109"/>
        <v>#NUM!</v>
      </c>
      <c r="S172" s="57">
        <f ca="1">AVERAGE(OFFSET($R$3,0,0,'Données projet'!$E$9+1,1))-AVERAGE(OFFSET($H$3,0,0,'Données projet'!$E$9+1,1))</f>
        <v>332.70145542047612</v>
      </c>
      <c r="T172" s="57">
        <f t="shared" si="142"/>
        <v>172.22433737900428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43.021874412120731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43.021874412120731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69.142847662175754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-2.9842794901924208E-13</v>
      </c>
      <c r="AJ172" s="13">
        <f>AI172*VLOOKUP('Données projet'!$B$10,Paramètres!$A$1:$I$89,3,0)*VLOOKUP('Données projet'!$B$10,Paramètres!$A$1:$I$89,5,0)</f>
        <v>-2.7001760827261026E-13</v>
      </c>
      <c r="AK172" s="13" t="e">
        <f t="shared" si="164"/>
        <v>#NUM!</v>
      </c>
      <c r="AL172" s="20" t="e">
        <f t="shared" si="165"/>
        <v>#NUM!</v>
      </c>
      <c r="AM172" s="57" t="e">
        <f t="shared" si="113"/>
        <v>#NUM!</v>
      </c>
      <c r="AN172" s="57">
        <f ca="1">AVERAGE(OFFSET($AM$3,0,0,'Données projet'!$E$10+1,1))-AVERAGE(OFFSET($H$3,0,0,'Données projet'!$E$10+1,1))</f>
        <v>469.4210143164521</v>
      </c>
      <c r="AO172" s="57">
        <f t="shared" si="144"/>
        <v>308.4508386530556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127.05901496490903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127.05901496490903</v>
      </c>
      <c r="AY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69.142847662175754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7" t="e">
        <f t="shared" si="116"/>
        <v>#NUM!</v>
      </c>
      <c r="BI172" s="57">
        <f ca="1">AVERAGE(OFFSET($BH$3,0,0,'Données projet'!$E$11+1,1))-AVERAGE(OFFSET($H$3,0,0,'Données projet'!$E$11+1,1))</f>
        <v>344.32981377462971</v>
      </c>
      <c r="BJ172" s="57">
        <f t="shared" si="146"/>
        <v>334.42512656625763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19.921302612942185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19.921302612942185</v>
      </c>
      <c r="BT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69.142847662175754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4.5474735088646412E-13</v>
      </c>
      <c r="BZ172" s="13">
        <f>BY172*VLOOKUP('Données projet'!$B$12,Paramètres!$A$1:$I$89,3,0)*VLOOKUP('Données projet'!$B$12,Paramètres!$A$1:$I$89,5,0)</f>
        <v>4.3273757910355926E-13</v>
      </c>
      <c r="CA172" s="13">
        <f t="shared" si="170"/>
        <v>5.4817614357080839E-12</v>
      </c>
      <c r="CB172" s="20">
        <f t="shared" si="171"/>
        <v>1.0301085784130276E-11</v>
      </c>
      <c r="CC172" s="57">
        <f t="shared" si="119"/>
        <v>290.19044142798805</v>
      </c>
      <c r="CD172" s="57">
        <f ca="1">AVERAGE(OFFSET($CC$3,0,0,'Données projet'!$E$12+1,1))-AVERAGE(OFFSET($H$3,0,0,'Données projet'!$E$12+1,1))</f>
        <v>498.77732039282807</v>
      </c>
      <c r="CE172" s="57">
        <f t="shared" si="148"/>
        <v>384.57317421826531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70.12676360267956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70.12676360267956</v>
      </c>
      <c r="CO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69.142847662175754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-2.9842794901924208E-13</v>
      </c>
      <c r="CU172" s="17">
        <f>CT172*VLOOKUP('Données projet'!$B$13,Paramètres!$A$1:$I$89,3,0)*VLOOKUP('Données projet'!$B$13,Paramètres!$A$1:$I$89,5,0)</f>
        <v>-2.0018546820210759E-13</v>
      </c>
      <c r="CV172" s="13" t="e">
        <f t="shared" si="173"/>
        <v>#NUM!</v>
      </c>
      <c r="CW172" s="20" t="e">
        <f t="shared" si="174"/>
        <v>#NUM!</v>
      </c>
      <c r="CX172" s="57" t="e">
        <f t="shared" si="122"/>
        <v>#NUM!</v>
      </c>
      <c r="CY172" s="57">
        <f ca="1">AVERAGE(OFFSET($CX$3,0,0,'Données projet'!$E$13+1,1))-AVERAGE(OFFSET($H$3,0,0,'Données projet'!$E$13+1,1))</f>
        <v>365.99625753737246</v>
      </c>
      <c r="CZ172" s="57">
        <f t="shared" si="150"/>
        <v>242.84814712692287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116.10565160586511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116.10565160586511</v>
      </c>
      <c r="DJ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69.142847662175754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2.2737367544323206E-13</v>
      </c>
      <c r="DP172" s="17">
        <f>DO172*VLOOKUP('Données projet'!$B$14,Paramètres!$A$1:$I$89,3,0)*VLOOKUP('Données projet'!$B$14,Paramètres!$A$1:$I$89,5,0)</f>
        <v>1.4897523215040565E-13</v>
      </c>
      <c r="DQ172" s="13">
        <f t="shared" si="176"/>
        <v>2.136562777003313E-12</v>
      </c>
      <c r="DR172" s="20">
        <f t="shared" si="177"/>
        <v>3.9806453659427267E-12</v>
      </c>
      <c r="DS172" s="57">
        <f t="shared" si="125"/>
        <v>290.19044142798174</v>
      </c>
      <c r="DT172" s="57">
        <f ca="1">AVERAGE(OFFSET($DS$3,0,0,'Données projet'!$E$14+1,1))-AVERAGE(OFFSET($H$3,0,0,'Données projet'!$E$14+1,1))</f>
        <v>313.79279628660527</v>
      </c>
      <c r="DU172" s="57">
        <f t="shared" si="152"/>
        <v>317.45469955216254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19.355392522912389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19.355392522912389</v>
      </c>
      <c r="EE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69.142847662175754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-1.1368683772161603E-13</v>
      </c>
      <c r="EK172" s="17">
        <f>EJ172*VLOOKUP('Données projet'!$B$15,Paramètres!$A$1:$I$89,3,0)*VLOOKUP('Données projet'!$B$15,Paramètres!$A$1:$I$89,5,0)</f>
        <v>-9.7543306765146564E-14</v>
      </c>
      <c r="EL172" s="13" t="e">
        <f t="shared" si="179"/>
        <v>#NUM!</v>
      </c>
      <c r="EM172" s="20" t="e">
        <f t="shared" si="180"/>
        <v>#NUM!</v>
      </c>
      <c r="EN172" s="57" t="e">
        <f t="shared" si="128"/>
        <v>#NUM!</v>
      </c>
      <c r="EO172" s="57">
        <f ca="1">AVERAGE(OFFSET($EN$3,0,0,'Données projet'!$E$15+1,1))-AVERAGE(OFFSET($H$3,0,0,'Données projet'!$E$15+1,1))</f>
        <v>643.04899298561475</v>
      </c>
      <c r="EP172" s="57">
        <f t="shared" si="154"/>
        <v>474.94999304483031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71.743350409429709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71.743350409429709</v>
      </c>
      <c r="EZ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69.142847662175754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>
        <f>FE172*VLOOKUP('Données projet'!$B$16,Paramètres!$A$1:$I$89,3,0)*VLOOKUP('Données projet'!$B$16,Paramètres!$A$1:$I$89,5,0)</f>
        <v>0</v>
      </c>
      <c r="FG172" s="13" t="e">
        <f t="shared" si="182"/>
        <v>#NUM!</v>
      </c>
      <c r="FH172" s="20" t="e">
        <f t="shared" si="183"/>
        <v>#NUM!</v>
      </c>
      <c r="FI172" s="57" t="e">
        <f t="shared" si="131"/>
        <v>#NUM!</v>
      </c>
      <c r="FJ172" s="57">
        <f ca="1">AVERAGE(OFFSET($FI$3,0,0,'Données projet'!$E$16+1,1))-AVERAGE(OFFSET($H$3,0,0,'Données projet'!$E$16+1,1))</f>
        <v>375.34603719604439</v>
      </c>
      <c r="FK172" s="57">
        <f t="shared" si="156"/>
        <v>363.99476973672211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27.166308758668318</v>
      </c>
      <c r="FR172" s="21">
        <f>EXP(-LN(2)/25)*FR171+(1-EXP(-LN(2)/25))/(LN(2)/25)*Calculateur!FM172*Calculateur!FO172*VLOOKUP('Données projet'!$B$16,Paramètres!$A$1:$I$89,3,0)*0.475*44/12</f>
        <v>0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27.166308758668318</v>
      </c>
      <c r="FU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69.142847662175754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-1.1368683772161603E-13</v>
      </c>
      <c r="GA172" s="17">
        <f>FZ172*VLOOKUP('Données projet'!$B$17,Paramètres!$A$1:$I$89,3,0)*VLOOKUP('Données projet'!$B$17,Paramètres!$A$1:$I$89,5,0)</f>
        <v>-6.3550942286383367E-14</v>
      </c>
      <c r="GB172" s="13" t="e">
        <f t="shared" si="185"/>
        <v>#NUM!</v>
      </c>
      <c r="GC172" s="20" t="e">
        <f t="shared" si="186"/>
        <v>#NUM!</v>
      </c>
      <c r="GD172" s="57" t="e">
        <f t="shared" si="134"/>
        <v>#NUM!</v>
      </c>
      <c r="GE172" s="57">
        <f ca="1">AVERAGE(OFFSET($GD$3,0,0,'Données projet'!$E$17+1,1))-AVERAGE(OFFSET($H$3,0,0,'Données projet'!$E$17+1,1))</f>
        <v>414.47327143450701</v>
      </c>
      <c r="GF172" s="57">
        <f t="shared" si="158"/>
        <v>546.83385887302961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30.881546680104318</v>
      </c>
      <c r="GM172" s="21">
        <f>EXP(-LN(2)/25)*GM171+(1-EXP(-LN(2)/25))/(LN(2)/25)*Calculateur!GH172*Calculateur!GJ172*VLOOKUP('Données projet'!$B$17,Paramètres!$A$1:$I$89,3,0)*0.475*44/12</f>
        <v>2.6252299348885448</v>
      </c>
      <c r="GN172" s="21">
        <f>EXP(-LN(2)/2)*GN171+(1-EXP(-LN(2)/2))/(LN(2)/2)*GH172*GK172*VLOOKUP('Données projet'!$B$17,Paramètres!$A$1:$I$89,3,0)*0.475*44/12</f>
        <v>2.0385182761316465E-16</v>
      </c>
      <c r="GO172" s="21">
        <f t="shared" si="187"/>
        <v>33.506776614992866</v>
      </c>
      <c r="GP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69.142847662175754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-2.2737367544323206E-13</v>
      </c>
      <c r="GV172" s="17">
        <f>GU172*VLOOKUP('Données projet'!$B$18,Paramètres!$A$1:$I$89,3,0)*VLOOKUP('Données projet'!$B$18,Paramètres!$A$1:$I$89,5,0)</f>
        <v>-1.2414602679200471E-13</v>
      </c>
      <c r="GW172" s="13" t="e">
        <f t="shared" si="188"/>
        <v>#NUM!</v>
      </c>
      <c r="GX172" s="20" t="e">
        <f t="shared" si="189"/>
        <v>#NUM!</v>
      </c>
      <c r="GY172" s="57" t="e">
        <f t="shared" si="137"/>
        <v>#NUM!</v>
      </c>
      <c r="GZ172" s="57">
        <f ca="1">AVERAGE(OFFSET($GY$3,0,0,'Données projet'!$E$18+1,1))-AVERAGE(OFFSET($H$3,0,0,'Données projet'!$E$18+1,1))</f>
        <v>381.00532469288714</v>
      </c>
      <c r="HA172" s="57">
        <f t="shared" si="160"/>
        <v>314.875259641757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>
        <f>EXP(-LN(2)/35)*HG171+(1-EXP(-LN(2)/35))/(LN(2)/35)*HC172*HD172*VLOOKUP('Données projet'!$B$18,Paramètres!$A$1:$I$89,3,0)*0.475*44/12</f>
        <v>52.024476113372259</v>
      </c>
      <c r="HH172" s="21">
        <f>EXP(-LN(2)/25)*HH171+(1-EXP(-LN(2)/25))/(LN(2)/25)*Calculateur!HC172*Calculateur!HE172*VLOOKUP('Données projet'!$B$18,Paramètres!$A$1:$I$89,3,0)*0.475*44/12</f>
        <v>4.8707059965286046</v>
      </c>
      <c r="HI172" s="21">
        <f>EXP(-LN(2)/2)*HI171+(1-EXP(-LN(2)/2))/(LN(2)/2)*HC172*HF172*VLOOKUP('Données projet'!$B$18,Paramètres!$A$1:$I$89,3,0)*0.475*44/12</f>
        <v>1.0278559623410675E-9</v>
      </c>
      <c r="HJ172" s="22">
        <f t="shared" si="190"/>
        <v>56.895182110928722</v>
      </c>
    </row>
    <row r="173" spans="1:218" x14ac:dyDescent="0.2">
      <c r="A173" s="10">
        <f t="shared" si="161"/>
        <v>170</v>
      </c>
      <c r="B173" s="71">
        <f>'Scénario référence'!$B$16*5+'Scénario référence'!$B$17*0+'Scénario référence'!$B$18*5</f>
        <v>3.3000000000000003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12.100000000000001</v>
      </c>
      <c r="H173" s="65">
        <f t="shared" si="110"/>
        <v>208.26666666666665</v>
      </c>
      <c r="I173" s="6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69.157717338931462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-1.1527845344971866E-13</v>
      </c>
      <c r="P173" s="13" t="e">
        <f t="shared" si="141"/>
        <v>#NUM!</v>
      </c>
      <c r="Q173" s="20" t="e">
        <f t="shared" si="162"/>
        <v>#NUM!</v>
      </c>
      <c r="R173" s="57" t="e">
        <f t="shared" si="109"/>
        <v>#NUM!</v>
      </c>
      <c r="S173" s="57">
        <f ca="1">AVERAGE(OFFSET($R$3,0,0,'Données projet'!$E$9+1,1))-AVERAGE(OFFSET($H$3,0,0,'Données projet'!$E$9+1,1))</f>
        <v>332.70145542047612</v>
      </c>
      <c r="T173" s="57">
        <f t="shared" si="142"/>
        <v>172.22433737900428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42.178241695651373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42.178241695651373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69.157717338931462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-2.9842794901924208E-13</v>
      </c>
      <c r="AJ173" s="13">
        <f>AI173*VLOOKUP('Données projet'!$B$10,Paramètres!$A$1:$I$89,3,0)*VLOOKUP('Données projet'!$B$10,Paramètres!$A$1:$I$89,5,0)</f>
        <v>-2.7001760827261026E-13</v>
      </c>
      <c r="AK173" s="13" t="e">
        <f t="shared" si="164"/>
        <v>#NUM!</v>
      </c>
      <c r="AL173" s="20" t="e">
        <f t="shared" si="165"/>
        <v>#NUM!</v>
      </c>
      <c r="AM173" s="57" t="e">
        <f t="shared" si="113"/>
        <v>#NUM!</v>
      </c>
      <c r="AN173" s="57">
        <f ca="1">AVERAGE(OFFSET($AM$3,0,0,'Données projet'!$E$10+1,1))-AVERAGE(OFFSET($H$3,0,0,'Données projet'!$E$10+1,1))</f>
        <v>469.4210143164521</v>
      </c>
      <c r="AO173" s="57">
        <f t="shared" si="144"/>
        <v>308.4508386530556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124.56746517979396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124.56746517979396</v>
      </c>
      <c r="AY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69.157717338931462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7" t="e">
        <f t="shared" si="116"/>
        <v>#NUM!</v>
      </c>
      <c r="BI173" s="57">
        <f ca="1">AVERAGE(OFFSET($BH$3,0,0,'Données projet'!$E$11+1,1))-AVERAGE(OFFSET($H$3,0,0,'Données projet'!$E$11+1,1))</f>
        <v>344.32981377462971</v>
      </c>
      <c r="BJ173" s="57">
        <f t="shared" si="146"/>
        <v>334.42512656625763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19.530658019497192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19.530658019497192</v>
      </c>
      <c r="BT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69.157717338931462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4.5474735088646412E-13</v>
      </c>
      <c r="BZ173" s="13">
        <f>BY173*VLOOKUP('Données projet'!$B$12,Paramètres!$A$1:$I$89,3,0)*VLOOKUP('Données projet'!$B$12,Paramètres!$A$1:$I$89,5,0)</f>
        <v>4.3273757910355926E-13</v>
      </c>
      <c r="CA173" s="13">
        <f t="shared" si="170"/>
        <v>5.4817614357080839E-12</v>
      </c>
      <c r="CB173" s="20">
        <f t="shared" si="171"/>
        <v>1.0301085784130276E-11</v>
      </c>
      <c r="CC173" s="57">
        <f t="shared" si="119"/>
        <v>290.24496357609235</v>
      </c>
      <c r="CD173" s="57">
        <f ca="1">AVERAGE(OFFSET($CC$3,0,0,'Données projet'!$E$12+1,1))-AVERAGE(OFFSET($H$3,0,0,'Données projet'!$E$12+1,1))</f>
        <v>498.77732039282807</v>
      </c>
      <c r="CE173" s="57">
        <f t="shared" si="148"/>
        <v>384.57317421826531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68.751620541533313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68.751620541533313</v>
      </c>
      <c r="CO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69.157717338931462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-2.9842794901924208E-13</v>
      </c>
      <c r="CU173" s="17">
        <f>CT173*VLOOKUP('Données projet'!$B$13,Paramètres!$A$1:$I$89,3,0)*VLOOKUP('Données projet'!$B$13,Paramètres!$A$1:$I$89,5,0)</f>
        <v>-2.0018546820210759E-13</v>
      </c>
      <c r="CV173" s="13" t="e">
        <f t="shared" si="173"/>
        <v>#NUM!</v>
      </c>
      <c r="CW173" s="20" t="e">
        <f t="shared" si="174"/>
        <v>#NUM!</v>
      </c>
      <c r="CX173" s="57" t="e">
        <f t="shared" si="122"/>
        <v>#NUM!</v>
      </c>
      <c r="CY173" s="57">
        <f ca="1">AVERAGE(OFFSET($CX$3,0,0,'Données projet'!$E$13+1,1))-AVERAGE(OFFSET($H$3,0,0,'Données projet'!$E$13+1,1))</f>
        <v>365.99625753737246</v>
      </c>
      <c r="CZ173" s="57">
        <f t="shared" si="150"/>
        <v>242.84814712692287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113.82889059532893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113.82889059532893</v>
      </c>
      <c r="DJ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69.157717338931462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2.2737367544323206E-13</v>
      </c>
      <c r="DP173" s="17">
        <f>DO173*VLOOKUP('Données projet'!$B$14,Paramètres!$A$1:$I$89,3,0)*VLOOKUP('Données projet'!$B$14,Paramètres!$A$1:$I$89,5,0)</f>
        <v>1.4897523215040565E-13</v>
      </c>
      <c r="DQ173" s="13">
        <f t="shared" si="176"/>
        <v>2.136562777003313E-12</v>
      </c>
      <c r="DR173" s="20">
        <f t="shared" si="177"/>
        <v>3.9806453659427267E-12</v>
      </c>
      <c r="DS173" s="57">
        <f t="shared" si="125"/>
        <v>290.24496357608604</v>
      </c>
      <c r="DT173" s="57">
        <f ca="1">AVERAGE(OFFSET($DS$3,0,0,'Données projet'!$E$14+1,1))-AVERAGE(OFFSET($H$3,0,0,'Données projet'!$E$14+1,1))</f>
        <v>313.79279628660527</v>
      </c>
      <c r="DU173" s="57">
        <f t="shared" si="152"/>
        <v>317.45469955216254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18.975845081161808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18.975845081161808</v>
      </c>
      <c r="EE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69.157717338931462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-1.1368683772161603E-13</v>
      </c>
      <c r="EK173" s="17">
        <f>EJ173*VLOOKUP('Données projet'!$B$15,Paramètres!$A$1:$I$89,3,0)*VLOOKUP('Données projet'!$B$15,Paramètres!$A$1:$I$89,5,0)</f>
        <v>-9.7543306765146564E-14</v>
      </c>
      <c r="EL173" s="13" t="e">
        <f t="shared" si="179"/>
        <v>#NUM!</v>
      </c>
      <c r="EM173" s="20" t="e">
        <f t="shared" si="180"/>
        <v>#NUM!</v>
      </c>
      <c r="EN173" s="57" t="e">
        <f t="shared" si="128"/>
        <v>#NUM!</v>
      </c>
      <c r="EO173" s="57">
        <f ca="1">AVERAGE(OFFSET($EN$3,0,0,'Données projet'!$E$15+1,1))-AVERAGE(OFFSET($H$3,0,0,'Données projet'!$E$15+1,1))</f>
        <v>643.04899298561475</v>
      </c>
      <c r="EP173" s="57">
        <f t="shared" si="154"/>
        <v>474.94999304483031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70.336507067023689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70.336507067023689</v>
      </c>
      <c r="EZ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69.157717338931462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>
        <f>FE173*VLOOKUP('Données projet'!$B$16,Paramètres!$A$1:$I$89,3,0)*VLOOKUP('Données projet'!$B$16,Paramètres!$A$1:$I$89,5,0)</f>
        <v>0</v>
      </c>
      <c r="FG173" s="13" t="e">
        <f t="shared" si="182"/>
        <v>#NUM!</v>
      </c>
      <c r="FH173" s="20" t="e">
        <f t="shared" si="183"/>
        <v>#NUM!</v>
      </c>
      <c r="FI173" s="57" t="e">
        <f t="shared" si="131"/>
        <v>#NUM!</v>
      </c>
      <c r="FJ173" s="57">
        <f ca="1">AVERAGE(OFFSET($FI$3,0,0,'Données projet'!$E$16+1,1))-AVERAGE(OFFSET($H$3,0,0,'Données projet'!$E$16+1,1))</f>
        <v>375.34603719604439</v>
      </c>
      <c r="FK173" s="57">
        <f t="shared" si="156"/>
        <v>363.99476973672211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26.633594013723041</v>
      </c>
      <c r="FR173" s="21">
        <f>EXP(-LN(2)/25)*FR172+(1-EXP(-LN(2)/25))/(LN(2)/25)*Calculateur!FM173*Calculateur!FO173*VLOOKUP('Données projet'!$B$16,Paramètres!$A$1:$I$89,3,0)*0.475*44/12</f>
        <v>0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26.633594013723041</v>
      </c>
      <c r="FU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69.157717338931462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-1.1368683772161603E-13</v>
      </c>
      <c r="GA173" s="17">
        <f>FZ173*VLOOKUP('Données projet'!$B$17,Paramètres!$A$1:$I$89,3,0)*VLOOKUP('Données projet'!$B$17,Paramètres!$A$1:$I$89,5,0)</f>
        <v>-6.3550942286383367E-14</v>
      </c>
      <c r="GB173" s="13" t="e">
        <f t="shared" si="185"/>
        <v>#NUM!</v>
      </c>
      <c r="GC173" s="20" t="e">
        <f t="shared" si="186"/>
        <v>#NUM!</v>
      </c>
      <c r="GD173" s="57" t="e">
        <f t="shared" si="134"/>
        <v>#NUM!</v>
      </c>
      <c r="GE173" s="57">
        <f ca="1">AVERAGE(OFFSET($GD$3,0,0,'Données projet'!$E$17+1,1))-AVERAGE(OFFSET($H$3,0,0,'Données projet'!$E$17+1,1))</f>
        <v>414.47327143450701</v>
      </c>
      <c r="GF173" s="57">
        <f t="shared" si="158"/>
        <v>546.83385887302961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30.27597838559106</v>
      </c>
      <c r="GM173" s="21">
        <f>EXP(-LN(2)/25)*GM172+(1-EXP(-LN(2)/25))/(LN(2)/25)*Calculateur!GH173*Calculateur!GJ173*VLOOKUP('Données projet'!$B$17,Paramètres!$A$1:$I$89,3,0)*0.475*44/12</f>
        <v>2.5534428842641752</v>
      </c>
      <c r="GN173" s="21">
        <f>EXP(-LN(2)/2)*GN172+(1-EXP(-LN(2)/2))/(LN(2)/2)*GH173*GK173*VLOOKUP('Données projet'!$B$17,Paramètres!$A$1:$I$89,3,0)*0.475*44/12</f>
        <v>1.4414500966253982E-16</v>
      </c>
      <c r="GO173" s="21">
        <f t="shared" si="187"/>
        <v>32.829421269855231</v>
      </c>
      <c r="GP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69.157717338931462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-2.2737367544323206E-13</v>
      </c>
      <c r="GV173" s="17">
        <f>GU173*VLOOKUP('Données projet'!$B$18,Paramètres!$A$1:$I$89,3,0)*VLOOKUP('Données projet'!$B$18,Paramètres!$A$1:$I$89,5,0)</f>
        <v>-1.2414602679200471E-13</v>
      </c>
      <c r="GW173" s="13" t="e">
        <f t="shared" si="188"/>
        <v>#NUM!</v>
      </c>
      <c r="GX173" s="20" t="e">
        <f t="shared" si="189"/>
        <v>#NUM!</v>
      </c>
      <c r="GY173" s="57" t="e">
        <f t="shared" si="137"/>
        <v>#NUM!</v>
      </c>
      <c r="GZ173" s="57">
        <f ca="1">AVERAGE(OFFSET($GY$3,0,0,'Données projet'!$E$18+1,1))-AVERAGE(OFFSET($H$3,0,0,'Données projet'!$E$18+1,1))</f>
        <v>381.00532469288714</v>
      </c>
      <c r="HA173" s="57">
        <f t="shared" si="160"/>
        <v>314.875259641757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>
        <f>EXP(-LN(2)/35)*HG172+(1-EXP(-LN(2)/35))/(LN(2)/35)*HC173*HD173*VLOOKUP('Données projet'!$B$18,Paramètres!$A$1:$I$89,3,0)*0.475*44/12</f>
        <v>51.004307868586203</v>
      </c>
      <c r="HH173" s="21">
        <f>EXP(-LN(2)/25)*HH172+(1-EXP(-LN(2)/25))/(LN(2)/25)*Calculateur!HC173*Calculateur!HE173*VLOOKUP('Données projet'!$B$18,Paramètres!$A$1:$I$89,3,0)*0.475*44/12</f>
        <v>4.7375162849142338</v>
      </c>
      <c r="HI173" s="21">
        <f>EXP(-LN(2)/2)*HI172+(1-EXP(-LN(2)/2))/(LN(2)/2)*HC173*HF173*VLOOKUP('Données projet'!$B$18,Paramètres!$A$1:$I$89,3,0)*0.475*44/12</f>
        <v>7.2680392105439348E-10</v>
      </c>
      <c r="HJ173" s="22">
        <f t="shared" si="190"/>
        <v>55.741824154227245</v>
      </c>
    </row>
    <row r="174" spans="1:218" x14ac:dyDescent="0.2">
      <c r="A174" s="10">
        <f t="shared" si="161"/>
        <v>171</v>
      </c>
      <c r="B174" s="71">
        <f>'Scénario référence'!$B$16*5+'Scénario référence'!$B$17*0+'Scénario référence'!$B$18*5</f>
        <v>3.3000000000000003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12.100000000000001</v>
      </c>
      <c r="H174" s="65">
        <f t="shared" si="110"/>
        <v>208.26666666666665</v>
      </c>
      <c r="I174" s="6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69.172329060039075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-1.1527845344971866E-13</v>
      </c>
      <c r="P174" s="13" t="e">
        <f t="shared" si="141"/>
        <v>#NUM!</v>
      </c>
      <c r="Q174" s="20" t="e">
        <f t="shared" si="162"/>
        <v>#NUM!</v>
      </c>
      <c r="R174" s="57" t="e">
        <f t="shared" si="109"/>
        <v>#NUM!</v>
      </c>
      <c r="S174" s="57">
        <f ca="1">AVERAGE(OFFSET($R$3,0,0,'Données projet'!$E$9+1,1))-AVERAGE(OFFSET($H$3,0,0,'Données projet'!$E$9+1,1))</f>
        <v>332.70145542047612</v>
      </c>
      <c r="T174" s="57">
        <f t="shared" si="142"/>
        <v>172.22433737900428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41.35115210218683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41.35115210218683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69.172329060039075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-2.9842794901924208E-13</v>
      </c>
      <c r="AJ174" s="13">
        <f>AI174*VLOOKUP('Données projet'!$B$10,Paramètres!$A$1:$I$89,3,0)*VLOOKUP('Données projet'!$B$10,Paramètres!$A$1:$I$89,5,0)</f>
        <v>-2.7001760827261026E-13</v>
      </c>
      <c r="AK174" s="13" t="e">
        <f t="shared" si="164"/>
        <v>#NUM!</v>
      </c>
      <c r="AL174" s="20" t="e">
        <f t="shared" si="165"/>
        <v>#NUM!</v>
      </c>
      <c r="AM174" s="57" t="e">
        <f t="shared" si="113"/>
        <v>#NUM!</v>
      </c>
      <c r="AN174" s="57">
        <f ca="1">AVERAGE(OFFSET($AM$3,0,0,'Données projet'!$E$10+1,1))-AVERAGE(OFFSET($H$3,0,0,'Données projet'!$E$10+1,1))</f>
        <v>469.4210143164521</v>
      </c>
      <c r="AO174" s="57">
        <f t="shared" si="144"/>
        <v>308.4508386530556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122.12477316626969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122.12477316626969</v>
      </c>
      <c r="AY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69.172329060039075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7" t="e">
        <f t="shared" si="116"/>
        <v>#NUM!</v>
      </c>
      <c r="BI174" s="57">
        <f ca="1">AVERAGE(OFFSET($BH$3,0,0,'Données projet'!$E$11+1,1))-AVERAGE(OFFSET($H$3,0,0,'Données projet'!$E$11+1,1))</f>
        <v>344.32981377462971</v>
      </c>
      <c r="BJ174" s="57">
        <f t="shared" si="146"/>
        <v>334.42512656625763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19.147673728259981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19.147673728259981</v>
      </c>
      <c r="BT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69.172329060039075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4.5474735088646412E-13</v>
      </c>
      <c r="BZ174" s="13">
        <f>BY174*VLOOKUP('Données projet'!$B$12,Paramètres!$A$1:$I$89,3,0)*VLOOKUP('Données projet'!$B$12,Paramètres!$A$1:$I$89,5,0)</f>
        <v>4.3273757910355926E-13</v>
      </c>
      <c r="CA174" s="13">
        <f t="shared" si="170"/>
        <v>5.4817614357080839E-12</v>
      </c>
      <c r="CB174" s="20">
        <f t="shared" si="171"/>
        <v>1.0301085784130276E-11</v>
      </c>
      <c r="CC174" s="57">
        <f t="shared" si="119"/>
        <v>290.29853988682021</v>
      </c>
      <c r="CD174" s="57">
        <f ca="1">AVERAGE(OFFSET($CC$3,0,0,'Données projet'!$E$12+1,1))-AVERAGE(OFFSET($H$3,0,0,'Données projet'!$E$12+1,1))</f>
        <v>498.77732039282807</v>
      </c>
      <c r="CE174" s="57">
        <f t="shared" si="148"/>
        <v>384.57317421826531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67.403443197061705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67.403443197061705</v>
      </c>
      <c r="CO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69.172329060039075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-2.9842794901924208E-13</v>
      </c>
      <c r="CU174" s="17">
        <f>CT174*VLOOKUP('Données projet'!$B$13,Paramètres!$A$1:$I$89,3,0)*VLOOKUP('Données projet'!$B$13,Paramètres!$A$1:$I$89,5,0)</f>
        <v>-2.0018546820210759E-13</v>
      </c>
      <c r="CV174" s="13" t="e">
        <f t="shared" si="173"/>
        <v>#NUM!</v>
      </c>
      <c r="CW174" s="20" t="e">
        <f t="shared" si="174"/>
        <v>#NUM!</v>
      </c>
      <c r="CX174" s="57" t="e">
        <f t="shared" si="122"/>
        <v>#NUM!</v>
      </c>
      <c r="CY174" s="57">
        <f ca="1">AVERAGE(OFFSET($CX$3,0,0,'Données projet'!$E$13+1,1))-AVERAGE(OFFSET($H$3,0,0,'Données projet'!$E$13+1,1))</f>
        <v>365.99625753737246</v>
      </c>
      <c r="CZ174" s="57">
        <f t="shared" si="150"/>
        <v>242.84814712692287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111.59677547952226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111.59677547952226</v>
      </c>
      <c r="DJ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69.172329060039075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2.2737367544323206E-13</v>
      </c>
      <c r="DP174" s="17">
        <f>DO174*VLOOKUP('Données projet'!$B$14,Paramètres!$A$1:$I$89,3,0)*VLOOKUP('Données projet'!$B$14,Paramètres!$A$1:$I$89,5,0)</f>
        <v>1.4897523215040565E-13</v>
      </c>
      <c r="DQ174" s="13">
        <f t="shared" si="176"/>
        <v>2.136562777003313E-12</v>
      </c>
      <c r="DR174" s="20">
        <f t="shared" si="177"/>
        <v>3.9806453659427267E-12</v>
      </c>
      <c r="DS174" s="57">
        <f t="shared" si="125"/>
        <v>290.2985398868139</v>
      </c>
      <c r="DT174" s="57">
        <f ca="1">AVERAGE(OFFSET($DS$3,0,0,'Données projet'!$E$14+1,1))-AVERAGE(OFFSET($H$3,0,0,'Données projet'!$E$14+1,1))</f>
        <v>313.79279628660527</v>
      </c>
      <c r="DU174" s="57">
        <f t="shared" si="152"/>
        <v>317.45469955216254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18.603740333242875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18.603740333242875</v>
      </c>
      <c r="EE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69.172329060039075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-1.1368683772161603E-13</v>
      </c>
      <c r="EK174" s="17">
        <f>EJ174*VLOOKUP('Données projet'!$B$15,Paramètres!$A$1:$I$89,3,0)*VLOOKUP('Données projet'!$B$15,Paramètres!$A$1:$I$89,5,0)</f>
        <v>-9.7543306765146564E-14</v>
      </c>
      <c r="EL174" s="13" t="e">
        <f t="shared" si="179"/>
        <v>#NUM!</v>
      </c>
      <c r="EM174" s="20" t="e">
        <f t="shared" si="180"/>
        <v>#NUM!</v>
      </c>
      <c r="EN174" s="57" t="e">
        <f t="shared" si="128"/>
        <v>#NUM!</v>
      </c>
      <c r="EO174" s="57">
        <f ca="1">AVERAGE(OFFSET($EN$3,0,0,'Données projet'!$E$15+1,1))-AVERAGE(OFFSET($H$3,0,0,'Données projet'!$E$15+1,1))</f>
        <v>643.04899298561475</v>
      </c>
      <c r="EP174" s="57">
        <f t="shared" si="154"/>
        <v>474.94999304483031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68.957251064472544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68.957251064472544</v>
      </c>
      <c r="EZ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69.172329060039075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>
        <f>FE174*VLOOKUP('Données projet'!$B$16,Paramètres!$A$1:$I$89,3,0)*VLOOKUP('Données projet'!$B$16,Paramètres!$A$1:$I$89,5,0)</f>
        <v>0</v>
      </c>
      <c r="FG174" s="13" t="e">
        <f t="shared" si="182"/>
        <v>#NUM!</v>
      </c>
      <c r="FH174" s="20" t="e">
        <f t="shared" si="183"/>
        <v>#NUM!</v>
      </c>
      <c r="FI174" s="57" t="e">
        <f t="shared" si="131"/>
        <v>#NUM!</v>
      </c>
      <c r="FJ174" s="57">
        <f ca="1">AVERAGE(OFFSET($FI$3,0,0,'Données projet'!$E$16+1,1))-AVERAGE(OFFSET($H$3,0,0,'Données projet'!$E$16+1,1))</f>
        <v>375.34603719604439</v>
      </c>
      <c r="FK174" s="57">
        <f t="shared" si="156"/>
        <v>363.99476973672211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26.111325480002233</v>
      </c>
      <c r="FR174" s="21">
        <f>EXP(-LN(2)/25)*FR173+(1-EXP(-LN(2)/25))/(LN(2)/25)*Calculateur!FM174*Calculateur!FO174*VLOOKUP('Données projet'!$B$16,Paramètres!$A$1:$I$89,3,0)*0.475*44/12</f>
        <v>0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26.111325480002233</v>
      </c>
      <c r="FU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69.172329060039075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-1.1368683772161603E-13</v>
      </c>
      <c r="GA174" s="17">
        <f>FZ174*VLOOKUP('Données projet'!$B$17,Paramètres!$A$1:$I$89,3,0)*VLOOKUP('Données projet'!$B$17,Paramètres!$A$1:$I$89,5,0)</f>
        <v>-6.3550942286383367E-14</v>
      </c>
      <c r="GB174" s="13" t="e">
        <f t="shared" si="185"/>
        <v>#NUM!</v>
      </c>
      <c r="GC174" s="20" t="e">
        <f t="shared" si="186"/>
        <v>#NUM!</v>
      </c>
      <c r="GD174" s="57" t="e">
        <f t="shared" si="134"/>
        <v>#NUM!</v>
      </c>
      <c r="GE174" s="57">
        <f ca="1">AVERAGE(OFFSET($GD$3,0,0,'Données projet'!$E$17+1,1))-AVERAGE(OFFSET($H$3,0,0,'Données projet'!$E$17+1,1))</f>
        <v>414.47327143450701</v>
      </c>
      <c r="GF174" s="57">
        <f t="shared" si="158"/>
        <v>546.83385887302961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29.682284915973018</v>
      </c>
      <c r="GM174" s="21">
        <f>EXP(-LN(2)/25)*GM173+(1-EXP(-LN(2)/25))/(LN(2)/25)*Calculateur!GH174*Calculateur!GJ174*VLOOKUP('Données projet'!$B$17,Paramètres!$A$1:$I$89,3,0)*0.475*44/12</f>
        <v>2.4836188543142459</v>
      </c>
      <c r="GN174" s="21">
        <f>EXP(-LN(2)/2)*GN173+(1-EXP(-LN(2)/2))/(LN(2)/2)*GH174*GK174*VLOOKUP('Données projet'!$B$17,Paramètres!$A$1:$I$89,3,0)*0.475*44/12</f>
        <v>1.0192591380658233E-16</v>
      </c>
      <c r="GO174" s="21">
        <f t="shared" si="187"/>
        <v>32.165903770287265</v>
      </c>
      <c r="GP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69.172329060039075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-2.2737367544323206E-13</v>
      </c>
      <c r="GV174" s="17">
        <f>GU174*VLOOKUP('Données projet'!$B$18,Paramètres!$A$1:$I$89,3,0)*VLOOKUP('Données projet'!$B$18,Paramètres!$A$1:$I$89,5,0)</f>
        <v>-1.2414602679200471E-13</v>
      </c>
      <c r="GW174" s="13" t="e">
        <f t="shared" si="188"/>
        <v>#NUM!</v>
      </c>
      <c r="GX174" s="20" t="e">
        <f t="shared" si="189"/>
        <v>#NUM!</v>
      </c>
      <c r="GY174" s="57" t="e">
        <f t="shared" si="137"/>
        <v>#NUM!</v>
      </c>
      <c r="GZ174" s="57">
        <f ca="1">AVERAGE(OFFSET($GY$3,0,0,'Données projet'!$E$18+1,1))-AVERAGE(OFFSET($H$3,0,0,'Données projet'!$E$18+1,1))</f>
        <v>381.00532469288714</v>
      </c>
      <c r="HA174" s="57">
        <f t="shared" si="160"/>
        <v>314.875259641757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>
        <f>EXP(-LN(2)/35)*HG173+(1-EXP(-LN(2)/35))/(LN(2)/35)*HC174*HD174*VLOOKUP('Données projet'!$B$18,Paramètres!$A$1:$I$89,3,0)*0.475*44/12</f>
        <v>50.00414450083921</v>
      </c>
      <c r="HH174" s="21">
        <f>EXP(-LN(2)/25)*HH173+(1-EXP(-LN(2)/25))/(LN(2)/25)*Calculateur!HC174*Calculateur!HE174*VLOOKUP('Données projet'!$B$18,Paramètres!$A$1:$I$89,3,0)*0.475*44/12</f>
        <v>4.6079686529681005</v>
      </c>
      <c r="HI174" s="21">
        <f>EXP(-LN(2)/2)*HI173+(1-EXP(-LN(2)/2))/(LN(2)/2)*HC174*HF174*VLOOKUP('Données projet'!$B$18,Paramètres!$A$1:$I$89,3,0)*0.475*44/12</f>
        <v>5.1392798117053377E-10</v>
      </c>
      <c r="HJ174" s="22">
        <f t="shared" si="190"/>
        <v>54.612113154321243</v>
      </c>
    </row>
    <row r="175" spans="1:218" x14ac:dyDescent="0.2">
      <c r="A175" s="10">
        <f t="shared" si="161"/>
        <v>172</v>
      </c>
      <c r="B175" s="71">
        <f>'Scénario référence'!$B$16*5+'Scénario référence'!$B$17*0+'Scénario référence'!$B$18*5</f>
        <v>3.3000000000000003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12.100000000000001</v>
      </c>
      <c r="H175" s="65">
        <f t="shared" si="110"/>
        <v>208.26666666666665</v>
      </c>
      <c r="I175" s="6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69.186687300452377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-1.1527845344971866E-13</v>
      </c>
      <c r="P175" s="13" t="e">
        <f t="shared" si="141"/>
        <v>#NUM!</v>
      </c>
      <c r="Q175" s="20" t="e">
        <f t="shared" si="162"/>
        <v>#NUM!</v>
      </c>
      <c r="R175" s="57" t="e">
        <f t="shared" si="109"/>
        <v>#NUM!</v>
      </c>
      <c r="S175" s="57">
        <f ca="1">AVERAGE(OFFSET($R$3,0,0,'Données projet'!$E$9+1,1))-AVERAGE(OFFSET($H$3,0,0,'Données projet'!$E$9+1,1))</f>
        <v>332.70145542047612</v>
      </c>
      <c r="T175" s="57">
        <f t="shared" si="142"/>
        <v>172.22433737900428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40.540281231175292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40.540281231175292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69.186687300452377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-2.9842794901924208E-13</v>
      </c>
      <c r="AJ175" s="13">
        <f>AI175*VLOOKUP('Données projet'!$B$10,Paramètres!$A$1:$I$89,3,0)*VLOOKUP('Données projet'!$B$10,Paramètres!$A$1:$I$89,5,0)</f>
        <v>-2.7001760827261026E-13</v>
      </c>
      <c r="AK175" s="13" t="e">
        <f t="shared" si="164"/>
        <v>#NUM!</v>
      </c>
      <c r="AL175" s="20" t="e">
        <f t="shared" si="165"/>
        <v>#NUM!</v>
      </c>
      <c r="AM175" s="57" t="e">
        <f t="shared" si="113"/>
        <v>#NUM!</v>
      </c>
      <c r="AN175" s="57">
        <f ca="1">AVERAGE(OFFSET($AM$3,0,0,'Données projet'!$E$10+1,1))-AVERAGE(OFFSET($H$3,0,0,'Données projet'!$E$10+1,1))</f>
        <v>469.4210143164521</v>
      </c>
      <c r="AO175" s="57">
        <f t="shared" si="144"/>
        <v>308.4508386530556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119.72998085323562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119.72998085323562</v>
      </c>
      <c r="AY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69.186687300452377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7" t="e">
        <f t="shared" si="116"/>
        <v>#NUM!</v>
      </c>
      <c r="BI175" s="57">
        <f ca="1">AVERAGE(OFFSET($BH$3,0,0,'Données projet'!$E$11+1,1))-AVERAGE(OFFSET($H$3,0,0,'Données projet'!$E$11+1,1))</f>
        <v>344.32981377462971</v>
      </c>
      <c r="BJ175" s="57">
        <f t="shared" si="146"/>
        <v>334.42512656625763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18.772199525376578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18.772199525376578</v>
      </c>
      <c r="BT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69.186687300452377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4.5474735088646412E-13</v>
      </c>
      <c r="BZ175" s="13">
        <f>BY175*VLOOKUP('Données projet'!$B$12,Paramètres!$A$1:$I$89,3,0)*VLOOKUP('Données projet'!$B$12,Paramètres!$A$1:$I$89,5,0)</f>
        <v>4.3273757910355926E-13</v>
      </c>
      <c r="CA175" s="13">
        <f t="shared" si="170"/>
        <v>5.4817614357080839E-12</v>
      </c>
      <c r="CB175" s="20">
        <f t="shared" si="171"/>
        <v>1.0301085784130276E-11</v>
      </c>
      <c r="CC175" s="57">
        <f t="shared" si="119"/>
        <v>290.35118676833565</v>
      </c>
      <c r="CD175" s="57">
        <f ca="1">AVERAGE(OFFSET($CC$3,0,0,'Données projet'!$E$12+1,1))-AVERAGE(OFFSET($H$3,0,0,'Données projet'!$E$12+1,1))</f>
        <v>498.77732039282807</v>
      </c>
      <c r="CE175" s="57">
        <f t="shared" si="148"/>
        <v>384.57317421826531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66.081702788008201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66.081702788008201</v>
      </c>
      <c r="CO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69.186687300452377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-2.9842794901924208E-13</v>
      </c>
      <c r="CU175" s="17">
        <f>CT175*VLOOKUP('Données projet'!$B$13,Paramètres!$A$1:$I$89,3,0)*VLOOKUP('Données projet'!$B$13,Paramètres!$A$1:$I$89,5,0)</f>
        <v>-2.0018546820210759E-13</v>
      </c>
      <c r="CV175" s="13" t="e">
        <f t="shared" si="173"/>
        <v>#NUM!</v>
      </c>
      <c r="CW175" s="20" t="e">
        <f t="shared" si="174"/>
        <v>#NUM!</v>
      </c>
      <c r="CX175" s="57" t="e">
        <f t="shared" si="122"/>
        <v>#NUM!</v>
      </c>
      <c r="CY175" s="57">
        <f ca="1">AVERAGE(OFFSET($CX$3,0,0,'Données projet'!$E$13+1,1))-AVERAGE(OFFSET($H$3,0,0,'Données projet'!$E$13+1,1))</f>
        <v>365.99625753737246</v>
      </c>
      <c r="CZ175" s="57">
        <f t="shared" si="150"/>
        <v>242.84814712692287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109.40843077968078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109.40843077968078</v>
      </c>
      <c r="DJ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69.186687300452377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2.2737367544323206E-13</v>
      </c>
      <c r="DP175" s="17">
        <f>DO175*VLOOKUP('Données projet'!$B$14,Paramètres!$A$1:$I$89,3,0)*VLOOKUP('Données projet'!$B$14,Paramètres!$A$1:$I$89,5,0)</f>
        <v>1.4897523215040565E-13</v>
      </c>
      <c r="DQ175" s="13">
        <f t="shared" si="176"/>
        <v>2.136562777003313E-12</v>
      </c>
      <c r="DR175" s="20">
        <f t="shared" si="177"/>
        <v>3.9806453659427267E-12</v>
      </c>
      <c r="DS175" s="57">
        <f t="shared" si="125"/>
        <v>290.35118676832934</v>
      </c>
      <c r="DT175" s="57">
        <f ca="1">AVERAGE(OFFSET($DS$3,0,0,'Données projet'!$E$14+1,1))-AVERAGE(OFFSET($H$3,0,0,'Données projet'!$E$14+1,1))</f>
        <v>313.79279628660527</v>
      </c>
      <c r="DU175" s="57">
        <f t="shared" si="152"/>
        <v>317.45469955216254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18.238932332469147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18.238932332469147</v>
      </c>
      <c r="EE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69.186687300452377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-1.1368683772161603E-13</v>
      </c>
      <c r="EK175" s="17">
        <f>EJ175*VLOOKUP('Données projet'!$B$15,Paramètres!$A$1:$I$89,3,0)*VLOOKUP('Données projet'!$B$15,Paramètres!$A$1:$I$89,5,0)</f>
        <v>-9.7543306765146564E-14</v>
      </c>
      <c r="EL175" s="13" t="e">
        <f t="shared" si="179"/>
        <v>#NUM!</v>
      </c>
      <c r="EM175" s="20" t="e">
        <f t="shared" si="180"/>
        <v>#NUM!</v>
      </c>
      <c r="EN175" s="57" t="e">
        <f t="shared" si="128"/>
        <v>#NUM!</v>
      </c>
      <c r="EO175" s="57">
        <f ca="1">AVERAGE(OFFSET($EN$3,0,0,'Données projet'!$E$15+1,1))-AVERAGE(OFFSET($H$3,0,0,'Données projet'!$E$15+1,1))</f>
        <v>643.04899298561475</v>
      </c>
      <c r="EP175" s="57">
        <f t="shared" si="154"/>
        <v>474.94999304483031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67.605041430868326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67.605041430868326</v>
      </c>
      <c r="EZ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69.186687300452377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>
        <f>FE175*VLOOKUP('Données projet'!$B$16,Paramètres!$A$1:$I$89,3,0)*VLOOKUP('Données projet'!$B$16,Paramètres!$A$1:$I$89,5,0)</f>
        <v>0</v>
      </c>
      <c r="FG175" s="13" t="e">
        <f t="shared" si="182"/>
        <v>#NUM!</v>
      </c>
      <c r="FH175" s="20" t="e">
        <f t="shared" si="183"/>
        <v>#NUM!</v>
      </c>
      <c r="FI175" s="57" t="e">
        <f t="shared" si="131"/>
        <v>#NUM!</v>
      </c>
      <c r="FJ175" s="57">
        <f ca="1">AVERAGE(OFFSET($FI$3,0,0,'Données projet'!$E$16+1,1))-AVERAGE(OFFSET($H$3,0,0,'Données projet'!$E$16+1,1))</f>
        <v>375.34603719604439</v>
      </c>
      <c r="FK175" s="57">
        <f t="shared" si="156"/>
        <v>363.99476973672211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25.599298313675337</v>
      </c>
      <c r="FR175" s="21">
        <f>EXP(-LN(2)/25)*FR174+(1-EXP(-LN(2)/25))/(LN(2)/25)*Calculateur!FM175*Calculateur!FO175*VLOOKUP('Données projet'!$B$16,Paramètres!$A$1:$I$89,3,0)*0.475*44/12</f>
        <v>0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25.599298313675337</v>
      </c>
      <c r="FU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69.186687300452377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-1.1368683772161603E-13</v>
      </c>
      <c r="GA175" s="17">
        <f>FZ175*VLOOKUP('Données projet'!$B$17,Paramètres!$A$1:$I$89,3,0)*VLOOKUP('Données projet'!$B$17,Paramètres!$A$1:$I$89,5,0)</f>
        <v>-6.3550942286383367E-14</v>
      </c>
      <c r="GB175" s="13" t="e">
        <f t="shared" si="185"/>
        <v>#NUM!</v>
      </c>
      <c r="GC175" s="20" t="e">
        <f t="shared" si="186"/>
        <v>#NUM!</v>
      </c>
      <c r="GD175" s="57" t="e">
        <f t="shared" si="134"/>
        <v>#NUM!</v>
      </c>
      <c r="GE175" s="57">
        <f ca="1">AVERAGE(OFFSET($GD$3,0,0,'Données projet'!$E$17+1,1))-AVERAGE(OFFSET($H$3,0,0,'Données projet'!$E$17+1,1))</f>
        <v>414.47327143450701</v>
      </c>
      <c r="GF175" s="57">
        <f t="shared" si="158"/>
        <v>546.83385887302961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29.100233413176923</v>
      </c>
      <c r="GM175" s="21">
        <f>EXP(-LN(2)/25)*GM174+(1-EXP(-LN(2)/25))/(LN(2)/25)*Calculateur!GH175*Calculateur!GJ175*VLOOKUP('Données projet'!$B$17,Paramètres!$A$1:$I$89,3,0)*0.475*44/12</f>
        <v>2.4157041661351837</v>
      </c>
      <c r="GN175" s="21">
        <f>EXP(-LN(2)/2)*GN174+(1-EXP(-LN(2)/2))/(LN(2)/2)*GH175*GK175*VLOOKUP('Données projet'!$B$17,Paramètres!$A$1:$I$89,3,0)*0.475*44/12</f>
        <v>7.2072504831269911E-17</v>
      </c>
      <c r="GO175" s="21">
        <f t="shared" si="187"/>
        <v>31.515937579312109</v>
      </c>
      <c r="GP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69.186687300452377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-2.2737367544323206E-13</v>
      </c>
      <c r="GV175" s="17">
        <f>GU175*VLOOKUP('Données projet'!$B$18,Paramètres!$A$1:$I$89,3,0)*VLOOKUP('Données projet'!$B$18,Paramètres!$A$1:$I$89,5,0)</f>
        <v>-1.2414602679200471E-13</v>
      </c>
      <c r="GW175" s="13" t="e">
        <f t="shared" si="188"/>
        <v>#NUM!</v>
      </c>
      <c r="GX175" s="20" t="e">
        <f t="shared" si="189"/>
        <v>#NUM!</v>
      </c>
      <c r="GY175" s="57" t="e">
        <f t="shared" si="137"/>
        <v>#NUM!</v>
      </c>
      <c r="GZ175" s="57">
        <f ca="1">AVERAGE(OFFSET($GY$3,0,0,'Données projet'!$E$18+1,1))-AVERAGE(OFFSET($H$3,0,0,'Données projet'!$E$18+1,1))</f>
        <v>381.00532469288714</v>
      </c>
      <c r="HA175" s="57">
        <f t="shared" si="160"/>
        <v>314.875259641757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>
        <f>EXP(-LN(2)/35)*HG174+(1-EXP(-LN(2)/35))/(LN(2)/35)*HC175*HD175*VLOOKUP('Données projet'!$B$18,Paramètres!$A$1:$I$89,3,0)*0.475*44/12</f>
        <v>49.023593726694322</v>
      </c>
      <c r="HH175" s="21">
        <f>EXP(-LN(2)/25)*HH174+(1-EXP(-LN(2)/25))/(LN(2)/25)*Calculateur!HC175*Calculateur!HE175*VLOOKUP('Données projet'!$B$18,Paramètres!$A$1:$I$89,3,0)*0.475*44/12</f>
        <v>4.4819635078301481</v>
      </c>
      <c r="HI175" s="21">
        <f>EXP(-LN(2)/2)*HI174+(1-EXP(-LN(2)/2))/(LN(2)/2)*HC175*HF175*VLOOKUP('Données projet'!$B$18,Paramètres!$A$1:$I$89,3,0)*0.475*44/12</f>
        <v>3.6340196052719674E-10</v>
      </c>
      <c r="HJ175" s="22">
        <f t="shared" si="190"/>
        <v>53.505557234887874</v>
      </c>
    </row>
    <row r="176" spans="1:218" x14ac:dyDescent="0.2">
      <c r="A176" s="10">
        <f t="shared" si="161"/>
        <v>173</v>
      </c>
      <c r="B176" s="71">
        <f>'Scénario référence'!$B$16*5+'Scénario référence'!$B$17*0+'Scénario référence'!$B$18*5</f>
        <v>3.3000000000000003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12.100000000000001</v>
      </c>
      <c r="H176" s="65">
        <f t="shared" si="110"/>
        <v>208.26666666666665</v>
      </c>
      <c r="I176" s="6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69.200796457494732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-1.1527845344971866E-13</v>
      </c>
      <c r="P176" s="13" t="e">
        <f t="shared" si="141"/>
        <v>#NUM!</v>
      </c>
      <c r="Q176" s="20" t="e">
        <f t="shared" si="162"/>
        <v>#NUM!</v>
      </c>
      <c r="R176" s="57" t="e">
        <f t="shared" si="109"/>
        <v>#NUM!</v>
      </c>
      <c r="S176" s="57">
        <f ca="1">AVERAGE(OFFSET($R$3,0,0,'Données projet'!$E$9+1,1))-AVERAGE(OFFSET($H$3,0,0,'Données projet'!$E$9+1,1))</f>
        <v>332.70145542047612</v>
      </c>
      <c r="T176" s="57">
        <f t="shared" si="142"/>
        <v>172.22433737900428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39.745311043361895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39.745311043361895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69.200796457494732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-2.9842794901924208E-13</v>
      </c>
      <c r="AJ176" s="13">
        <f>AI176*VLOOKUP('Données projet'!$B$10,Paramètres!$A$1:$I$89,3,0)*VLOOKUP('Données projet'!$B$10,Paramètres!$A$1:$I$89,5,0)</f>
        <v>-2.7001760827261026E-13</v>
      </c>
      <c r="AK176" s="13" t="e">
        <f t="shared" si="164"/>
        <v>#NUM!</v>
      </c>
      <c r="AL176" s="20" t="e">
        <f t="shared" si="165"/>
        <v>#NUM!</v>
      </c>
      <c r="AM176" s="57" t="e">
        <f t="shared" si="113"/>
        <v>#NUM!</v>
      </c>
      <c r="AN176" s="57">
        <f ca="1">AVERAGE(OFFSET($AM$3,0,0,'Données projet'!$E$10+1,1))-AVERAGE(OFFSET($H$3,0,0,'Données projet'!$E$10+1,1))</f>
        <v>469.4210143164521</v>
      </c>
      <c r="AO176" s="57">
        <f t="shared" si="144"/>
        <v>308.4508386530556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117.38214895678107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117.38214895678107</v>
      </c>
      <c r="AY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69.200796457494732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7" t="e">
        <f t="shared" si="116"/>
        <v>#NUM!</v>
      </c>
      <c r="BI176" s="57">
        <f ca="1">AVERAGE(OFFSET($BH$3,0,0,'Données projet'!$E$11+1,1))-AVERAGE(OFFSET($H$3,0,0,'Données projet'!$E$11+1,1))</f>
        <v>344.32981377462971</v>
      </c>
      <c r="BJ176" s="57">
        <f t="shared" si="146"/>
        <v>334.42512656625763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18.404088142595068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18.404088142595068</v>
      </c>
      <c r="BT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69.200796457494732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4.5474735088646412E-13</v>
      </c>
      <c r="BZ176" s="13">
        <f>BY176*VLOOKUP('Données projet'!$B$12,Paramètres!$A$1:$I$89,3,0)*VLOOKUP('Données projet'!$B$12,Paramètres!$A$1:$I$89,5,0)</f>
        <v>4.3273757910355926E-13</v>
      </c>
      <c r="CA176" s="13">
        <f t="shared" si="170"/>
        <v>5.4817614357080839E-12</v>
      </c>
      <c r="CB176" s="20">
        <f t="shared" si="171"/>
        <v>1.0301085784130276E-11</v>
      </c>
      <c r="CC176" s="57">
        <f t="shared" si="119"/>
        <v>290.40292034415762</v>
      </c>
      <c r="CD176" s="57">
        <f ca="1">AVERAGE(OFFSET($CC$3,0,0,'Données projet'!$E$12+1,1))-AVERAGE(OFFSET($H$3,0,0,'Données projet'!$E$12+1,1))</f>
        <v>498.77732039282807</v>
      </c>
      <c r="CE176" s="57">
        <f t="shared" si="148"/>
        <v>384.57317421826531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64.785880902194194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64.785880902194194</v>
      </c>
      <c r="CO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69.200796457494732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-2.9842794901924208E-13</v>
      </c>
      <c r="CU176" s="17">
        <f>CT176*VLOOKUP('Données projet'!$B$13,Paramètres!$A$1:$I$89,3,0)*VLOOKUP('Données projet'!$B$13,Paramètres!$A$1:$I$89,5,0)</f>
        <v>-2.0018546820210759E-13</v>
      </c>
      <c r="CV176" s="13" t="e">
        <f t="shared" si="173"/>
        <v>#NUM!</v>
      </c>
      <c r="CW176" s="20" t="e">
        <f t="shared" si="174"/>
        <v>#NUM!</v>
      </c>
      <c r="CX176" s="57" t="e">
        <f t="shared" si="122"/>
        <v>#NUM!</v>
      </c>
      <c r="CY176" s="57">
        <f ca="1">AVERAGE(OFFSET($CX$3,0,0,'Données projet'!$E$13+1,1))-AVERAGE(OFFSET($H$3,0,0,'Données projet'!$E$13+1,1))</f>
        <v>365.99625753737246</v>
      </c>
      <c r="CZ176" s="57">
        <f t="shared" si="150"/>
        <v>242.84814712692287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107.26299818464473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107.26299818464473</v>
      </c>
      <c r="DJ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69.200796457494732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2.2737367544323206E-13</v>
      </c>
      <c r="DP176" s="17">
        <f>DO176*VLOOKUP('Données projet'!$B$14,Paramètres!$A$1:$I$89,3,0)*VLOOKUP('Données projet'!$B$14,Paramètres!$A$1:$I$89,5,0)</f>
        <v>1.4897523215040565E-13</v>
      </c>
      <c r="DQ176" s="13">
        <f t="shared" si="176"/>
        <v>2.136562777003313E-12</v>
      </c>
      <c r="DR176" s="20">
        <f t="shared" si="177"/>
        <v>3.9806453659427267E-12</v>
      </c>
      <c r="DS176" s="57">
        <f t="shared" si="125"/>
        <v>290.40292034415131</v>
      </c>
      <c r="DT176" s="57">
        <f ca="1">AVERAGE(OFFSET($DS$3,0,0,'Données projet'!$E$14+1,1))-AVERAGE(OFFSET($H$3,0,0,'Données projet'!$E$14+1,1))</f>
        <v>313.79279628660527</v>
      </c>
      <c r="DU176" s="57">
        <f t="shared" si="152"/>
        <v>317.45469955216254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17.881277994079682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17.881277994079682</v>
      </c>
      <c r="EE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69.200796457494732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-1.1368683772161603E-13</v>
      </c>
      <c r="EK176" s="17">
        <f>EJ176*VLOOKUP('Données projet'!$B$15,Paramètres!$A$1:$I$89,3,0)*VLOOKUP('Données projet'!$B$15,Paramètres!$A$1:$I$89,5,0)</f>
        <v>-9.7543306765146564E-14</v>
      </c>
      <c r="EL176" s="13" t="e">
        <f t="shared" si="179"/>
        <v>#NUM!</v>
      </c>
      <c r="EM176" s="20" t="e">
        <f t="shared" si="180"/>
        <v>#NUM!</v>
      </c>
      <c r="EN176" s="57" t="e">
        <f t="shared" si="128"/>
        <v>#NUM!</v>
      </c>
      <c r="EO176" s="57">
        <f ca="1">AVERAGE(OFFSET($EN$3,0,0,'Données projet'!$E$15+1,1))-AVERAGE(OFFSET($H$3,0,0,'Données projet'!$E$15+1,1))</f>
        <v>643.04899298561475</v>
      </c>
      <c r="EP176" s="57">
        <f t="shared" si="154"/>
        <v>474.94999304483031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66.279347803412648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66.279347803412648</v>
      </c>
      <c r="EZ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69.200796457494732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>
        <f>FE176*VLOOKUP('Données projet'!$B$16,Paramètres!$A$1:$I$89,3,0)*VLOOKUP('Données projet'!$B$16,Paramètres!$A$1:$I$89,5,0)</f>
        <v>0</v>
      </c>
      <c r="FG176" s="13" t="e">
        <f t="shared" si="182"/>
        <v>#NUM!</v>
      </c>
      <c r="FH176" s="20" t="e">
        <f t="shared" si="183"/>
        <v>#NUM!</v>
      </c>
      <c r="FI176" s="57" t="e">
        <f t="shared" si="131"/>
        <v>#NUM!</v>
      </c>
      <c r="FJ176" s="57">
        <f ca="1">AVERAGE(OFFSET($FI$3,0,0,'Données projet'!$E$16+1,1))-AVERAGE(OFFSET($H$3,0,0,'Données projet'!$E$16+1,1))</f>
        <v>375.34603719604439</v>
      </c>
      <c r="FK176" s="57">
        <f t="shared" si="156"/>
        <v>363.99476973672211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25.097311687774379</v>
      </c>
      <c r="FR176" s="21">
        <f>EXP(-LN(2)/25)*FR175+(1-EXP(-LN(2)/25))/(LN(2)/25)*Calculateur!FM176*Calculateur!FO176*VLOOKUP('Données projet'!$B$16,Paramètres!$A$1:$I$89,3,0)*0.475*44/12</f>
        <v>0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25.097311687774379</v>
      </c>
      <c r="FU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69.200796457494732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-1.1368683772161603E-13</v>
      </c>
      <c r="GA176" s="17">
        <f>FZ176*VLOOKUP('Données projet'!$B$17,Paramètres!$A$1:$I$89,3,0)*VLOOKUP('Données projet'!$B$17,Paramètres!$A$1:$I$89,5,0)</f>
        <v>-6.3550942286383367E-14</v>
      </c>
      <c r="GB176" s="13" t="e">
        <f t="shared" si="185"/>
        <v>#NUM!</v>
      </c>
      <c r="GC176" s="20" t="e">
        <f t="shared" si="186"/>
        <v>#NUM!</v>
      </c>
      <c r="GD176" s="57" t="e">
        <f t="shared" si="134"/>
        <v>#NUM!</v>
      </c>
      <c r="GE176" s="57">
        <f ca="1">AVERAGE(OFFSET($GD$3,0,0,'Données projet'!$E$17+1,1))-AVERAGE(OFFSET($H$3,0,0,'Données projet'!$E$17+1,1))</f>
        <v>414.47327143450701</v>
      </c>
      <c r="GF176" s="57">
        <f t="shared" si="158"/>
        <v>546.83385887302961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28.529595585334299</v>
      </c>
      <c r="GM176" s="21">
        <f>EXP(-LN(2)/25)*GM175+(1-EXP(-LN(2)/25))/(LN(2)/25)*Calculateur!GH176*Calculateur!GJ176*VLOOKUP('Données projet'!$B$17,Paramètres!$A$1:$I$89,3,0)*0.475*44/12</f>
        <v>2.3496466086758563</v>
      </c>
      <c r="GN176" s="21">
        <f>EXP(-LN(2)/2)*GN175+(1-EXP(-LN(2)/2))/(LN(2)/2)*GH176*GK176*VLOOKUP('Données projet'!$B$17,Paramètres!$A$1:$I$89,3,0)*0.475*44/12</f>
        <v>5.0962956903291163E-17</v>
      </c>
      <c r="GO176" s="21">
        <f t="shared" si="187"/>
        <v>30.879242194010153</v>
      </c>
      <c r="GP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69.200796457494732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-2.2737367544323206E-13</v>
      </c>
      <c r="GV176" s="17">
        <f>GU176*VLOOKUP('Données projet'!$B$18,Paramètres!$A$1:$I$89,3,0)*VLOOKUP('Données projet'!$B$18,Paramètres!$A$1:$I$89,5,0)</f>
        <v>-1.2414602679200471E-13</v>
      </c>
      <c r="GW176" s="13" t="e">
        <f t="shared" si="188"/>
        <v>#NUM!</v>
      </c>
      <c r="GX176" s="20" t="e">
        <f t="shared" si="189"/>
        <v>#NUM!</v>
      </c>
      <c r="GY176" s="57" t="e">
        <f t="shared" si="137"/>
        <v>#NUM!</v>
      </c>
      <c r="GZ176" s="57">
        <f ca="1">AVERAGE(OFFSET($GY$3,0,0,'Données projet'!$E$18+1,1))-AVERAGE(OFFSET($H$3,0,0,'Données projet'!$E$18+1,1))</f>
        <v>381.00532469288714</v>
      </c>
      <c r="HA176" s="57">
        <f t="shared" si="160"/>
        <v>314.875259641757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>
        <f>EXP(-LN(2)/35)*HG175+(1-EXP(-LN(2)/35))/(LN(2)/35)*HC176*HD176*VLOOKUP('Données projet'!$B$18,Paramètres!$A$1:$I$89,3,0)*0.475*44/12</f>
        <v>48.062270955153501</v>
      </c>
      <c r="HH176" s="21">
        <f>EXP(-LN(2)/25)*HH175+(1-EXP(-LN(2)/25))/(LN(2)/25)*Calculateur!HC176*Calculateur!HE176*VLOOKUP('Données projet'!$B$18,Paramètres!$A$1:$I$89,3,0)*0.475*44/12</f>
        <v>4.3594039800123152</v>
      </c>
      <c r="HI176" s="21">
        <f>EXP(-LN(2)/2)*HI175+(1-EXP(-LN(2)/2))/(LN(2)/2)*HC176*HF176*VLOOKUP('Données projet'!$B$18,Paramètres!$A$1:$I$89,3,0)*0.475*44/12</f>
        <v>2.5696399058526689E-10</v>
      </c>
      <c r="HJ176" s="22">
        <f t="shared" si="190"/>
        <v>52.421674935422779</v>
      </c>
    </row>
    <row r="177" spans="1:218" x14ac:dyDescent="0.2">
      <c r="A177" s="10">
        <f t="shared" si="161"/>
        <v>174</v>
      </c>
      <c r="B177" s="71">
        <f>'Scénario référence'!$B$16*5+'Scénario référence'!$B$17*0+'Scénario référence'!$B$18*5</f>
        <v>3.3000000000000003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12.100000000000001</v>
      </c>
      <c r="H177" s="65">
        <f t="shared" si="110"/>
        <v>208.26666666666665</v>
      </c>
      <c r="I177" s="6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69.214660852205753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-1.1527845344971866E-13</v>
      </c>
      <c r="P177" s="13" t="e">
        <f t="shared" si="141"/>
        <v>#NUM!</v>
      </c>
      <c r="Q177" s="20" t="e">
        <f t="shared" si="162"/>
        <v>#NUM!</v>
      </c>
      <c r="R177" s="57" t="e">
        <f t="shared" si="109"/>
        <v>#NUM!</v>
      </c>
      <c r="S177" s="57">
        <f ca="1">AVERAGE(OFFSET($R$3,0,0,'Données projet'!$E$9+1,1))-AVERAGE(OFFSET($H$3,0,0,'Données projet'!$E$9+1,1))</f>
        <v>332.70145542047612</v>
      </c>
      <c r="T177" s="57">
        <f t="shared" si="142"/>
        <v>172.22433737900428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38.965929736047585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38.965929736047585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69.214660852205753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-2.9842794901924208E-13</v>
      </c>
      <c r="AJ177" s="13">
        <f>AI177*VLOOKUP('Données projet'!$B$10,Paramètres!$A$1:$I$89,3,0)*VLOOKUP('Données projet'!$B$10,Paramètres!$A$1:$I$89,5,0)</f>
        <v>-2.7001760827261026E-13</v>
      </c>
      <c r="AK177" s="13" t="e">
        <f t="shared" si="164"/>
        <v>#NUM!</v>
      </c>
      <c r="AL177" s="20" t="e">
        <f t="shared" si="165"/>
        <v>#NUM!</v>
      </c>
      <c r="AM177" s="57" t="e">
        <f t="shared" si="113"/>
        <v>#NUM!</v>
      </c>
      <c r="AN177" s="57">
        <f ca="1">AVERAGE(OFFSET($AM$3,0,0,'Données projet'!$E$10+1,1))-AVERAGE(OFFSET($H$3,0,0,'Données projet'!$E$10+1,1))</f>
        <v>469.4210143164521</v>
      </c>
      <c r="AO177" s="57">
        <f t="shared" si="144"/>
        <v>308.4508386530556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115.08035661177993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115.08035661177993</v>
      </c>
      <c r="AY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69.214660852205753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7" t="e">
        <f t="shared" si="116"/>
        <v>#NUM!</v>
      </c>
      <c r="BI177" s="57">
        <f ca="1">AVERAGE(OFFSET($BH$3,0,0,'Données projet'!$E$11+1,1))-AVERAGE(OFFSET($H$3,0,0,'Données projet'!$E$11+1,1))</f>
        <v>344.32981377462971</v>
      </c>
      <c r="BJ177" s="57">
        <f t="shared" si="146"/>
        <v>334.42512656625763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18.04319519950413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18.04319519950413</v>
      </c>
      <c r="BT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69.214660852205753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4.5474735088646412E-13</v>
      </c>
      <c r="BZ177" s="13">
        <f>BY177*VLOOKUP('Données projet'!$B$12,Paramètres!$A$1:$I$89,3,0)*VLOOKUP('Données projet'!$B$12,Paramètres!$A$1:$I$89,5,0)</f>
        <v>4.3273757910355926E-13</v>
      </c>
      <c r="CA177" s="13">
        <f t="shared" si="170"/>
        <v>5.4817614357080839E-12</v>
      </c>
      <c r="CB177" s="20">
        <f t="shared" si="171"/>
        <v>1.0301085784130276E-11</v>
      </c>
      <c r="CC177" s="57">
        <f t="shared" si="119"/>
        <v>290.45375645809804</v>
      </c>
      <c r="CD177" s="57">
        <f ca="1">AVERAGE(OFFSET($CC$3,0,0,'Données projet'!$E$12+1,1))-AVERAGE(OFFSET($H$3,0,0,'Données projet'!$E$12+1,1))</f>
        <v>498.77732039282807</v>
      </c>
      <c r="CE177" s="57">
        <f t="shared" si="148"/>
        <v>384.57317421826531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63.515469293187685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63.515469293187685</v>
      </c>
      <c r="CO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69.214660852205753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-2.9842794901924208E-13</v>
      </c>
      <c r="CU177" s="17">
        <f>CT177*VLOOKUP('Données projet'!$B$13,Paramètres!$A$1:$I$89,3,0)*VLOOKUP('Données projet'!$B$13,Paramètres!$A$1:$I$89,5,0)</f>
        <v>-2.0018546820210759E-13</v>
      </c>
      <c r="CV177" s="13" t="e">
        <f t="shared" si="173"/>
        <v>#NUM!</v>
      </c>
      <c r="CW177" s="20" t="e">
        <f t="shared" si="174"/>
        <v>#NUM!</v>
      </c>
      <c r="CX177" s="57" t="e">
        <f t="shared" si="122"/>
        <v>#NUM!</v>
      </c>
      <c r="CY177" s="57">
        <f ca="1">AVERAGE(OFFSET($CX$3,0,0,'Données projet'!$E$13+1,1))-AVERAGE(OFFSET($H$3,0,0,'Données projet'!$E$13+1,1))</f>
        <v>365.99625753737246</v>
      </c>
      <c r="CZ177" s="57">
        <f t="shared" si="150"/>
        <v>242.84814712692287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105.15963621421265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105.15963621421265</v>
      </c>
      <c r="DJ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69.214660852205753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2.2737367544323206E-13</v>
      </c>
      <c r="DP177" s="17">
        <f>DO177*VLOOKUP('Données projet'!$B$14,Paramètres!$A$1:$I$89,3,0)*VLOOKUP('Données projet'!$B$14,Paramètres!$A$1:$I$89,5,0)</f>
        <v>1.4897523215040565E-13</v>
      </c>
      <c r="DQ177" s="13">
        <f t="shared" si="176"/>
        <v>2.136562777003313E-12</v>
      </c>
      <c r="DR177" s="20">
        <f t="shared" si="177"/>
        <v>3.9806453659427267E-12</v>
      </c>
      <c r="DS177" s="57">
        <f t="shared" si="125"/>
        <v>290.45375645809173</v>
      </c>
      <c r="DT177" s="57">
        <f ca="1">AVERAGE(OFFSET($DS$3,0,0,'Données projet'!$E$14+1,1))-AVERAGE(OFFSET($H$3,0,0,'Données projet'!$E$14+1,1))</f>
        <v>313.79279628660527</v>
      </c>
      <c r="DU177" s="57">
        <f t="shared" si="152"/>
        <v>317.45469955216254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17.530637039118428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17.530637039118428</v>
      </c>
      <c r="EE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69.214660852205753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-1.1368683772161603E-13</v>
      </c>
      <c r="EK177" s="17">
        <f>EJ177*VLOOKUP('Données projet'!$B$15,Paramètres!$A$1:$I$89,3,0)*VLOOKUP('Données projet'!$B$15,Paramètres!$A$1:$I$89,5,0)</f>
        <v>-9.7543306765146564E-14</v>
      </c>
      <c r="EL177" s="13" t="e">
        <f t="shared" si="179"/>
        <v>#NUM!</v>
      </c>
      <c r="EM177" s="20" t="e">
        <f t="shared" si="180"/>
        <v>#NUM!</v>
      </c>
      <c r="EN177" s="57" t="e">
        <f t="shared" si="128"/>
        <v>#NUM!</v>
      </c>
      <c r="EO177" s="57">
        <f ca="1">AVERAGE(OFFSET($EN$3,0,0,'Données projet'!$E$15+1,1))-AVERAGE(OFFSET($H$3,0,0,'Données projet'!$E$15+1,1))</f>
        <v>643.04899298561475</v>
      </c>
      <c r="EP177" s="57">
        <f t="shared" si="154"/>
        <v>474.94999304483031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64.97965021939811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64.97965021939811</v>
      </c>
      <c r="EZ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69.214660852205753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>
        <f>FE177*VLOOKUP('Données projet'!$B$16,Paramètres!$A$1:$I$89,3,0)*VLOOKUP('Données projet'!$B$16,Paramètres!$A$1:$I$89,5,0)</f>
        <v>0</v>
      </c>
      <c r="FG177" s="13" t="e">
        <f t="shared" si="182"/>
        <v>#NUM!</v>
      </c>
      <c r="FH177" s="20" t="e">
        <f t="shared" si="183"/>
        <v>#NUM!</v>
      </c>
      <c r="FI177" s="57" t="e">
        <f t="shared" si="131"/>
        <v>#NUM!</v>
      </c>
      <c r="FJ177" s="57">
        <f ca="1">AVERAGE(OFFSET($FI$3,0,0,'Données projet'!$E$16+1,1))-AVERAGE(OFFSET($H$3,0,0,'Données projet'!$E$16+1,1))</f>
        <v>375.34603719604439</v>
      </c>
      <c r="FK177" s="57">
        <f t="shared" si="156"/>
        <v>363.99476973672211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24.60516871342573</v>
      </c>
      <c r="FR177" s="21">
        <f>EXP(-LN(2)/25)*FR176+(1-EXP(-LN(2)/25))/(LN(2)/25)*Calculateur!FM177*Calculateur!FO177*VLOOKUP('Données projet'!$B$16,Paramètres!$A$1:$I$89,3,0)*0.475*44/12</f>
        <v>0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24.60516871342573</v>
      </c>
      <c r="FU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69.214660852205753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-1.1368683772161603E-13</v>
      </c>
      <c r="GA177" s="17">
        <f>FZ177*VLOOKUP('Données projet'!$B$17,Paramètres!$A$1:$I$89,3,0)*VLOOKUP('Données projet'!$B$17,Paramètres!$A$1:$I$89,5,0)</f>
        <v>-6.3550942286383367E-14</v>
      </c>
      <c r="GB177" s="13" t="e">
        <f t="shared" si="185"/>
        <v>#NUM!</v>
      </c>
      <c r="GC177" s="20" t="e">
        <f t="shared" si="186"/>
        <v>#NUM!</v>
      </c>
      <c r="GD177" s="57" t="e">
        <f t="shared" si="134"/>
        <v>#NUM!</v>
      </c>
      <c r="GE177" s="57">
        <f ca="1">AVERAGE(OFFSET($GD$3,0,0,'Données projet'!$E$17+1,1))-AVERAGE(OFFSET($H$3,0,0,'Données projet'!$E$17+1,1))</f>
        <v>414.47327143450701</v>
      </c>
      <c r="GF177" s="57">
        <f t="shared" si="158"/>
        <v>546.83385887302961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27.970147617240961</v>
      </c>
      <c r="GM177" s="21">
        <f>EXP(-LN(2)/25)*GM176+(1-EXP(-LN(2)/25))/(LN(2)/25)*Calculateur!GH177*Calculateur!GJ177*VLOOKUP('Données projet'!$B$17,Paramètres!$A$1:$I$89,3,0)*0.475*44/12</f>
        <v>2.28539539859907</v>
      </c>
      <c r="GN177" s="21">
        <f>EXP(-LN(2)/2)*GN176+(1-EXP(-LN(2)/2))/(LN(2)/2)*GH177*GK177*VLOOKUP('Données projet'!$B$17,Paramètres!$A$1:$I$89,3,0)*0.475*44/12</f>
        <v>3.6036252415634955E-17</v>
      </c>
      <c r="GO177" s="21">
        <f t="shared" si="187"/>
        <v>30.255543015840033</v>
      </c>
      <c r="GP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69.214660852205753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-2.2737367544323206E-13</v>
      </c>
      <c r="GV177" s="17">
        <f>GU177*VLOOKUP('Données projet'!$B$18,Paramètres!$A$1:$I$89,3,0)*VLOOKUP('Données projet'!$B$18,Paramètres!$A$1:$I$89,5,0)</f>
        <v>-1.2414602679200471E-13</v>
      </c>
      <c r="GW177" s="13" t="e">
        <f t="shared" si="188"/>
        <v>#NUM!</v>
      </c>
      <c r="GX177" s="20" t="e">
        <f t="shared" si="189"/>
        <v>#NUM!</v>
      </c>
      <c r="GY177" s="57" t="e">
        <f t="shared" si="137"/>
        <v>#NUM!</v>
      </c>
      <c r="GZ177" s="57">
        <f ca="1">AVERAGE(OFFSET($GY$3,0,0,'Données projet'!$E$18+1,1))-AVERAGE(OFFSET($H$3,0,0,'Données projet'!$E$18+1,1))</f>
        <v>381.00532469288714</v>
      </c>
      <c r="HA177" s="57">
        <f t="shared" si="160"/>
        <v>314.875259641757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>
        <f>EXP(-LN(2)/35)*HG176+(1-EXP(-LN(2)/35))/(LN(2)/35)*HC177*HD177*VLOOKUP('Données projet'!$B$18,Paramètres!$A$1:$I$89,3,0)*0.475*44/12</f>
        <v>47.119799136813597</v>
      </c>
      <c r="HH177" s="21">
        <f>EXP(-LN(2)/25)*HH176+(1-EXP(-LN(2)/25))/(LN(2)/25)*Calculateur!HC177*Calculateur!HE177*VLOOKUP('Données projet'!$B$18,Paramètres!$A$1:$I$89,3,0)*0.475*44/12</f>
        <v>4.2401958489277867</v>
      </c>
      <c r="HI177" s="21">
        <f>EXP(-LN(2)/2)*HI176+(1-EXP(-LN(2)/2))/(LN(2)/2)*HC177*HF177*VLOOKUP('Données projet'!$B$18,Paramètres!$A$1:$I$89,3,0)*0.475*44/12</f>
        <v>1.8170098026359837E-10</v>
      </c>
      <c r="HJ177" s="22">
        <f t="shared" si="190"/>
        <v>51.35999498592308</v>
      </c>
    </row>
    <row r="178" spans="1:218" x14ac:dyDescent="0.2">
      <c r="A178" s="10">
        <f t="shared" si="161"/>
        <v>175</v>
      </c>
      <c r="B178" s="71">
        <f>'Scénario référence'!$B$16*5+'Scénario référence'!$B$17*0+'Scénario référence'!$B$18*5</f>
        <v>3.3000000000000003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12.100000000000001</v>
      </c>
      <c r="H178" s="65">
        <f t="shared" si="110"/>
        <v>208.26666666666665</v>
      </c>
      <c r="I178" s="6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69.228284730664669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-1.1527845344971866E-13</v>
      </c>
      <c r="P178" s="13" t="e">
        <f t="shared" si="141"/>
        <v>#NUM!</v>
      </c>
      <c r="Q178" s="20" t="e">
        <f t="shared" si="162"/>
        <v>#NUM!</v>
      </c>
      <c r="R178" s="57" t="e">
        <f t="shared" si="109"/>
        <v>#NUM!</v>
      </c>
      <c r="S178" s="57">
        <f ca="1">AVERAGE(OFFSET($R$3,0,0,'Données projet'!$E$9+1,1))-AVERAGE(OFFSET($H$3,0,0,'Données projet'!$E$9+1,1))</f>
        <v>332.70145542047612</v>
      </c>
      <c r="T178" s="57">
        <f t="shared" si="142"/>
        <v>172.22433737900428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38.201831620794046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38.201831620794046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69.228284730664669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-2.9842794901924208E-13</v>
      </c>
      <c r="AJ178" s="13">
        <f>AI178*VLOOKUP('Données projet'!$B$10,Paramètres!$A$1:$I$89,3,0)*VLOOKUP('Données projet'!$B$10,Paramètres!$A$1:$I$89,5,0)</f>
        <v>-2.7001760827261026E-13</v>
      </c>
      <c r="AK178" s="13" t="e">
        <f t="shared" si="164"/>
        <v>#NUM!</v>
      </c>
      <c r="AL178" s="20" t="e">
        <f t="shared" si="165"/>
        <v>#NUM!</v>
      </c>
      <c r="AM178" s="57" t="e">
        <f t="shared" si="113"/>
        <v>#NUM!</v>
      </c>
      <c r="AN178" s="57">
        <f ca="1">AVERAGE(OFFSET($AM$3,0,0,'Données projet'!$E$10+1,1))-AVERAGE(OFFSET($H$3,0,0,'Données projet'!$E$10+1,1))</f>
        <v>469.4210143164521</v>
      </c>
      <c r="AO178" s="57">
        <f t="shared" si="144"/>
        <v>308.4508386530556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112.82370101070957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112.82370101070957</v>
      </c>
      <c r="AY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69.228284730664669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7" t="e">
        <f t="shared" si="116"/>
        <v>#NUM!</v>
      </c>
      <c r="BI178" s="57">
        <f ca="1">AVERAGE(OFFSET($BH$3,0,0,'Données projet'!$E$11+1,1))-AVERAGE(OFFSET($H$3,0,0,'Données projet'!$E$11+1,1))</f>
        <v>344.32981377462971</v>
      </c>
      <c r="BJ178" s="57">
        <f t="shared" si="146"/>
        <v>334.42512656625763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17.689379146904248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17.689379146904248</v>
      </c>
      <c r="BT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69.228284730664669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4.5474735088646412E-13</v>
      </c>
      <c r="BZ178" s="13">
        <f>BY178*VLOOKUP('Données projet'!$B$12,Paramètres!$A$1:$I$89,3,0)*VLOOKUP('Données projet'!$B$12,Paramètres!$A$1:$I$89,5,0)</f>
        <v>4.3273757910355926E-13</v>
      </c>
      <c r="CA178" s="13">
        <f t="shared" si="170"/>
        <v>5.4817614357080839E-12</v>
      </c>
      <c r="CB178" s="20">
        <f t="shared" si="171"/>
        <v>1.0301085784130276E-11</v>
      </c>
      <c r="CC178" s="57">
        <f t="shared" si="119"/>
        <v>290.50371067911408</v>
      </c>
      <c r="CD178" s="57">
        <f ca="1">AVERAGE(OFFSET($CC$3,0,0,'Données projet'!$E$12+1,1))-AVERAGE(OFFSET($H$3,0,0,'Données projet'!$E$12+1,1))</f>
        <v>498.77732039282807</v>
      </c>
      <c r="CE178" s="57">
        <f t="shared" si="148"/>
        <v>384.57317421826531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62.269969680959228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62.269969680959228</v>
      </c>
      <c r="CO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69.228284730664669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-2.9842794901924208E-13</v>
      </c>
      <c r="CU178" s="17">
        <f>CT178*VLOOKUP('Données projet'!$B$13,Paramètres!$A$1:$I$89,3,0)*VLOOKUP('Données projet'!$B$13,Paramètres!$A$1:$I$89,5,0)</f>
        <v>-2.0018546820210759E-13</v>
      </c>
      <c r="CV178" s="13" t="e">
        <f t="shared" si="173"/>
        <v>#NUM!</v>
      </c>
      <c r="CW178" s="20" t="e">
        <f t="shared" si="174"/>
        <v>#NUM!</v>
      </c>
      <c r="CX178" s="57" t="e">
        <f t="shared" si="122"/>
        <v>#NUM!</v>
      </c>
      <c r="CY178" s="57">
        <f ca="1">AVERAGE(OFFSET($CX$3,0,0,'Données projet'!$E$13+1,1))-AVERAGE(OFFSET($H$3,0,0,'Données projet'!$E$13+1,1))</f>
        <v>365.99625753737246</v>
      </c>
      <c r="CZ178" s="57">
        <f t="shared" si="150"/>
        <v>242.84814712692287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103.09751988909663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103.09751988909663</v>
      </c>
      <c r="DJ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69.228284730664669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2.2737367544323206E-13</v>
      </c>
      <c r="DP178" s="17">
        <f>DO178*VLOOKUP('Données projet'!$B$14,Paramètres!$A$1:$I$89,3,0)*VLOOKUP('Données projet'!$B$14,Paramètres!$A$1:$I$89,5,0)</f>
        <v>1.4897523215040565E-13</v>
      </c>
      <c r="DQ178" s="13">
        <f t="shared" si="176"/>
        <v>2.136562777003313E-12</v>
      </c>
      <c r="DR178" s="20">
        <f t="shared" si="177"/>
        <v>3.9806453659427267E-12</v>
      </c>
      <c r="DS178" s="57">
        <f t="shared" si="125"/>
        <v>290.50371067910777</v>
      </c>
      <c r="DT178" s="57">
        <f ca="1">AVERAGE(OFFSET($DS$3,0,0,'Données projet'!$E$14+1,1))-AVERAGE(OFFSET($H$3,0,0,'Données projet'!$E$14+1,1))</f>
        <v>313.79279628660527</v>
      </c>
      <c r="DU178" s="57">
        <f t="shared" si="152"/>
        <v>317.45469955216254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17.1868719394141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17.1868719394141</v>
      </c>
      <c r="EE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69.228284730664669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-1.1368683772161603E-13</v>
      </c>
      <c r="EK178" s="17">
        <f>EJ178*VLOOKUP('Données projet'!$B$15,Paramètres!$A$1:$I$89,3,0)*VLOOKUP('Données projet'!$B$15,Paramètres!$A$1:$I$89,5,0)</f>
        <v>-9.7543306765146564E-14</v>
      </c>
      <c r="EL178" s="13" t="e">
        <f t="shared" si="179"/>
        <v>#NUM!</v>
      </c>
      <c r="EM178" s="20" t="e">
        <f t="shared" si="180"/>
        <v>#NUM!</v>
      </c>
      <c r="EN178" s="57" t="e">
        <f t="shared" si="128"/>
        <v>#NUM!</v>
      </c>
      <c r="EO178" s="57">
        <f ca="1">AVERAGE(OFFSET($EN$3,0,0,'Données projet'!$E$15+1,1))-AVERAGE(OFFSET($H$3,0,0,'Données projet'!$E$15+1,1))</f>
        <v>643.04899298561475</v>
      </c>
      <c r="EP178" s="57">
        <f t="shared" si="154"/>
        <v>474.94999304483031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63.705438912268846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63.705438912268846</v>
      </c>
      <c r="EZ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69.228284730664669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>
        <f>FE178*VLOOKUP('Données projet'!$B$16,Paramètres!$A$1:$I$89,3,0)*VLOOKUP('Données projet'!$B$16,Paramètres!$A$1:$I$89,5,0)</f>
        <v>0</v>
      </c>
      <c r="FG178" s="13" t="e">
        <f t="shared" si="182"/>
        <v>#NUM!</v>
      </c>
      <c r="FH178" s="20" t="e">
        <f t="shared" si="183"/>
        <v>#NUM!</v>
      </c>
      <c r="FI178" s="57" t="e">
        <f t="shared" si="131"/>
        <v>#NUM!</v>
      </c>
      <c r="FJ178" s="57">
        <f ca="1">AVERAGE(OFFSET($FI$3,0,0,'Données projet'!$E$16+1,1))-AVERAGE(OFFSET($H$3,0,0,'Données projet'!$E$16+1,1))</f>
        <v>375.34603719604439</v>
      </c>
      <c r="FK178" s="57">
        <f t="shared" si="156"/>
        <v>363.99476973672211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24.122676362626482</v>
      </c>
      <c r="FR178" s="21">
        <f>EXP(-LN(2)/25)*FR177+(1-EXP(-LN(2)/25))/(LN(2)/25)*Calculateur!FM178*Calculateur!FO178*VLOOKUP('Données projet'!$B$16,Paramètres!$A$1:$I$89,3,0)*0.475*44/12</f>
        <v>0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24.122676362626482</v>
      </c>
      <c r="FU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69.228284730664669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-1.1368683772161603E-13</v>
      </c>
      <c r="GA178" s="17">
        <f>FZ178*VLOOKUP('Données projet'!$B$17,Paramètres!$A$1:$I$89,3,0)*VLOOKUP('Données projet'!$B$17,Paramètres!$A$1:$I$89,5,0)</f>
        <v>-6.3550942286383367E-14</v>
      </c>
      <c r="GB178" s="13" t="e">
        <f t="shared" si="185"/>
        <v>#NUM!</v>
      </c>
      <c r="GC178" s="20" t="e">
        <f t="shared" si="186"/>
        <v>#NUM!</v>
      </c>
      <c r="GD178" s="57" t="e">
        <f t="shared" si="134"/>
        <v>#NUM!</v>
      </c>
      <c r="GE178" s="57">
        <f ca="1">AVERAGE(OFFSET($GD$3,0,0,'Données projet'!$E$17+1,1))-AVERAGE(OFFSET($H$3,0,0,'Données projet'!$E$17+1,1))</f>
        <v>414.47327143450701</v>
      </c>
      <c r="GF178" s="57">
        <f t="shared" si="158"/>
        <v>546.83385887302961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27.421670082572366</v>
      </c>
      <c r="GM178" s="21">
        <f>EXP(-LN(2)/25)*GM177+(1-EXP(-LN(2)/25))/(LN(2)/25)*Calculateur!GH178*Calculateur!GJ178*VLOOKUP('Données projet'!$B$17,Paramètres!$A$1:$I$89,3,0)*0.475*44/12</f>
        <v>2.2229011412406576</v>
      </c>
      <c r="GN178" s="21">
        <f>EXP(-LN(2)/2)*GN177+(1-EXP(-LN(2)/2))/(LN(2)/2)*GH178*GK178*VLOOKUP('Données projet'!$B$17,Paramètres!$A$1:$I$89,3,0)*0.475*44/12</f>
        <v>2.5481478451645581E-17</v>
      </c>
      <c r="GO178" s="21">
        <f t="shared" si="187"/>
        <v>29.644571223813024</v>
      </c>
      <c r="GP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69.228284730664669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-2.2737367544323206E-13</v>
      </c>
      <c r="GV178" s="17">
        <f>GU178*VLOOKUP('Données projet'!$B$18,Paramètres!$A$1:$I$89,3,0)*VLOOKUP('Données projet'!$B$18,Paramètres!$A$1:$I$89,5,0)</f>
        <v>-1.2414602679200471E-13</v>
      </c>
      <c r="GW178" s="13" t="e">
        <f t="shared" si="188"/>
        <v>#NUM!</v>
      </c>
      <c r="GX178" s="20" t="e">
        <f t="shared" si="189"/>
        <v>#NUM!</v>
      </c>
      <c r="GY178" s="57" t="e">
        <f t="shared" si="137"/>
        <v>#NUM!</v>
      </c>
      <c r="GZ178" s="57">
        <f ca="1">AVERAGE(OFFSET($GY$3,0,0,'Données projet'!$E$18+1,1))-AVERAGE(OFFSET($H$3,0,0,'Données projet'!$E$18+1,1))</f>
        <v>381.00532469288714</v>
      </c>
      <c r="HA178" s="57">
        <f t="shared" si="160"/>
        <v>314.875259641757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>
        <f>EXP(-LN(2)/35)*HG177+(1-EXP(-LN(2)/35))/(LN(2)/35)*HC178*HD178*VLOOKUP('Données projet'!$B$18,Paramètres!$A$1:$I$89,3,0)*0.475*44/12</f>
        <v>46.19580861598029</v>
      </c>
      <c r="HH178" s="21">
        <f>EXP(-LN(2)/25)*HH177+(1-EXP(-LN(2)/25))/(LN(2)/25)*Calculateur!HC178*Calculateur!HE178*VLOOKUP('Données projet'!$B$18,Paramètres!$A$1:$I$89,3,0)*0.475*44/12</f>
        <v>4.1242474704566474</v>
      </c>
      <c r="HI178" s="21">
        <f>EXP(-LN(2)/2)*HI177+(1-EXP(-LN(2)/2))/(LN(2)/2)*HC178*HF178*VLOOKUP('Données projet'!$B$18,Paramètres!$A$1:$I$89,3,0)*0.475*44/12</f>
        <v>1.2848199529263344E-10</v>
      </c>
      <c r="HJ178" s="22">
        <f t="shared" si="190"/>
        <v>50.320056086565415</v>
      </c>
    </row>
    <row r="179" spans="1:218" x14ac:dyDescent="0.2">
      <c r="A179" s="10">
        <f t="shared" si="161"/>
        <v>176</v>
      </c>
      <c r="B179" s="71">
        <f>'Scénario référence'!$B$16*5+'Scénario référence'!$B$17*0+'Scénario référence'!$B$18*5</f>
        <v>3.3000000000000003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12.100000000000001</v>
      </c>
      <c r="H179" s="65">
        <f t="shared" si="110"/>
        <v>208.26666666666665</v>
      </c>
      <c r="I179" s="6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69.241672265290774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-1.1527845344971866E-13</v>
      </c>
      <c r="P179" s="13" t="e">
        <f t="shared" si="141"/>
        <v>#NUM!</v>
      </c>
      <c r="Q179" s="20" t="e">
        <f t="shared" si="162"/>
        <v>#NUM!</v>
      </c>
      <c r="R179" s="57" t="e">
        <f t="shared" si="109"/>
        <v>#NUM!</v>
      </c>
      <c r="S179" s="57">
        <f ca="1">AVERAGE(OFFSET($R$3,0,0,'Données projet'!$E$9+1,1))-AVERAGE(OFFSET($H$3,0,0,'Données projet'!$E$9+1,1))</f>
        <v>332.70145542047612</v>
      </c>
      <c r="T179" s="57">
        <f t="shared" si="142"/>
        <v>172.22433737900428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37.4527170035268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37.4527170035268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69.241672265290774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-2.9842794901924208E-13</v>
      </c>
      <c r="AJ179" s="13">
        <f>AI179*VLOOKUP('Données projet'!$B$10,Paramètres!$A$1:$I$89,3,0)*VLOOKUP('Données projet'!$B$10,Paramètres!$A$1:$I$89,5,0)</f>
        <v>-2.7001760827261026E-13</v>
      </c>
      <c r="AK179" s="13" t="e">
        <f t="shared" si="164"/>
        <v>#NUM!</v>
      </c>
      <c r="AL179" s="20" t="e">
        <f t="shared" si="165"/>
        <v>#NUM!</v>
      </c>
      <c r="AM179" s="57" t="e">
        <f t="shared" si="113"/>
        <v>#NUM!</v>
      </c>
      <c r="AN179" s="57">
        <f ca="1">AVERAGE(OFFSET($AM$3,0,0,'Données projet'!$E$10+1,1))-AVERAGE(OFFSET($H$3,0,0,'Données projet'!$E$10+1,1))</f>
        <v>469.4210143164521</v>
      </c>
      <c r="AO179" s="57">
        <f t="shared" si="144"/>
        <v>308.4508386530556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110.61129704955219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110.61129704955219</v>
      </c>
      <c r="AY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69.241672265290774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7" t="e">
        <f t="shared" si="116"/>
        <v>#NUM!</v>
      </c>
      <c r="BI179" s="57">
        <f ca="1">AVERAGE(OFFSET($BH$3,0,0,'Données projet'!$E$11+1,1))-AVERAGE(OFFSET($H$3,0,0,'Données projet'!$E$11+1,1))</f>
        <v>344.32981377462971</v>
      </c>
      <c r="BJ179" s="57">
        <f t="shared" si="146"/>
        <v>334.42512656625763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17.342501211289363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17.342501211289363</v>
      </c>
      <c r="BT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69.241672265290774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4.5474735088646412E-13</v>
      </c>
      <c r="BZ179" s="13">
        <f>BY179*VLOOKUP('Données projet'!$B$12,Paramètres!$A$1:$I$89,3,0)*VLOOKUP('Données projet'!$B$12,Paramètres!$A$1:$I$89,5,0)</f>
        <v>4.3273757910355926E-13</v>
      </c>
      <c r="CA179" s="13">
        <f t="shared" si="170"/>
        <v>5.4817614357080839E-12</v>
      </c>
      <c r="CB179" s="20">
        <f t="shared" si="171"/>
        <v>1.0301085784130276E-11</v>
      </c>
      <c r="CC179" s="57">
        <f t="shared" si="119"/>
        <v>290.55279830607645</v>
      </c>
      <c r="CD179" s="57">
        <f ca="1">AVERAGE(OFFSET($CC$3,0,0,'Données projet'!$E$12+1,1))-AVERAGE(OFFSET($H$3,0,0,'Données projet'!$E$12+1,1))</f>
        <v>498.77732039282807</v>
      </c>
      <c r="CE179" s="57">
        <f t="shared" si="148"/>
        <v>384.57317421826531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61.048893556446821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61.048893556446821</v>
      </c>
      <c r="CO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69.241672265290774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-2.9842794901924208E-13</v>
      </c>
      <c r="CU179" s="17">
        <f>CT179*VLOOKUP('Données projet'!$B$13,Paramètres!$A$1:$I$89,3,0)*VLOOKUP('Données projet'!$B$13,Paramètres!$A$1:$I$89,5,0)</f>
        <v>-2.0018546820210759E-13</v>
      </c>
      <c r="CV179" s="13" t="e">
        <f t="shared" si="173"/>
        <v>#NUM!</v>
      </c>
      <c r="CW179" s="20" t="e">
        <f t="shared" si="174"/>
        <v>#NUM!</v>
      </c>
      <c r="CX179" s="57" t="e">
        <f t="shared" si="122"/>
        <v>#NUM!</v>
      </c>
      <c r="CY179" s="57">
        <f ca="1">AVERAGE(OFFSET($CX$3,0,0,'Données projet'!$E$13+1,1))-AVERAGE(OFFSET($H$3,0,0,'Données projet'!$E$13+1,1))</f>
        <v>365.99625753737246</v>
      </c>
      <c r="CZ179" s="57">
        <f t="shared" si="150"/>
        <v>242.84814712692287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101.07584040734938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101.07584040734938</v>
      </c>
      <c r="DJ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69.241672265290774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2.2737367544323206E-13</v>
      </c>
      <c r="DP179" s="17">
        <f>DO179*VLOOKUP('Données projet'!$B$14,Paramètres!$A$1:$I$89,3,0)*VLOOKUP('Données projet'!$B$14,Paramètres!$A$1:$I$89,5,0)</f>
        <v>1.4897523215040565E-13</v>
      </c>
      <c r="DQ179" s="13">
        <f t="shared" si="176"/>
        <v>2.136562777003313E-12</v>
      </c>
      <c r="DR179" s="20">
        <f t="shared" si="177"/>
        <v>3.9806453659427267E-12</v>
      </c>
      <c r="DS179" s="57">
        <f t="shared" si="125"/>
        <v>290.55279830607014</v>
      </c>
      <c r="DT179" s="57">
        <f ca="1">AVERAGE(OFFSET($DS$3,0,0,'Données projet'!$E$14+1,1))-AVERAGE(OFFSET($H$3,0,0,'Données projet'!$E$14+1,1))</f>
        <v>313.79279628660527</v>
      </c>
      <c r="DU179" s="57">
        <f t="shared" si="152"/>
        <v>317.45469955216254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16.849847863638967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16.849847863638967</v>
      </c>
      <c r="EE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69.241672265290774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-1.1368683772161603E-13</v>
      </c>
      <c r="EK179" s="17">
        <f>EJ179*VLOOKUP('Données projet'!$B$15,Paramètres!$A$1:$I$89,3,0)*VLOOKUP('Données projet'!$B$15,Paramètres!$A$1:$I$89,5,0)</f>
        <v>-9.7543306765146564E-14</v>
      </c>
      <c r="EL179" s="13" t="e">
        <f t="shared" si="179"/>
        <v>#NUM!</v>
      </c>
      <c r="EM179" s="20" t="e">
        <f t="shared" si="180"/>
        <v>#NUM!</v>
      </c>
      <c r="EN179" s="57" t="e">
        <f t="shared" si="128"/>
        <v>#NUM!</v>
      </c>
      <c r="EO179" s="57">
        <f ca="1">AVERAGE(OFFSET($EN$3,0,0,'Données projet'!$E$15+1,1))-AVERAGE(OFFSET($H$3,0,0,'Données projet'!$E$15+1,1))</f>
        <v>643.04899298561475</v>
      </c>
      <c r="EP179" s="57">
        <f t="shared" si="154"/>
        <v>474.94999304483031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62.456214111680232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62.456214111680232</v>
      </c>
      <c r="EZ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69.241672265290774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>
        <f>FE179*VLOOKUP('Données projet'!$B$16,Paramètres!$A$1:$I$89,3,0)*VLOOKUP('Données projet'!$B$16,Paramètres!$A$1:$I$89,5,0)</f>
        <v>0</v>
      </c>
      <c r="FG179" s="13" t="e">
        <f t="shared" si="182"/>
        <v>#NUM!</v>
      </c>
      <c r="FH179" s="20" t="e">
        <f t="shared" si="183"/>
        <v>#NUM!</v>
      </c>
      <c r="FI179" s="57" t="e">
        <f t="shared" si="131"/>
        <v>#NUM!</v>
      </c>
      <c r="FJ179" s="57">
        <f ca="1">AVERAGE(OFFSET($FI$3,0,0,'Données projet'!$E$16+1,1))-AVERAGE(OFFSET($H$3,0,0,'Données projet'!$E$16+1,1))</f>
        <v>375.34603719604439</v>
      </c>
      <c r="FK179" s="57">
        <f t="shared" si="156"/>
        <v>363.99476973672211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23.649645392535131</v>
      </c>
      <c r="FR179" s="21">
        <f>EXP(-LN(2)/25)*FR178+(1-EXP(-LN(2)/25))/(LN(2)/25)*Calculateur!FM179*Calculateur!FO179*VLOOKUP('Données projet'!$B$16,Paramètres!$A$1:$I$89,3,0)*0.475*44/12</f>
        <v>0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23.649645392535131</v>
      </c>
      <c r="FU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69.241672265290774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-1.1368683772161603E-13</v>
      </c>
      <c r="GA179" s="17">
        <f>FZ179*VLOOKUP('Données projet'!$B$17,Paramètres!$A$1:$I$89,3,0)*VLOOKUP('Données projet'!$B$17,Paramètres!$A$1:$I$89,5,0)</f>
        <v>-6.3550942286383367E-14</v>
      </c>
      <c r="GB179" s="13" t="e">
        <f t="shared" si="185"/>
        <v>#NUM!</v>
      </c>
      <c r="GC179" s="20" t="e">
        <f t="shared" si="186"/>
        <v>#NUM!</v>
      </c>
      <c r="GD179" s="57" t="e">
        <f t="shared" si="134"/>
        <v>#NUM!</v>
      </c>
      <c r="GE179" s="57">
        <f ca="1">AVERAGE(OFFSET($GD$3,0,0,'Données projet'!$E$17+1,1))-AVERAGE(OFFSET($H$3,0,0,'Données projet'!$E$17+1,1))</f>
        <v>414.47327143450701</v>
      </c>
      <c r="GF179" s="57">
        <f t="shared" si="158"/>
        <v>546.83385887302961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26.88394785782036</v>
      </c>
      <c r="GM179" s="21">
        <f>EXP(-LN(2)/25)*GM178+(1-EXP(-LN(2)/25))/(LN(2)/25)*Calculateur!GH179*Calculateur!GJ179*VLOOKUP('Données projet'!$B$17,Paramètres!$A$1:$I$89,3,0)*0.475*44/12</f>
        <v>2.1621157926361412</v>
      </c>
      <c r="GN179" s="21">
        <f>EXP(-LN(2)/2)*GN178+(1-EXP(-LN(2)/2))/(LN(2)/2)*GH179*GK179*VLOOKUP('Données projet'!$B$17,Paramètres!$A$1:$I$89,3,0)*0.475*44/12</f>
        <v>1.8018126207817478E-17</v>
      </c>
      <c r="GO179" s="21">
        <f t="shared" si="187"/>
        <v>29.0460636504565</v>
      </c>
      <c r="GP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69.241672265290774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-2.2737367544323206E-13</v>
      </c>
      <c r="GV179" s="17">
        <f>GU179*VLOOKUP('Données projet'!$B$18,Paramètres!$A$1:$I$89,3,0)*VLOOKUP('Données projet'!$B$18,Paramètres!$A$1:$I$89,5,0)</f>
        <v>-1.2414602679200471E-13</v>
      </c>
      <c r="GW179" s="13" t="e">
        <f t="shared" si="188"/>
        <v>#NUM!</v>
      </c>
      <c r="GX179" s="20" t="e">
        <f t="shared" si="189"/>
        <v>#NUM!</v>
      </c>
      <c r="GY179" s="57" t="e">
        <f t="shared" si="137"/>
        <v>#NUM!</v>
      </c>
      <c r="GZ179" s="57">
        <f ca="1">AVERAGE(OFFSET($GY$3,0,0,'Données projet'!$E$18+1,1))-AVERAGE(OFFSET($H$3,0,0,'Données projet'!$E$18+1,1))</f>
        <v>381.00532469288714</v>
      </c>
      <c r="HA179" s="57">
        <f t="shared" si="160"/>
        <v>314.875259641757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>
        <f>EXP(-LN(2)/35)*HG178+(1-EXP(-LN(2)/35))/(LN(2)/35)*HC179*HD179*VLOOKUP('Données projet'!$B$18,Paramètres!$A$1:$I$89,3,0)*0.475*44/12</f>
        <v>45.289936985681962</v>
      </c>
      <c r="HH179" s="21">
        <f>EXP(-LN(2)/25)*HH178+(1-EXP(-LN(2)/25))/(LN(2)/25)*Calculateur!HC179*Calculateur!HE179*VLOOKUP('Données projet'!$B$18,Paramètres!$A$1:$I$89,3,0)*0.475*44/12</f>
        <v>4.011469706492262</v>
      </c>
      <c r="HI179" s="21">
        <f>EXP(-LN(2)/2)*HI178+(1-EXP(-LN(2)/2))/(LN(2)/2)*HC179*HF179*VLOOKUP('Données projet'!$B$18,Paramètres!$A$1:$I$89,3,0)*0.475*44/12</f>
        <v>9.0850490131799185E-11</v>
      </c>
      <c r="HJ179" s="22">
        <f t="shared" si="190"/>
        <v>49.301406692265076</v>
      </c>
    </row>
    <row r="180" spans="1:218" x14ac:dyDescent="0.2">
      <c r="A180" s="10">
        <f t="shared" si="161"/>
        <v>177</v>
      </c>
      <c r="B180" s="71">
        <f>'Scénario référence'!$B$16*5+'Scénario référence'!$B$17*0+'Scénario référence'!$B$18*5</f>
        <v>3.3000000000000003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12.100000000000001</v>
      </c>
      <c r="H180" s="65">
        <f t="shared" si="110"/>
        <v>208.26666666666665</v>
      </c>
      <c r="I180" s="6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69.254827556121143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-1.1527845344971866E-13</v>
      </c>
      <c r="P180" s="13" t="e">
        <f t="shared" si="141"/>
        <v>#NUM!</v>
      </c>
      <c r="Q180" s="20" t="e">
        <f t="shared" si="162"/>
        <v>#NUM!</v>
      </c>
      <c r="R180" s="57" t="e">
        <f t="shared" si="109"/>
        <v>#NUM!</v>
      </c>
      <c r="S180" s="57">
        <f ca="1">AVERAGE(OFFSET($R$3,0,0,'Données projet'!$E$9+1,1))-AVERAGE(OFFSET($H$3,0,0,'Données projet'!$E$9+1,1))</f>
        <v>332.70145542047612</v>
      </c>
      <c r="T180" s="57">
        <f t="shared" si="142"/>
        <v>172.22433737900428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36.718292066989363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36.718292066989363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69.254827556121143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-2.9842794901924208E-13</v>
      </c>
      <c r="AJ180" s="13">
        <f>AI180*VLOOKUP('Données projet'!$B$10,Paramètres!$A$1:$I$89,3,0)*VLOOKUP('Données projet'!$B$10,Paramètres!$A$1:$I$89,5,0)</f>
        <v>-2.7001760827261026E-13</v>
      </c>
      <c r="AK180" s="13" t="e">
        <f t="shared" si="164"/>
        <v>#NUM!</v>
      </c>
      <c r="AL180" s="20" t="e">
        <f t="shared" si="165"/>
        <v>#NUM!</v>
      </c>
      <c r="AM180" s="57" t="e">
        <f t="shared" si="113"/>
        <v>#NUM!</v>
      </c>
      <c r="AN180" s="57">
        <f ca="1">AVERAGE(OFFSET($AM$3,0,0,'Données projet'!$E$10+1,1))-AVERAGE(OFFSET($H$3,0,0,'Données projet'!$E$10+1,1))</f>
        <v>469.4210143164521</v>
      </c>
      <c r="AO180" s="57">
        <f t="shared" si="144"/>
        <v>308.4508386530556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108.44227698063993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108.44227698063993</v>
      </c>
      <c r="AY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69.254827556121143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7" t="e">
        <f t="shared" si="116"/>
        <v>#NUM!</v>
      </c>
      <c r="BI180" s="57">
        <f ca="1">AVERAGE(OFFSET($BH$3,0,0,'Données projet'!$E$11+1,1))-AVERAGE(OFFSET($H$3,0,0,'Données projet'!$E$11+1,1))</f>
        <v>344.32981377462971</v>
      </c>
      <c r="BJ180" s="57">
        <f t="shared" si="146"/>
        <v>334.42512656625763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17.00242534041724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17.00242534041724</v>
      </c>
      <c r="BT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69.254827556121143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4.5474735088646412E-13</v>
      </c>
      <c r="BZ180" s="13">
        <f>BY180*VLOOKUP('Données projet'!$B$12,Paramètres!$A$1:$I$89,3,0)*VLOOKUP('Données projet'!$B$12,Paramètres!$A$1:$I$89,5,0)</f>
        <v>4.3273757910355926E-13</v>
      </c>
      <c r="CA180" s="13">
        <f t="shared" si="170"/>
        <v>5.4817614357080839E-12</v>
      </c>
      <c r="CB180" s="20">
        <f t="shared" si="171"/>
        <v>1.0301085784130276E-11</v>
      </c>
      <c r="CC180" s="57">
        <f t="shared" si="119"/>
        <v>290.60103437245448</v>
      </c>
      <c r="CD180" s="57">
        <f ca="1">AVERAGE(OFFSET($CC$3,0,0,'Données projet'!$E$12+1,1))-AVERAGE(OFFSET($H$3,0,0,'Données projet'!$E$12+1,1))</f>
        <v>498.77732039282807</v>
      </c>
      <c r="CE180" s="57">
        <f t="shared" si="148"/>
        <v>384.57317421826531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59.851761989953204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59.851761989953204</v>
      </c>
      <c r="CO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69.254827556121143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-2.9842794901924208E-13</v>
      </c>
      <c r="CU180" s="17">
        <f>CT180*VLOOKUP('Données projet'!$B$13,Paramètres!$A$1:$I$89,3,0)*VLOOKUP('Données projet'!$B$13,Paramètres!$A$1:$I$89,5,0)</f>
        <v>-2.0018546820210759E-13</v>
      </c>
      <c r="CV180" s="13" t="e">
        <f t="shared" si="173"/>
        <v>#NUM!</v>
      </c>
      <c r="CW180" s="20" t="e">
        <f t="shared" si="174"/>
        <v>#NUM!</v>
      </c>
      <c r="CX180" s="57" t="e">
        <f t="shared" si="122"/>
        <v>#NUM!</v>
      </c>
      <c r="CY180" s="57">
        <f ca="1">AVERAGE(OFFSET($CX$3,0,0,'Données projet'!$E$13+1,1))-AVERAGE(OFFSET($H$3,0,0,'Données projet'!$E$13+1,1))</f>
        <v>365.99625753737246</v>
      </c>
      <c r="CZ180" s="57">
        <f t="shared" si="150"/>
        <v>242.84814712692287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99.093804827136452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99.093804827136452</v>
      </c>
      <c r="DJ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69.254827556121143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2.2737367544323206E-13</v>
      </c>
      <c r="DP180" s="17">
        <f>DO180*VLOOKUP('Données projet'!$B$14,Paramètres!$A$1:$I$89,3,0)*VLOOKUP('Données projet'!$B$14,Paramètres!$A$1:$I$89,5,0)</f>
        <v>1.4897523215040565E-13</v>
      </c>
      <c r="DQ180" s="13">
        <f t="shared" si="176"/>
        <v>2.136562777003313E-12</v>
      </c>
      <c r="DR180" s="20">
        <f t="shared" si="177"/>
        <v>3.9806453659427267E-12</v>
      </c>
      <c r="DS180" s="57">
        <f t="shared" si="125"/>
        <v>290.60103437244817</v>
      </c>
      <c r="DT180" s="57">
        <f ca="1">AVERAGE(OFFSET($DS$3,0,0,'Données projet'!$E$14+1,1))-AVERAGE(OFFSET($H$3,0,0,'Données projet'!$E$14+1,1))</f>
        <v>313.79279628660527</v>
      </c>
      <c r="DU180" s="57">
        <f t="shared" si="152"/>
        <v>317.45469955216254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16.519432624425395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16.519432624425395</v>
      </c>
      <c r="EE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69.254827556121143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-1.1368683772161603E-13</v>
      </c>
      <c r="EK180" s="17">
        <f>EJ180*VLOOKUP('Données projet'!$B$15,Paramètres!$A$1:$I$89,3,0)*VLOOKUP('Données projet'!$B$15,Paramètres!$A$1:$I$89,5,0)</f>
        <v>-9.7543306765146564E-14</v>
      </c>
      <c r="EL180" s="13" t="e">
        <f t="shared" si="179"/>
        <v>#NUM!</v>
      </c>
      <c r="EM180" s="20" t="e">
        <f t="shared" si="180"/>
        <v>#NUM!</v>
      </c>
      <c r="EN180" s="57" t="e">
        <f t="shared" si="128"/>
        <v>#NUM!</v>
      </c>
      <c r="EO180" s="57">
        <f ca="1">AVERAGE(OFFSET($EN$3,0,0,'Données projet'!$E$15+1,1))-AVERAGE(OFFSET($H$3,0,0,'Données projet'!$E$15+1,1))</f>
        <v>643.04899298561475</v>
      </c>
      <c r="EP180" s="57">
        <f t="shared" si="154"/>
        <v>474.94999304483031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61.23148584747927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61.23148584747927</v>
      </c>
      <c r="EZ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69.254827556121143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>
        <f>FE180*VLOOKUP('Données projet'!$B$16,Paramètres!$A$1:$I$89,3,0)*VLOOKUP('Données projet'!$B$16,Paramètres!$A$1:$I$89,5,0)</f>
        <v>0</v>
      </c>
      <c r="FG180" s="13" t="e">
        <f t="shared" si="182"/>
        <v>#NUM!</v>
      </c>
      <c r="FH180" s="20" t="e">
        <f t="shared" si="183"/>
        <v>#NUM!</v>
      </c>
      <c r="FI180" s="57" t="e">
        <f t="shared" si="131"/>
        <v>#NUM!</v>
      </c>
      <c r="FJ180" s="57">
        <f ca="1">AVERAGE(OFFSET($FI$3,0,0,'Données projet'!$E$16+1,1))-AVERAGE(OFFSET($H$3,0,0,'Données projet'!$E$16+1,1))</f>
        <v>375.34603719604439</v>
      </c>
      <c r="FK180" s="57">
        <f t="shared" si="156"/>
        <v>363.99476973672211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23.185890271246869</v>
      </c>
      <c r="FR180" s="21">
        <f>EXP(-LN(2)/25)*FR179+(1-EXP(-LN(2)/25))/(LN(2)/25)*Calculateur!FM180*Calculateur!FO180*VLOOKUP('Données projet'!$B$16,Paramètres!$A$1:$I$89,3,0)*0.475*44/12</f>
        <v>0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23.185890271246869</v>
      </c>
      <c r="FU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69.254827556121143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-1.1368683772161603E-13</v>
      </c>
      <c r="GA180" s="17">
        <f>FZ180*VLOOKUP('Données projet'!$B$17,Paramètres!$A$1:$I$89,3,0)*VLOOKUP('Données projet'!$B$17,Paramètres!$A$1:$I$89,5,0)</f>
        <v>-6.3550942286383367E-14</v>
      </c>
      <c r="GB180" s="13" t="e">
        <f t="shared" si="185"/>
        <v>#NUM!</v>
      </c>
      <c r="GC180" s="20" t="e">
        <f t="shared" si="186"/>
        <v>#NUM!</v>
      </c>
      <c r="GD180" s="57" t="e">
        <f t="shared" si="134"/>
        <v>#NUM!</v>
      </c>
      <c r="GE180" s="57">
        <f ca="1">AVERAGE(OFFSET($GD$3,0,0,'Données projet'!$E$17+1,1))-AVERAGE(OFFSET($H$3,0,0,'Données projet'!$E$17+1,1))</f>
        <v>414.47327143450701</v>
      </c>
      <c r="GF180" s="57">
        <f t="shared" si="158"/>
        <v>546.83385887302961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26.356770037917567</v>
      </c>
      <c r="GM180" s="21">
        <f>EXP(-LN(2)/25)*GM179+(1-EXP(-LN(2)/25))/(LN(2)/25)*Calculateur!GH180*Calculateur!GJ180*VLOOKUP('Données projet'!$B$17,Paramètres!$A$1:$I$89,3,0)*0.475*44/12</f>
        <v>2.102992622585778</v>
      </c>
      <c r="GN180" s="21">
        <f>EXP(-LN(2)/2)*GN179+(1-EXP(-LN(2)/2))/(LN(2)/2)*GH180*GK180*VLOOKUP('Données projet'!$B$17,Paramètres!$A$1:$I$89,3,0)*0.475*44/12</f>
        <v>1.2740739225822791E-17</v>
      </c>
      <c r="GO180" s="21">
        <f t="shared" si="187"/>
        <v>28.459762660503344</v>
      </c>
      <c r="GP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69.254827556121143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-2.2737367544323206E-13</v>
      </c>
      <c r="GV180" s="17">
        <f>GU180*VLOOKUP('Données projet'!$B$18,Paramètres!$A$1:$I$89,3,0)*VLOOKUP('Données projet'!$B$18,Paramètres!$A$1:$I$89,5,0)</f>
        <v>-1.2414602679200471E-13</v>
      </c>
      <c r="GW180" s="13" t="e">
        <f t="shared" si="188"/>
        <v>#NUM!</v>
      </c>
      <c r="GX180" s="20" t="e">
        <f t="shared" si="189"/>
        <v>#NUM!</v>
      </c>
      <c r="GY180" s="57" t="e">
        <f t="shared" si="137"/>
        <v>#NUM!</v>
      </c>
      <c r="GZ180" s="57">
        <f ca="1">AVERAGE(OFFSET($GY$3,0,0,'Données projet'!$E$18+1,1))-AVERAGE(OFFSET($H$3,0,0,'Données projet'!$E$18+1,1))</f>
        <v>381.00532469288714</v>
      </c>
      <c r="HA180" s="57">
        <f t="shared" si="160"/>
        <v>314.875259641757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>
        <f>EXP(-LN(2)/35)*HG179+(1-EXP(-LN(2)/35))/(LN(2)/35)*HC180*HD180*VLOOKUP('Données projet'!$B$18,Paramètres!$A$1:$I$89,3,0)*0.475*44/12</f>
        <v>44.401828945526645</v>
      </c>
      <c r="HH180" s="21">
        <f>EXP(-LN(2)/25)*HH179+(1-EXP(-LN(2)/25))/(LN(2)/25)*Calculateur!HC180*Calculateur!HE180*VLOOKUP('Données projet'!$B$18,Paramètres!$A$1:$I$89,3,0)*0.475*44/12</f>
        <v>3.9017758564142078</v>
      </c>
      <c r="HI180" s="21">
        <f>EXP(-LN(2)/2)*HI179+(1-EXP(-LN(2)/2))/(LN(2)/2)*HC180*HF180*VLOOKUP('Données projet'!$B$18,Paramètres!$A$1:$I$89,3,0)*0.475*44/12</f>
        <v>6.4240997646316722E-11</v>
      </c>
      <c r="HJ180" s="22">
        <f t="shared" si="190"/>
        <v>48.30360480200509</v>
      </c>
    </row>
    <row r="181" spans="1:218" x14ac:dyDescent="0.2">
      <c r="A181" s="10">
        <f t="shared" si="161"/>
        <v>178</v>
      </c>
      <c r="B181" s="71">
        <f>'Scénario référence'!$B$16*5+'Scénario référence'!$B$17*0+'Scénario référence'!$B$18*5</f>
        <v>3.3000000000000003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12.100000000000001</v>
      </c>
      <c r="H181" s="65">
        <f t="shared" si="110"/>
        <v>208.26666666666665</v>
      </c>
      <c r="I181" s="6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69.267754632066442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-1.1527845344971866E-13</v>
      </c>
      <c r="P181" s="13" t="e">
        <f t="shared" si="141"/>
        <v>#NUM!</v>
      </c>
      <c r="Q181" s="20" t="e">
        <f t="shared" si="162"/>
        <v>#NUM!</v>
      </c>
      <c r="R181" s="57" t="e">
        <f t="shared" si="109"/>
        <v>#NUM!</v>
      </c>
      <c r="S181" s="57">
        <f ca="1">AVERAGE(OFFSET($R$3,0,0,'Données projet'!$E$9+1,1))-AVERAGE(OFFSET($H$3,0,0,'Données projet'!$E$9+1,1))</f>
        <v>332.70145542047612</v>
      </c>
      <c r="T181" s="57">
        <f t="shared" si="142"/>
        <v>172.22433737900428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35.998268755502444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35.998268755502444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69.267754632066442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-2.9842794901924208E-13</v>
      </c>
      <c r="AJ181" s="13">
        <f>AI181*VLOOKUP('Données projet'!$B$10,Paramètres!$A$1:$I$89,3,0)*VLOOKUP('Données projet'!$B$10,Paramètres!$A$1:$I$89,5,0)</f>
        <v>-2.7001760827261026E-13</v>
      </c>
      <c r="AK181" s="13" t="e">
        <f t="shared" si="164"/>
        <v>#NUM!</v>
      </c>
      <c r="AL181" s="20" t="e">
        <f t="shared" si="165"/>
        <v>#NUM!</v>
      </c>
      <c r="AM181" s="57" t="e">
        <f t="shared" si="113"/>
        <v>#NUM!</v>
      </c>
      <c r="AN181" s="57">
        <f ca="1">AVERAGE(OFFSET($AM$3,0,0,'Données projet'!$E$10+1,1))-AVERAGE(OFFSET($H$3,0,0,'Données projet'!$E$10+1,1))</f>
        <v>469.4210143164521</v>
      </c>
      <c r="AO181" s="57">
        <f t="shared" si="144"/>
        <v>308.4508386530556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106.31579007230744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106.31579007230744</v>
      </c>
      <c r="AY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69.267754632066442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7" t="e">
        <f t="shared" si="116"/>
        <v>#NUM!</v>
      </c>
      <c r="BI181" s="57">
        <f ca="1">AVERAGE(OFFSET($BH$3,0,0,'Données projet'!$E$11+1,1))-AVERAGE(OFFSET($H$3,0,0,'Données projet'!$E$11+1,1))</f>
        <v>344.32981377462971</v>
      </c>
      <c r="BJ181" s="57">
        <f t="shared" si="146"/>
        <v>334.42512656625763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16.669018149947117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16.669018149947117</v>
      </c>
      <c r="BT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69.267754632066442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4.5474735088646412E-13</v>
      </c>
      <c r="BZ181" s="13">
        <f>BY181*VLOOKUP('Données projet'!$B$12,Paramètres!$A$1:$I$89,3,0)*VLOOKUP('Données projet'!$B$12,Paramètres!$A$1:$I$89,5,0)</f>
        <v>4.3273757910355926E-13</v>
      </c>
      <c r="CA181" s="13">
        <f t="shared" si="170"/>
        <v>5.4817614357080839E-12</v>
      </c>
      <c r="CB181" s="20">
        <f t="shared" si="171"/>
        <v>1.0301085784130276E-11</v>
      </c>
      <c r="CC181" s="57">
        <f t="shared" si="119"/>
        <v>290.64843365092054</v>
      </c>
      <c r="CD181" s="57">
        <f ca="1">AVERAGE(OFFSET($CC$3,0,0,'Données projet'!$E$12+1,1))-AVERAGE(OFFSET($H$3,0,0,'Données projet'!$E$12+1,1))</f>
        <v>498.77732039282807</v>
      </c>
      <c r="CE181" s="57">
        <f t="shared" si="148"/>
        <v>384.57317421826531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58.678105443300367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58.678105443300367</v>
      </c>
      <c r="CO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69.267754632066442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-2.9842794901924208E-13</v>
      </c>
      <c r="CU181" s="17">
        <f>CT181*VLOOKUP('Données projet'!$B$13,Paramètres!$A$1:$I$89,3,0)*VLOOKUP('Données projet'!$B$13,Paramètres!$A$1:$I$89,5,0)</f>
        <v>-2.0018546820210759E-13</v>
      </c>
      <c r="CV181" s="13" t="e">
        <f t="shared" si="173"/>
        <v>#NUM!</v>
      </c>
      <c r="CW181" s="20" t="e">
        <f t="shared" si="174"/>
        <v>#NUM!</v>
      </c>
      <c r="CX181" s="57" t="e">
        <f t="shared" si="122"/>
        <v>#NUM!</v>
      </c>
      <c r="CY181" s="57">
        <f ca="1">AVERAGE(OFFSET($CX$3,0,0,'Données projet'!$E$13+1,1))-AVERAGE(OFFSET($H$3,0,0,'Données projet'!$E$13+1,1))</f>
        <v>365.99625753737246</v>
      </c>
      <c r="CZ181" s="57">
        <f t="shared" si="150"/>
        <v>242.84814712692287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97.150635755729169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97.150635755729169</v>
      </c>
      <c r="DJ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69.267754632066442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2.2737367544323206E-13</v>
      </c>
      <c r="DP181" s="17">
        <f>DO181*VLOOKUP('Données projet'!$B$14,Paramètres!$A$1:$I$89,3,0)*VLOOKUP('Données projet'!$B$14,Paramètres!$A$1:$I$89,5,0)</f>
        <v>1.4897523215040565E-13</v>
      </c>
      <c r="DQ181" s="13">
        <f t="shared" si="176"/>
        <v>2.136562777003313E-12</v>
      </c>
      <c r="DR181" s="20">
        <f t="shared" si="177"/>
        <v>3.9806453659427267E-12</v>
      </c>
      <c r="DS181" s="57">
        <f t="shared" si="125"/>
        <v>290.64843365091423</v>
      </c>
      <c r="DT181" s="57">
        <f ca="1">AVERAGE(OFFSET($DS$3,0,0,'Données projet'!$E$14+1,1))-AVERAGE(OFFSET($H$3,0,0,'Données projet'!$E$14+1,1))</f>
        <v>313.79279628660527</v>
      </c>
      <c r="DU181" s="57">
        <f t="shared" si="152"/>
        <v>317.45469955216254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16.195496626519404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16.195496626519404</v>
      </c>
      <c r="EE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69.267754632066442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-1.1368683772161603E-13</v>
      </c>
      <c r="EK181" s="17">
        <f>EJ181*VLOOKUP('Données projet'!$B$15,Paramètres!$A$1:$I$89,3,0)*VLOOKUP('Données projet'!$B$15,Paramètres!$A$1:$I$89,5,0)</f>
        <v>-9.7543306765146564E-14</v>
      </c>
      <c r="EL181" s="13" t="e">
        <f t="shared" si="179"/>
        <v>#NUM!</v>
      </c>
      <c r="EM181" s="20" t="e">
        <f t="shared" si="180"/>
        <v>#NUM!</v>
      </c>
      <c r="EN181" s="57" t="e">
        <f t="shared" si="128"/>
        <v>#NUM!</v>
      </c>
      <c r="EO181" s="57">
        <f ca="1">AVERAGE(OFFSET($EN$3,0,0,'Données projet'!$E$15+1,1))-AVERAGE(OFFSET($H$3,0,0,'Données projet'!$E$15+1,1))</f>
        <v>643.04899298561475</v>
      </c>
      <c r="EP181" s="57">
        <f t="shared" si="154"/>
        <v>474.94999304483031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60.030773757528806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60.030773757528806</v>
      </c>
      <c r="EZ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69.267754632066442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>
        <f>FE181*VLOOKUP('Données projet'!$B$16,Paramètres!$A$1:$I$89,3,0)*VLOOKUP('Données projet'!$B$16,Paramètres!$A$1:$I$89,5,0)</f>
        <v>0</v>
      </c>
      <c r="FG181" s="13" t="e">
        <f t="shared" si="182"/>
        <v>#NUM!</v>
      </c>
      <c r="FH181" s="20" t="e">
        <f t="shared" si="183"/>
        <v>#NUM!</v>
      </c>
      <c r="FI181" s="57" t="e">
        <f t="shared" si="131"/>
        <v>#NUM!</v>
      </c>
      <c r="FJ181" s="57">
        <f ca="1">AVERAGE(OFFSET($FI$3,0,0,'Données projet'!$E$16+1,1))-AVERAGE(OFFSET($H$3,0,0,'Données projet'!$E$16+1,1))</f>
        <v>375.34603719604439</v>
      </c>
      <c r="FK181" s="57">
        <f t="shared" si="156"/>
        <v>363.99476973672211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22.731229105024376</v>
      </c>
      <c r="FR181" s="21">
        <f>EXP(-LN(2)/25)*FR180+(1-EXP(-LN(2)/25))/(LN(2)/25)*Calculateur!FM181*Calculateur!FO181*VLOOKUP('Données projet'!$B$16,Paramètres!$A$1:$I$89,3,0)*0.475*44/12</f>
        <v>0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22.731229105024376</v>
      </c>
      <c r="FU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69.267754632066442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-1.1368683772161603E-13</v>
      </c>
      <c r="GA181" s="17">
        <f>FZ181*VLOOKUP('Données projet'!$B$17,Paramètres!$A$1:$I$89,3,0)*VLOOKUP('Données projet'!$B$17,Paramètres!$A$1:$I$89,5,0)</f>
        <v>-6.3550942286383367E-14</v>
      </c>
      <c r="GB181" s="13" t="e">
        <f t="shared" si="185"/>
        <v>#NUM!</v>
      </c>
      <c r="GC181" s="20" t="e">
        <f t="shared" si="186"/>
        <v>#NUM!</v>
      </c>
      <c r="GD181" s="57" t="e">
        <f t="shared" si="134"/>
        <v>#NUM!</v>
      </c>
      <c r="GE181" s="57">
        <f ca="1">AVERAGE(OFFSET($GD$3,0,0,'Données projet'!$E$17+1,1))-AVERAGE(OFFSET($H$3,0,0,'Données projet'!$E$17+1,1))</f>
        <v>414.47327143450701</v>
      </c>
      <c r="GF181" s="57">
        <f t="shared" si="158"/>
        <v>546.83385887302961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25.839929853516349</v>
      </c>
      <c r="GM181" s="21">
        <f>EXP(-LN(2)/25)*GM180+(1-EXP(-LN(2)/25))/(LN(2)/25)*Calculateur!GH181*Calculateur!GJ181*VLOOKUP('Données projet'!$B$17,Paramètres!$A$1:$I$89,3,0)*0.475*44/12</f>
        <v>2.0454861787295942</v>
      </c>
      <c r="GN181" s="21">
        <f>EXP(-LN(2)/2)*GN180+(1-EXP(-LN(2)/2))/(LN(2)/2)*GH181*GK181*VLOOKUP('Données projet'!$B$17,Paramètres!$A$1:$I$89,3,0)*0.475*44/12</f>
        <v>9.0090631039087388E-18</v>
      </c>
      <c r="GO181" s="21">
        <f t="shared" si="187"/>
        <v>27.885416032245942</v>
      </c>
      <c r="GP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69.267754632066442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-2.2737367544323206E-13</v>
      </c>
      <c r="GV181" s="17">
        <f>GU181*VLOOKUP('Données projet'!$B$18,Paramètres!$A$1:$I$89,3,0)*VLOOKUP('Données projet'!$B$18,Paramètres!$A$1:$I$89,5,0)</f>
        <v>-1.2414602679200471E-13</v>
      </c>
      <c r="GW181" s="13" t="e">
        <f t="shared" si="188"/>
        <v>#NUM!</v>
      </c>
      <c r="GX181" s="20" t="e">
        <f t="shared" si="189"/>
        <v>#NUM!</v>
      </c>
      <c r="GY181" s="57" t="e">
        <f t="shared" si="137"/>
        <v>#NUM!</v>
      </c>
      <c r="GZ181" s="57">
        <f ca="1">AVERAGE(OFFSET($GY$3,0,0,'Données projet'!$E$18+1,1))-AVERAGE(OFFSET($H$3,0,0,'Données projet'!$E$18+1,1))</f>
        <v>381.00532469288714</v>
      </c>
      <c r="HA181" s="57">
        <f t="shared" si="160"/>
        <v>314.875259641757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>
        <f>EXP(-LN(2)/35)*HG180+(1-EXP(-LN(2)/35))/(LN(2)/35)*HC181*HD181*VLOOKUP('Données projet'!$B$18,Paramètres!$A$1:$I$89,3,0)*0.475*44/12</f>
        <v>43.531136162346357</v>
      </c>
      <c r="HH181" s="21">
        <f>EXP(-LN(2)/25)*HH180+(1-EXP(-LN(2)/25))/(LN(2)/25)*Calculateur!HC181*Calculateur!HE181*VLOOKUP('Données projet'!$B$18,Paramètres!$A$1:$I$89,3,0)*0.475*44/12</f>
        <v>3.7950815904350867</v>
      </c>
      <c r="HI181" s="21">
        <f>EXP(-LN(2)/2)*HI180+(1-EXP(-LN(2)/2))/(LN(2)/2)*HC181*HF181*VLOOKUP('Données projet'!$B$18,Paramètres!$A$1:$I$89,3,0)*0.475*44/12</f>
        <v>4.5425245065899592E-11</v>
      </c>
      <c r="HJ181" s="22">
        <f t="shared" si="190"/>
        <v>47.326217752826871</v>
      </c>
    </row>
    <row r="182" spans="1:218" x14ac:dyDescent="0.2">
      <c r="A182" s="10">
        <f t="shared" si="161"/>
        <v>179</v>
      </c>
      <c r="B182" s="71">
        <f>'Scénario référence'!$B$16*5+'Scénario référence'!$B$17*0+'Scénario référence'!$B$18*5</f>
        <v>3.3000000000000003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12.100000000000001</v>
      </c>
      <c r="H182" s="65">
        <f t="shared" si="110"/>
        <v>208.26666666666665</v>
      </c>
      <c r="I182" s="6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69.280457452144688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-1.1527845344971866E-13</v>
      </c>
      <c r="P182" s="13" t="e">
        <f t="shared" si="141"/>
        <v>#NUM!</v>
      </c>
      <c r="Q182" s="20" t="e">
        <f t="shared" si="162"/>
        <v>#NUM!</v>
      </c>
      <c r="R182" s="57" t="e">
        <f t="shared" si="109"/>
        <v>#NUM!</v>
      </c>
      <c r="S182" s="57">
        <f ca="1">AVERAGE(OFFSET($R$3,0,0,'Données projet'!$E$9+1,1))-AVERAGE(OFFSET($H$3,0,0,'Données projet'!$E$9+1,1))</f>
        <v>332.70145542047612</v>
      </c>
      <c r="T182" s="57">
        <f t="shared" si="142"/>
        <v>172.22433737900428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35.29236466198293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35.29236466198293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69.280457452144688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-2.9842794901924208E-13</v>
      </c>
      <c r="AJ182" s="13">
        <f>AI182*VLOOKUP('Données projet'!$B$10,Paramètres!$A$1:$I$89,3,0)*VLOOKUP('Données projet'!$B$10,Paramètres!$A$1:$I$89,5,0)</f>
        <v>-2.7001760827261026E-13</v>
      </c>
      <c r="AK182" s="13" t="e">
        <f t="shared" si="164"/>
        <v>#NUM!</v>
      </c>
      <c r="AL182" s="20" t="e">
        <f t="shared" si="165"/>
        <v>#NUM!</v>
      </c>
      <c r="AM182" s="57" t="e">
        <f t="shared" si="113"/>
        <v>#NUM!</v>
      </c>
      <c r="AN182" s="57">
        <f ca="1">AVERAGE(OFFSET($AM$3,0,0,'Données projet'!$E$10+1,1))-AVERAGE(OFFSET($H$3,0,0,'Données projet'!$E$10+1,1))</f>
        <v>469.4210143164521</v>
      </c>
      <c r="AO182" s="57">
        <f t="shared" si="144"/>
        <v>308.4508386530556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104.2310022752184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104.2310022752184</v>
      </c>
      <c r="AY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69.280457452144688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7" t="e">
        <f t="shared" si="116"/>
        <v>#NUM!</v>
      </c>
      <c r="BI182" s="57">
        <f ca="1">AVERAGE(OFFSET($BH$3,0,0,'Données projet'!$E$11+1,1))-AVERAGE(OFFSET($H$3,0,0,'Données projet'!$E$11+1,1))</f>
        <v>344.32981377462971</v>
      </c>
      <c r="BJ182" s="57">
        <f t="shared" si="146"/>
        <v>334.42512656625763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16.342148871123808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16.342148871123808</v>
      </c>
      <c r="BT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69.280457452144688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4.5474735088646412E-13</v>
      </c>
      <c r="BZ182" s="13">
        <f>BY182*VLOOKUP('Données projet'!$B$12,Paramètres!$A$1:$I$89,3,0)*VLOOKUP('Données projet'!$B$12,Paramètres!$A$1:$I$89,5,0)</f>
        <v>4.3273757910355926E-13</v>
      </c>
      <c r="CA182" s="13">
        <f t="shared" si="170"/>
        <v>5.4817614357080839E-12</v>
      </c>
      <c r="CB182" s="20">
        <f t="shared" si="171"/>
        <v>1.0301085784130276E-11</v>
      </c>
      <c r="CC182" s="57">
        <f t="shared" si="119"/>
        <v>290.69501065787415</v>
      </c>
      <c r="CD182" s="57">
        <f ca="1">AVERAGE(OFFSET($CC$3,0,0,'Données projet'!$E$12+1,1))-AVERAGE(OFFSET($H$3,0,0,'Données projet'!$E$12+1,1))</f>
        <v>498.77732039282807</v>
      </c>
      <c r="CE182" s="57">
        <f t="shared" si="148"/>
        <v>384.57317421826531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57.52746358566759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57.52746358566759</v>
      </c>
      <c r="CO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69.280457452144688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-2.9842794901924208E-13</v>
      </c>
      <c r="CU182" s="17">
        <f>CT182*VLOOKUP('Données projet'!$B$13,Paramètres!$A$1:$I$89,3,0)*VLOOKUP('Données projet'!$B$13,Paramètres!$A$1:$I$89,5,0)</f>
        <v>-2.0018546820210759E-13</v>
      </c>
      <c r="CV182" s="13" t="e">
        <f t="shared" si="173"/>
        <v>#NUM!</v>
      </c>
      <c r="CW182" s="20" t="e">
        <f t="shared" si="174"/>
        <v>#NUM!</v>
      </c>
      <c r="CX182" s="57" t="e">
        <f t="shared" si="122"/>
        <v>#NUM!</v>
      </c>
      <c r="CY182" s="57">
        <f ca="1">AVERAGE(OFFSET($CX$3,0,0,'Données projet'!$E$13+1,1))-AVERAGE(OFFSET($H$3,0,0,'Données projet'!$E$13+1,1))</f>
        <v>365.99625753737246</v>
      </c>
      <c r="CZ182" s="57">
        <f t="shared" si="150"/>
        <v>242.84814712692287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95.24557104459609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95.24557104459609</v>
      </c>
      <c r="DJ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69.280457452144688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2.2737367544323206E-13</v>
      </c>
      <c r="DP182" s="17">
        <f>DO182*VLOOKUP('Données projet'!$B$14,Paramètres!$A$1:$I$89,3,0)*VLOOKUP('Données projet'!$B$14,Paramètres!$A$1:$I$89,5,0)</f>
        <v>1.4897523215040565E-13</v>
      </c>
      <c r="DQ182" s="13">
        <f t="shared" si="176"/>
        <v>2.136562777003313E-12</v>
      </c>
      <c r="DR182" s="20">
        <f t="shared" si="177"/>
        <v>3.9806453659427267E-12</v>
      </c>
      <c r="DS182" s="57">
        <f t="shared" si="125"/>
        <v>290.69501065786784</v>
      </c>
      <c r="DT182" s="57">
        <f ca="1">AVERAGE(OFFSET($DS$3,0,0,'Données projet'!$E$14+1,1))-AVERAGE(OFFSET($H$3,0,0,'Données projet'!$E$14+1,1))</f>
        <v>313.79279628660527</v>
      </c>
      <c r="DU182" s="57">
        <f t="shared" si="152"/>
        <v>317.45469955216254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15.877912815950902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15.877912815950902</v>
      </c>
      <c r="EE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69.280457452144688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-1.1368683772161603E-13</v>
      </c>
      <c r="EK182" s="17">
        <f>EJ182*VLOOKUP('Données projet'!$B$15,Paramètres!$A$1:$I$89,3,0)*VLOOKUP('Données projet'!$B$15,Paramètres!$A$1:$I$89,5,0)</f>
        <v>-9.7543306765146564E-14</v>
      </c>
      <c r="EL182" s="13" t="e">
        <f t="shared" si="179"/>
        <v>#NUM!</v>
      </c>
      <c r="EM182" s="20" t="e">
        <f t="shared" si="180"/>
        <v>#NUM!</v>
      </c>
      <c r="EN182" s="57" t="e">
        <f t="shared" si="128"/>
        <v>#NUM!</v>
      </c>
      <c r="EO182" s="57">
        <f ca="1">AVERAGE(OFFSET($EN$3,0,0,'Données projet'!$E$15+1,1))-AVERAGE(OFFSET($H$3,0,0,'Données projet'!$E$15+1,1))</f>
        <v>643.04899298561475</v>
      </c>
      <c r="EP182" s="57">
        <f t="shared" si="154"/>
        <v>474.94999304483031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58.85360689930021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58.85360689930021</v>
      </c>
      <c r="EZ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69.280457452144688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>
        <f>FE182*VLOOKUP('Données projet'!$B$16,Paramètres!$A$1:$I$89,3,0)*VLOOKUP('Données projet'!$B$16,Paramètres!$A$1:$I$89,5,0)</f>
        <v>0</v>
      </c>
      <c r="FG182" s="13" t="e">
        <f t="shared" si="182"/>
        <v>#NUM!</v>
      </c>
      <c r="FH182" s="20" t="e">
        <f t="shared" si="183"/>
        <v>#NUM!</v>
      </c>
      <c r="FI182" s="57" t="e">
        <f t="shared" si="131"/>
        <v>#NUM!</v>
      </c>
      <c r="FJ182" s="57">
        <f ca="1">AVERAGE(OFFSET($FI$3,0,0,'Données projet'!$E$16+1,1))-AVERAGE(OFFSET($H$3,0,0,'Données projet'!$E$16+1,1))</f>
        <v>375.34603719604439</v>
      </c>
      <c r="FK182" s="57">
        <f t="shared" si="156"/>
        <v>363.99476973672211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22.285483566955577</v>
      </c>
      <c r="FR182" s="21">
        <f>EXP(-LN(2)/25)*FR181+(1-EXP(-LN(2)/25))/(LN(2)/25)*Calculateur!FM182*Calculateur!FO182*VLOOKUP('Données projet'!$B$16,Paramètres!$A$1:$I$89,3,0)*0.475*44/12</f>
        <v>0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22.285483566955577</v>
      </c>
      <c r="FU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69.280457452144688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-1.1368683772161603E-13</v>
      </c>
      <c r="GA182" s="17">
        <f>FZ182*VLOOKUP('Données projet'!$B$17,Paramètres!$A$1:$I$89,3,0)*VLOOKUP('Données projet'!$B$17,Paramètres!$A$1:$I$89,5,0)</f>
        <v>-6.3550942286383367E-14</v>
      </c>
      <c r="GB182" s="13" t="e">
        <f t="shared" si="185"/>
        <v>#NUM!</v>
      </c>
      <c r="GC182" s="20" t="e">
        <f t="shared" si="186"/>
        <v>#NUM!</v>
      </c>
      <c r="GD182" s="57" t="e">
        <f t="shared" si="134"/>
        <v>#NUM!</v>
      </c>
      <c r="GE182" s="57">
        <f ca="1">AVERAGE(OFFSET($GD$3,0,0,'Données projet'!$E$17+1,1))-AVERAGE(OFFSET($H$3,0,0,'Données projet'!$E$17+1,1))</f>
        <v>414.47327143450701</v>
      </c>
      <c r="GF182" s="57">
        <f t="shared" si="158"/>
        <v>546.83385887302961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25.333224589889856</v>
      </c>
      <c r="GM182" s="21">
        <f>EXP(-LN(2)/25)*GM181+(1-EXP(-LN(2)/25))/(LN(2)/25)*Calculateur!GH182*Calculateur!GJ182*VLOOKUP('Données projet'!$B$17,Paramètres!$A$1:$I$89,3,0)*0.475*44/12</f>
        <v>1.9895522516047903</v>
      </c>
      <c r="GN182" s="21">
        <f>EXP(-LN(2)/2)*GN181+(1-EXP(-LN(2)/2))/(LN(2)/2)*GH182*GK182*VLOOKUP('Données projet'!$B$17,Paramètres!$A$1:$I$89,3,0)*0.475*44/12</f>
        <v>6.3703696129113954E-18</v>
      </c>
      <c r="GO182" s="21">
        <f t="shared" si="187"/>
        <v>27.322776841494647</v>
      </c>
      <c r="GP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69.280457452144688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-2.2737367544323206E-13</v>
      </c>
      <c r="GV182" s="17">
        <f>GU182*VLOOKUP('Données projet'!$B$18,Paramètres!$A$1:$I$89,3,0)*VLOOKUP('Données projet'!$B$18,Paramètres!$A$1:$I$89,5,0)</f>
        <v>-1.2414602679200471E-13</v>
      </c>
      <c r="GW182" s="13" t="e">
        <f t="shared" si="188"/>
        <v>#NUM!</v>
      </c>
      <c r="GX182" s="20" t="e">
        <f t="shared" si="189"/>
        <v>#NUM!</v>
      </c>
      <c r="GY182" s="57" t="e">
        <f t="shared" si="137"/>
        <v>#NUM!</v>
      </c>
      <c r="GZ182" s="57">
        <f ca="1">AVERAGE(OFFSET($GY$3,0,0,'Données projet'!$E$18+1,1))-AVERAGE(OFFSET($H$3,0,0,'Données projet'!$E$18+1,1))</f>
        <v>381.00532469288714</v>
      </c>
      <c r="HA182" s="57">
        <f t="shared" si="160"/>
        <v>314.875259641757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>
        <f>EXP(-LN(2)/35)*HG181+(1-EXP(-LN(2)/35))/(LN(2)/35)*HC182*HD182*VLOOKUP('Données projet'!$B$18,Paramètres!$A$1:$I$89,3,0)*0.475*44/12</f>
        <v>42.677517133574071</v>
      </c>
      <c r="HH182" s="21">
        <f>EXP(-LN(2)/25)*HH181+(1-EXP(-LN(2)/25))/(LN(2)/25)*Calculateur!HC182*Calculateur!HE182*VLOOKUP('Données projet'!$B$18,Paramètres!$A$1:$I$89,3,0)*0.475*44/12</f>
        <v>3.6913048847699721</v>
      </c>
      <c r="HI182" s="21">
        <f>EXP(-LN(2)/2)*HI181+(1-EXP(-LN(2)/2))/(LN(2)/2)*HC182*HF182*VLOOKUP('Données projet'!$B$18,Paramètres!$A$1:$I$89,3,0)*0.475*44/12</f>
        <v>3.2120498823158361E-11</v>
      </c>
      <c r="HJ182" s="22">
        <f t="shared" si="190"/>
        <v>46.368822018376164</v>
      </c>
    </row>
    <row r="183" spans="1:218" x14ac:dyDescent="0.2">
      <c r="A183" s="10">
        <f t="shared" si="161"/>
        <v>180</v>
      </c>
      <c r="B183" s="71">
        <f>'Scénario référence'!$B$16*5+'Scénario référence'!$B$17*0+'Scénario référence'!$B$18*5</f>
        <v>3.3000000000000003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12.100000000000001</v>
      </c>
      <c r="H183" s="65">
        <f t="shared" si="110"/>
        <v>208.26666666666665</v>
      </c>
      <c r="I183" s="6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69.292939906693832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-1.1527845344971866E-13</v>
      </c>
      <c r="P183" s="13" t="e">
        <f t="shared" si="141"/>
        <v>#NUM!</v>
      </c>
      <c r="Q183" s="20" t="e">
        <f t="shared" si="162"/>
        <v>#NUM!</v>
      </c>
      <c r="R183" s="57" t="e">
        <f t="shared" si="109"/>
        <v>#NUM!</v>
      </c>
      <c r="S183" s="57">
        <f ca="1">AVERAGE(OFFSET($R$3,0,0,'Données projet'!$E$9+1,1))-AVERAGE(OFFSET($H$3,0,0,'Données projet'!$E$9+1,1))</f>
        <v>332.70145542047612</v>
      </c>
      <c r="T183" s="57">
        <f t="shared" si="142"/>
        <v>172.22433737900428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34.600302917178354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34.600302917178354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69.292939906693832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-2.9842794901924208E-13</v>
      </c>
      <c r="AJ183" s="13">
        <f>AI183*VLOOKUP('Données projet'!$B$10,Paramètres!$A$1:$I$89,3,0)*VLOOKUP('Données projet'!$B$10,Paramètres!$A$1:$I$89,5,0)</f>
        <v>-2.7001760827261026E-13</v>
      </c>
      <c r="AK183" s="13" t="e">
        <f t="shared" si="164"/>
        <v>#NUM!</v>
      </c>
      <c r="AL183" s="20" t="e">
        <f t="shared" si="165"/>
        <v>#NUM!</v>
      </c>
      <c r="AM183" s="57" t="e">
        <f t="shared" si="113"/>
        <v>#NUM!</v>
      </c>
      <c r="AN183" s="57">
        <f ca="1">AVERAGE(OFFSET($AM$3,0,0,'Données projet'!$E$10+1,1))-AVERAGE(OFFSET($H$3,0,0,'Données projet'!$E$10+1,1))</f>
        <v>469.4210143164521</v>
      </c>
      <c r="AO183" s="57">
        <f t="shared" si="144"/>
        <v>308.4508386530556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102.18709589523529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102.18709589523529</v>
      </c>
      <c r="AY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69.292939906693832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7" t="e">
        <f t="shared" si="116"/>
        <v>#NUM!</v>
      </c>
      <c r="BI183" s="57">
        <f ca="1">AVERAGE(OFFSET($BH$3,0,0,'Données projet'!$E$11+1,1))-AVERAGE(OFFSET($H$3,0,0,'Données projet'!$E$11+1,1))</f>
        <v>344.32981377462971</v>
      </c>
      <c r="BJ183" s="57">
        <f t="shared" si="146"/>
        <v>334.42512656625763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16.021689299487651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16.021689299487651</v>
      </c>
      <c r="BT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69.292939906693832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4.5474735088646412E-13</v>
      </c>
      <c r="BZ183" s="13">
        <f>BY183*VLOOKUP('Données projet'!$B$12,Paramètres!$A$1:$I$89,3,0)*VLOOKUP('Données projet'!$B$12,Paramètres!$A$1:$I$89,5,0)</f>
        <v>4.3273757910355926E-13</v>
      </c>
      <c r="CA183" s="13">
        <f t="shared" si="170"/>
        <v>5.4817614357080839E-12</v>
      </c>
      <c r="CB183" s="20">
        <f t="shared" si="171"/>
        <v>1.0301085784130276E-11</v>
      </c>
      <c r="CC183" s="57">
        <f t="shared" si="119"/>
        <v>290.74077965788769</v>
      </c>
      <c r="CD183" s="57">
        <f ca="1">AVERAGE(OFFSET($CC$3,0,0,'Données projet'!$E$12+1,1))-AVERAGE(OFFSET($H$3,0,0,'Données projet'!$E$12+1,1))</f>
        <v>498.77732039282807</v>
      </c>
      <c r="CE183" s="57">
        <f t="shared" si="148"/>
        <v>384.57317421826531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56.399385113040758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56.399385113040758</v>
      </c>
      <c r="CO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69.292939906693832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-2.9842794901924208E-13</v>
      </c>
      <c r="CU183" s="17">
        <f>CT183*VLOOKUP('Données projet'!$B$13,Paramètres!$A$1:$I$89,3,0)*VLOOKUP('Données projet'!$B$13,Paramètres!$A$1:$I$89,5,0)</f>
        <v>-2.0018546820210759E-13</v>
      </c>
      <c r="CV183" s="13" t="e">
        <f t="shared" si="173"/>
        <v>#NUM!</v>
      </c>
      <c r="CW183" s="20" t="e">
        <f t="shared" si="174"/>
        <v>#NUM!</v>
      </c>
      <c r="CX183" s="57" t="e">
        <f t="shared" si="122"/>
        <v>#NUM!</v>
      </c>
      <c r="CY183" s="57">
        <f ca="1">AVERAGE(OFFSET($CX$3,0,0,'Données projet'!$E$13+1,1))-AVERAGE(OFFSET($H$3,0,0,'Données projet'!$E$13+1,1))</f>
        <v>365.99625753737246</v>
      </c>
      <c r="CZ183" s="57">
        <f t="shared" si="150"/>
        <v>242.84814712692287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93.377863490473587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93.377863490473587</v>
      </c>
      <c r="DJ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69.292939906693832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2.2737367544323206E-13</v>
      </c>
      <c r="DP183" s="17">
        <f>DO183*VLOOKUP('Données projet'!$B$14,Paramètres!$A$1:$I$89,3,0)*VLOOKUP('Données projet'!$B$14,Paramètres!$A$1:$I$89,5,0)</f>
        <v>1.4897523215040565E-13</v>
      </c>
      <c r="DQ183" s="13">
        <f t="shared" si="176"/>
        <v>2.136562777003313E-12</v>
      </c>
      <c r="DR183" s="20">
        <f t="shared" si="177"/>
        <v>3.9806453659427267E-12</v>
      </c>
      <c r="DS183" s="57">
        <f t="shared" si="125"/>
        <v>290.74077965788138</v>
      </c>
      <c r="DT183" s="57">
        <f ca="1">AVERAGE(OFFSET($DS$3,0,0,'Données projet'!$E$14+1,1))-AVERAGE(OFFSET($H$3,0,0,'Données projet'!$E$14+1,1))</f>
        <v>313.79279628660527</v>
      </c>
      <c r="DU183" s="57">
        <f t="shared" si="152"/>
        <v>317.45469955216254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15.566556630200651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15.566556630200651</v>
      </c>
      <c r="EE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69.292939906693832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-1.1368683772161603E-13</v>
      </c>
      <c r="EK183" s="17">
        <f>EJ183*VLOOKUP('Données projet'!$B$15,Paramètres!$A$1:$I$89,3,0)*VLOOKUP('Données projet'!$B$15,Paramètres!$A$1:$I$89,5,0)</f>
        <v>-9.7543306765146564E-14</v>
      </c>
      <c r="EL183" s="13" t="e">
        <f t="shared" si="179"/>
        <v>#NUM!</v>
      </c>
      <c r="EM183" s="20" t="e">
        <f t="shared" si="180"/>
        <v>#NUM!</v>
      </c>
      <c r="EN183" s="57" t="e">
        <f t="shared" si="128"/>
        <v>#NUM!</v>
      </c>
      <c r="EO183" s="57">
        <f ca="1">AVERAGE(OFFSET($EN$3,0,0,'Données projet'!$E$15+1,1))-AVERAGE(OFFSET($H$3,0,0,'Données projet'!$E$15+1,1))</f>
        <v>643.04899298561475</v>
      </c>
      <c r="EP183" s="57">
        <f t="shared" si="154"/>
        <v>474.94999304483031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57.69952356516059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57.69952356516059</v>
      </c>
      <c r="EZ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69.292939906693832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>
        <f>FE183*VLOOKUP('Données projet'!$B$16,Paramètres!$A$1:$I$89,3,0)*VLOOKUP('Données projet'!$B$16,Paramètres!$A$1:$I$89,5,0)</f>
        <v>0</v>
      </c>
      <c r="FG183" s="13" t="e">
        <f t="shared" si="182"/>
        <v>#NUM!</v>
      </c>
      <c r="FH183" s="20" t="e">
        <f t="shared" si="183"/>
        <v>#NUM!</v>
      </c>
      <c r="FI183" s="57" t="e">
        <f t="shared" si="131"/>
        <v>#NUM!</v>
      </c>
      <c r="FJ183" s="57">
        <f ca="1">AVERAGE(OFFSET($FI$3,0,0,'Données projet'!$E$16+1,1))-AVERAGE(OFFSET($H$3,0,0,'Données projet'!$E$16+1,1))</f>
        <v>375.34603719604439</v>
      </c>
      <c r="FK183" s="57">
        <f t="shared" si="156"/>
        <v>363.99476973672211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21.848478827010375</v>
      </c>
      <c r="FR183" s="21">
        <f>EXP(-LN(2)/25)*FR182+(1-EXP(-LN(2)/25))/(LN(2)/25)*Calculateur!FM183*Calculateur!FO183*VLOOKUP('Données projet'!$B$16,Paramètres!$A$1:$I$89,3,0)*0.475*44/12</f>
        <v>0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21.848478827010375</v>
      </c>
      <c r="FU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69.292939906693832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-1.1368683772161603E-13</v>
      </c>
      <c r="GA183" s="17">
        <f>FZ183*VLOOKUP('Données projet'!$B$17,Paramètres!$A$1:$I$89,3,0)*VLOOKUP('Données projet'!$B$17,Paramètres!$A$1:$I$89,5,0)</f>
        <v>-6.3550942286383367E-14</v>
      </c>
      <c r="GB183" s="13" t="e">
        <f t="shared" si="185"/>
        <v>#NUM!</v>
      </c>
      <c r="GC183" s="20" t="e">
        <f t="shared" si="186"/>
        <v>#NUM!</v>
      </c>
      <c r="GD183" s="57" t="e">
        <f t="shared" si="134"/>
        <v>#NUM!</v>
      </c>
      <c r="GE183" s="57">
        <f ca="1">AVERAGE(OFFSET($GD$3,0,0,'Données projet'!$E$17+1,1))-AVERAGE(OFFSET($H$3,0,0,'Données projet'!$E$17+1,1))</f>
        <v>414.47327143450701</v>
      </c>
      <c r="GF183" s="57">
        <f t="shared" si="158"/>
        <v>546.83385887302961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24.836455507423384</v>
      </c>
      <c r="GM183" s="21">
        <f>EXP(-LN(2)/25)*GM182+(1-EXP(-LN(2)/25))/(LN(2)/25)*Calculateur!GH183*Calculateur!GJ183*VLOOKUP('Données projet'!$B$17,Paramètres!$A$1:$I$89,3,0)*0.475*44/12</f>
        <v>1.9351478406586515</v>
      </c>
      <c r="GN183" s="21">
        <f>EXP(-LN(2)/2)*GN182+(1-EXP(-LN(2)/2))/(LN(2)/2)*GH183*GK183*VLOOKUP('Données projet'!$B$17,Paramètres!$A$1:$I$89,3,0)*0.475*44/12</f>
        <v>4.5045315519543694E-18</v>
      </c>
      <c r="GO183" s="21">
        <f t="shared" si="187"/>
        <v>26.771603348082035</v>
      </c>
      <c r="GP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69.292939906693832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-2.2737367544323206E-13</v>
      </c>
      <c r="GV183" s="17">
        <f>GU183*VLOOKUP('Données projet'!$B$18,Paramètres!$A$1:$I$89,3,0)*VLOOKUP('Données projet'!$B$18,Paramètres!$A$1:$I$89,5,0)</f>
        <v>-1.2414602679200471E-13</v>
      </c>
      <c r="GW183" s="13" t="e">
        <f t="shared" si="188"/>
        <v>#NUM!</v>
      </c>
      <c r="GX183" s="20" t="e">
        <f t="shared" si="189"/>
        <v>#NUM!</v>
      </c>
      <c r="GY183" s="57" t="e">
        <f t="shared" si="137"/>
        <v>#NUM!</v>
      </c>
      <c r="GZ183" s="57">
        <f ca="1">AVERAGE(OFFSET($GY$3,0,0,'Données projet'!$E$18+1,1))-AVERAGE(OFFSET($H$3,0,0,'Données projet'!$E$18+1,1))</f>
        <v>381.00532469288714</v>
      </c>
      <c r="HA183" s="57">
        <f t="shared" si="160"/>
        <v>314.875259641757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>
        <f>EXP(-LN(2)/35)*HG182+(1-EXP(-LN(2)/35))/(LN(2)/35)*HC183*HD183*VLOOKUP('Données projet'!$B$18,Paramètres!$A$1:$I$89,3,0)*0.475*44/12</f>
        <v>41.840637053299815</v>
      </c>
      <c r="HH183" s="21">
        <f>EXP(-LN(2)/25)*HH182+(1-EXP(-LN(2)/25))/(LN(2)/25)*Calculateur!HC183*Calculateur!HE183*VLOOKUP('Données projet'!$B$18,Paramètres!$A$1:$I$89,3,0)*0.475*44/12</f>
        <v>3.59036595857865</v>
      </c>
      <c r="HI183" s="21">
        <f>EXP(-LN(2)/2)*HI182+(1-EXP(-LN(2)/2))/(LN(2)/2)*HC183*HF183*VLOOKUP('Données projet'!$B$18,Paramètres!$A$1:$I$89,3,0)*0.475*44/12</f>
        <v>2.2712622532949796E-11</v>
      </c>
      <c r="HJ183" s="22">
        <f t="shared" si="190"/>
        <v>45.431003011901183</v>
      </c>
    </row>
    <row r="184" spans="1:218" x14ac:dyDescent="0.2">
      <c r="A184" s="10">
        <f t="shared" si="161"/>
        <v>181</v>
      </c>
      <c r="B184" s="71">
        <f>'Scénario référence'!$B$16*5+'Scénario référence'!$B$17*0+'Scénario référence'!$B$18*5</f>
        <v>3.3000000000000003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12.100000000000001</v>
      </c>
      <c r="H184" s="65">
        <f t="shared" si="110"/>
        <v>208.26666666666665</v>
      </c>
      <c r="I184" s="6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69.305205818563138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-1.1527845344971866E-13</v>
      </c>
      <c r="P184" s="13" t="e">
        <f t="shared" si="141"/>
        <v>#NUM!</v>
      </c>
      <c r="Q184" s="20" t="e">
        <f t="shared" si="162"/>
        <v>#NUM!</v>
      </c>
      <c r="R184" s="57" t="e">
        <f t="shared" si="109"/>
        <v>#NUM!</v>
      </c>
      <c r="S184" s="57">
        <f ca="1">AVERAGE(OFFSET($R$3,0,0,'Données projet'!$E$9+1,1))-AVERAGE(OFFSET($H$3,0,0,'Données projet'!$E$9+1,1))</f>
        <v>332.70145542047612</v>
      </c>
      <c r="T184" s="57">
        <f t="shared" si="142"/>
        <v>172.22433737900428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33.921812081073412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33.921812081073412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69.305205818563138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-2.9842794901924208E-13</v>
      </c>
      <c r="AJ184" s="13">
        <f>AI184*VLOOKUP('Données projet'!$B$10,Paramètres!$A$1:$I$89,3,0)*VLOOKUP('Données projet'!$B$10,Paramètres!$A$1:$I$89,5,0)</f>
        <v>-2.7001760827261026E-13</v>
      </c>
      <c r="AK184" s="13" t="e">
        <f t="shared" si="164"/>
        <v>#NUM!</v>
      </c>
      <c r="AL184" s="20" t="e">
        <f t="shared" si="165"/>
        <v>#NUM!</v>
      </c>
      <c r="AM184" s="57" t="e">
        <f t="shared" si="113"/>
        <v>#NUM!</v>
      </c>
      <c r="AN184" s="57">
        <f ca="1">AVERAGE(OFFSET($AM$3,0,0,'Données projet'!$E$10+1,1))-AVERAGE(OFFSET($H$3,0,0,'Données projet'!$E$10+1,1))</f>
        <v>469.4210143164521</v>
      </c>
      <c r="AO184" s="57">
        <f t="shared" si="144"/>
        <v>308.4508386530556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100.18326927270384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100.18326927270384</v>
      </c>
      <c r="AY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69.305205818563138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7" t="e">
        <f t="shared" si="116"/>
        <v>#NUM!</v>
      </c>
      <c r="BI184" s="57">
        <f ca="1">AVERAGE(OFFSET($BH$3,0,0,'Données projet'!$E$11+1,1))-AVERAGE(OFFSET($H$3,0,0,'Données projet'!$E$11+1,1))</f>
        <v>344.32981377462971</v>
      </c>
      <c r="BJ184" s="57">
        <f t="shared" si="146"/>
        <v>334.42512656625763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15.707513744590241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15.707513744590241</v>
      </c>
      <c r="BT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69.305205818563138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4.5474735088646412E-13</v>
      </c>
      <c r="BZ184" s="13">
        <f>BY184*VLOOKUP('Données projet'!$B$12,Paramètres!$A$1:$I$89,3,0)*VLOOKUP('Données projet'!$B$12,Paramètres!$A$1:$I$89,5,0)</f>
        <v>4.3273757910355926E-13</v>
      </c>
      <c r="CA184" s="13">
        <f t="shared" si="170"/>
        <v>5.4817614357080839E-12</v>
      </c>
      <c r="CB184" s="20">
        <f t="shared" si="171"/>
        <v>1.0301085784130276E-11</v>
      </c>
      <c r="CC184" s="57">
        <f t="shared" si="119"/>
        <v>290.78575466807513</v>
      </c>
      <c r="CD184" s="57">
        <f ca="1">AVERAGE(OFFSET($CC$3,0,0,'Données projet'!$E$12+1,1))-AVERAGE(OFFSET($H$3,0,0,'Données projet'!$E$12+1,1))</f>
        <v>498.77732039282807</v>
      </c>
      <c r="CE184" s="57">
        <f t="shared" si="148"/>
        <v>384.57317421826531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55.293427571202209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55.293427571202209</v>
      </c>
      <c r="CO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69.305205818563138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-2.9842794901924208E-13</v>
      </c>
      <c r="CU184" s="17">
        <f>CT184*VLOOKUP('Données projet'!$B$13,Paramètres!$A$1:$I$89,3,0)*VLOOKUP('Données projet'!$B$13,Paramètres!$A$1:$I$89,5,0)</f>
        <v>-2.0018546820210759E-13</v>
      </c>
      <c r="CV184" s="13" t="e">
        <f t="shared" si="173"/>
        <v>#NUM!</v>
      </c>
      <c r="CW184" s="20" t="e">
        <f t="shared" si="174"/>
        <v>#NUM!</v>
      </c>
      <c r="CX184" s="57" t="e">
        <f t="shared" si="122"/>
        <v>#NUM!</v>
      </c>
      <c r="CY184" s="57">
        <f ca="1">AVERAGE(OFFSET($CX$3,0,0,'Données projet'!$E$13+1,1))-AVERAGE(OFFSET($H$3,0,0,'Données projet'!$E$13+1,1))</f>
        <v>365.99625753737246</v>
      </c>
      <c r="CZ184" s="57">
        <f t="shared" si="150"/>
        <v>242.84814712692287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91.546780542298308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91.546780542298308</v>
      </c>
      <c r="DJ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69.305205818563138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2.2737367544323206E-13</v>
      </c>
      <c r="DP184" s="17">
        <f>DO184*VLOOKUP('Données projet'!$B$14,Paramètres!$A$1:$I$89,3,0)*VLOOKUP('Données projet'!$B$14,Paramètres!$A$1:$I$89,5,0)</f>
        <v>1.4897523215040565E-13</v>
      </c>
      <c r="DQ184" s="13">
        <f t="shared" si="176"/>
        <v>2.136562777003313E-12</v>
      </c>
      <c r="DR184" s="20">
        <f t="shared" si="177"/>
        <v>3.9806453659427267E-12</v>
      </c>
      <c r="DS184" s="57">
        <f t="shared" si="125"/>
        <v>290.78575466806882</v>
      </c>
      <c r="DT184" s="57">
        <f ca="1">AVERAGE(OFFSET($DS$3,0,0,'Données projet'!$E$14+1,1))-AVERAGE(OFFSET($H$3,0,0,'Données projet'!$E$14+1,1))</f>
        <v>313.79279628660527</v>
      </c>
      <c r="DU184" s="57">
        <f t="shared" si="152"/>
        <v>317.45469955216254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15.261305949344441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15.261305949344441</v>
      </c>
      <c r="EE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69.305205818563138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-1.1368683772161603E-13</v>
      </c>
      <c r="EK184" s="17">
        <f>EJ184*VLOOKUP('Données projet'!$B$15,Paramètres!$A$1:$I$89,3,0)*VLOOKUP('Données projet'!$B$15,Paramètres!$A$1:$I$89,5,0)</f>
        <v>-9.7543306765146564E-14</v>
      </c>
      <c r="EL184" s="13" t="e">
        <f t="shared" si="179"/>
        <v>#NUM!</v>
      </c>
      <c r="EM184" s="20" t="e">
        <f t="shared" si="180"/>
        <v>#NUM!</v>
      </c>
      <c r="EN184" s="57" t="e">
        <f t="shared" si="128"/>
        <v>#NUM!</v>
      </c>
      <c r="EO184" s="57">
        <f ca="1">AVERAGE(OFFSET($EN$3,0,0,'Données projet'!$E$15+1,1))-AVERAGE(OFFSET($H$3,0,0,'Données projet'!$E$15+1,1))</f>
        <v>643.04899298561475</v>
      </c>
      <c r="EP184" s="57">
        <f t="shared" si="154"/>
        <v>474.94999304483031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56.568071101282122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56.568071101282122</v>
      </c>
      <c r="EZ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69.305205818563138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>
        <f>FE184*VLOOKUP('Données projet'!$B$16,Paramètres!$A$1:$I$89,3,0)*VLOOKUP('Données projet'!$B$16,Paramètres!$A$1:$I$89,5,0)</f>
        <v>0</v>
      </c>
      <c r="FG184" s="13" t="e">
        <f t="shared" si="182"/>
        <v>#NUM!</v>
      </c>
      <c r="FH184" s="20" t="e">
        <f t="shared" si="183"/>
        <v>#NUM!</v>
      </c>
      <c r="FI184" s="57" t="e">
        <f t="shared" si="131"/>
        <v>#NUM!</v>
      </c>
      <c r="FJ184" s="57">
        <f ca="1">AVERAGE(OFFSET($FI$3,0,0,'Données projet'!$E$16+1,1))-AVERAGE(OFFSET($H$3,0,0,'Données projet'!$E$16+1,1))</f>
        <v>375.34603719604439</v>
      </c>
      <c r="FK184" s="57">
        <f t="shared" si="156"/>
        <v>363.99476973672211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21.420043483468927</v>
      </c>
      <c r="FR184" s="21">
        <f>EXP(-LN(2)/25)*FR183+(1-EXP(-LN(2)/25))/(LN(2)/25)*Calculateur!FM184*Calculateur!FO184*VLOOKUP('Données projet'!$B$16,Paramètres!$A$1:$I$89,3,0)*0.475*44/12</f>
        <v>0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21.420043483468927</v>
      </c>
      <c r="FU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69.305205818563138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-1.1368683772161603E-13</v>
      </c>
      <c r="GA184" s="17">
        <f>FZ184*VLOOKUP('Données projet'!$B$17,Paramètres!$A$1:$I$89,3,0)*VLOOKUP('Données projet'!$B$17,Paramètres!$A$1:$I$89,5,0)</f>
        <v>-6.3550942286383367E-14</v>
      </c>
      <c r="GB184" s="13" t="e">
        <f t="shared" si="185"/>
        <v>#NUM!</v>
      </c>
      <c r="GC184" s="20" t="e">
        <f t="shared" si="186"/>
        <v>#NUM!</v>
      </c>
      <c r="GD184" s="57" t="e">
        <f t="shared" si="134"/>
        <v>#NUM!</v>
      </c>
      <c r="GE184" s="57">
        <f ca="1">AVERAGE(OFFSET($GD$3,0,0,'Données projet'!$E$17+1,1))-AVERAGE(OFFSET($H$3,0,0,'Données projet'!$E$17+1,1))</f>
        <v>414.47327143450701</v>
      </c>
      <c r="GF184" s="57">
        <f t="shared" si="158"/>
        <v>546.83385887302961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24.349427763664856</v>
      </c>
      <c r="GM184" s="21">
        <f>EXP(-LN(2)/25)*GM183+(1-EXP(-LN(2)/25))/(LN(2)/25)*Calculateur!GH184*Calculateur!GJ184*VLOOKUP('Données projet'!$B$17,Paramètres!$A$1:$I$89,3,0)*0.475*44/12</f>
        <v>1.8822311211908387</v>
      </c>
      <c r="GN184" s="21">
        <f>EXP(-LN(2)/2)*GN183+(1-EXP(-LN(2)/2))/(LN(2)/2)*GH184*GK184*VLOOKUP('Données projet'!$B$17,Paramètres!$A$1:$I$89,3,0)*0.475*44/12</f>
        <v>3.1851848064556977E-18</v>
      </c>
      <c r="GO184" s="21">
        <f t="shared" si="187"/>
        <v>26.231658884855694</v>
      </c>
      <c r="GP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69.305205818563138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-2.2737367544323206E-13</v>
      </c>
      <c r="GV184" s="17">
        <f>GU184*VLOOKUP('Données projet'!$B$18,Paramètres!$A$1:$I$89,3,0)*VLOOKUP('Données projet'!$B$18,Paramètres!$A$1:$I$89,5,0)</f>
        <v>-1.2414602679200471E-13</v>
      </c>
      <c r="GW184" s="13" t="e">
        <f t="shared" si="188"/>
        <v>#NUM!</v>
      </c>
      <c r="GX184" s="20" t="e">
        <f t="shared" si="189"/>
        <v>#NUM!</v>
      </c>
      <c r="GY184" s="57" t="e">
        <f t="shared" si="137"/>
        <v>#NUM!</v>
      </c>
      <c r="GZ184" s="57">
        <f ca="1">AVERAGE(OFFSET($GY$3,0,0,'Données projet'!$E$18+1,1))-AVERAGE(OFFSET($H$3,0,0,'Données projet'!$E$18+1,1))</f>
        <v>381.00532469288714</v>
      </c>
      <c r="HA184" s="57">
        <f t="shared" si="160"/>
        <v>314.875259641757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>
        <f>EXP(-LN(2)/35)*HG183+(1-EXP(-LN(2)/35))/(LN(2)/35)*HC184*HD184*VLOOKUP('Données projet'!$B$18,Paramètres!$A$1:$I$89,3,0)*0.475*44/12</f>
        <v>41.020167680953293</v>
      </c>
      <c r="HH184" s="21">
        <f>EXP(-LN(2)/25)*HH183+(1-EXP(-LN(2)/25))/(LN(2)/25)*Calculateur!HC184*Calculateur!HE184*VLOOKUP('Données projet'!$B$18,Paramètres!$A$1:$I$89,3,0)*0.475*44/12</f>
        <v>3.4921872126321771</v>
      </c>
      <c r="HI184" s="21">
        <f>EXP(-LN(2)/2)*HI183+(1-EXP(-LN(2)/2))/(LN(2)/2)*HC184*HF184*VLOOKUP('Données projet'!$B$18,Paramètres!$A$1:$I$89,3,0)*0.475*44/12</f>
        <v>1.606024941157918E-11</v>
      </c>
      <c r="HJ184" s="22">
        <f t="shared" si="190"/>
        <v>44.512354893601525</v>
      </c>
    </row>
    <row r="185" spans="1:218" x14ac:dyDescent="0.2">
      <c r="A185" s="10">
        <f t="shared" si="161"/>
        <v>182</v>
      </c>
      <c r="B185" s="71">
        <f>'Scénario référence'!$B$16*5+'Scénario référence'!$B$17*0+'Scénario référence'!$B$18*5</f>
        <v>3.3000000000000003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12.100000000000001</v>
      </c>
      <c r="H185" s="65">
        <f t="shared" si="110"/>
        <v>208.26666666666665</v>
      </c>
      <c r="I185" s="6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69.317258944283992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-1.1527845344971866E-13</v>
      </c>
      <c r="P185" s="13" t="e">
        <f t="shared" si="141"/>
        <v>#NUM!</v>
      </c>
      <c r="Q185" s="20" t="e">
        <f t="shared" si="162"/>
        <v>#NUM!</v>
      </c>
      <c r="R185" s="57" t="e">
        <f t="shared" si="109"/>
        <v>#NUM!</v>
      </c>
      <c r="S185" s="57">
        <f ca="1">AVERAGE(OFFSET($R$3,0,0,'Données projet'!$E$9+1,1))-AVERAGE(OFFSET($H$3,0,0,'Données projet'!$E$9+1,1))</f>
        <v>332.70145542047612</v>
      </c>
      <c r="T185" s="57">
        <f t="shared" si="142"/>
        <v>172.22433737900428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33.256626036425935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33.256626036425935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69.317258944283992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-2.9842794901924208E-13</v>
      </c>
      <c r="AJ185" s="13">
        <f>AI185*VLOOKUP('Données projet'!$B$10,Paramètres!$A$1:$I$89,3,0)*VLOOKUP('Données projet'!$B$10,Paramètres!$A$1:$I$89,5,0)</f>
        <v>-2.7001760827261026E-13</v>
      </c>
      <c r="AK185" s="13" t="e">
        <f t="shared" si="164"/>
        <v>#NUM!</v>
      </c>
      <c r="AL185" s="20" t="e">
        <f t="shared" si="165"/>
        <v>#NUM!</v>
      </c>
      <c r="AM185" s="57" t="e">
        <f t="shared" si="113"/>
        <v>#NUM!</v>
      </c>
      <c r="AN185" s="57">
        <f ca="1">AVERAGE(OFFSET($AM$3,0,0,'Données projet'!$E$10+1,1))-AVERAGE(OFFSET($H$3,0,0,'Données projet'!$E$10+1,1))</f>
        <v>469.4210143164521</v>
      </c>
      <c r="AO185" s="57">
        <f t="shared" si="144"/>
        <v>308.4508386530556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98.218736468026677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98.218736468026677</v>
      </c>
      <c r="AY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69.317258944283992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7" t="e">
        <f t="shared" si="116"/>
        <v>#NUM!</v>
      </c>
      <c r="BI185" s="57">
        <f ca="1">AVERAGE(OFFSET($BH$3,0,0,'Données projet'!$E$11+1,1))-AVERAGE(OFFSET($H$3,0,0,'Données projet'!$E$11+1,1))</f>
        <v>344.32981377462971</v>
      </c>
      <c r="BJ185" s="57">
        <f t="shared" si="146"/>
        <v>334.42512656625763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15.399498980696201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15.399498980696201</v>
      </c>
      <c r="BT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69.317258944283992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4.5474735088646412E-13</v>
      </c>
      <c r="BZ185" s="13">
        <f>BY185*VLOOKUP('Données projet'!$B$12,Paramètres!$A$1:$I$89,3,0)*VLOOKUP('Données projet'!$B$12,Paramètres!$A$1:$I$89,5,0)</f>
        <v>4.3273757910355926E-13</v>
      </c>
      <c r="CA185" s="13">
        <f t="shared" si="170"/>
        <v>5.4817614357080839E-12</v>
      </c>
      <c r="CB185" s="20">
        <f t="shared" si="171"/>
        <v>1.0301085784130276E-11</v>
      </c>
      <c r="CC185" s="57">
        <f t="shared" si="119"/>
        <v>290.82994946238489</v>
      </c>
      <c r="CD185" s="57">
        <f ca="1">AVERAGE(OFFSET($CC$3,0,0,'Données projet'!$E$12+1,1))-AVERAGE(OFFSET($H$3,0,0,'Données projet'!$E$12+1,1))</f>
        <v>498.77732039282807</v>
      </c>
      <c r="CE185" s="57">
        <f t="shared" si="148"/>
        <v>384.57317421826531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54.209157182191618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54.209157182191618</v>
      </c>
      <c r="CO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69.317258944283992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-2.9842794901924208E-13</v>
      </c>
      <c r="CU185" s="17">
        <f>CT185*VLOOKUP('Données projet'!$B$13,Paramètres!$A$1:$I$89,3,0)*VLOOKUP('Données projet'!$B$13,Paramètres!$A$1:$I$89,5,0)</f>
        <v>-2.0018546820210759E-13</v>
      </c>
      <c r="CV185" s="13" t="e">
        <f t="shared" si="173"/>
        <v>#NUM!</v>
      </c>
      <c r="CW185" s="20" t="e">
        <f t="shared" si="174"/>
        <v>#NUM!</v>
      </c>
      <c r="CX185" s="57" t="e">
        <f t="shared" si="122"/>
        <v>#NUM!</v>
      </c>
      <c r="CY185" s="57">
        <f ca="1">AVERAGE(OFFSET($CX$3,0,0,'Données projet'!$E$13+1,1))-AVERAGE(OFFSET($H$3,0,0,'Données projet'!$E$13+1,1))</f>
        <v>365.99625753737246</v>
      </c>
      <c r="CZ185" s="57">
        <f t="shared" si="150"/>
        <v>242.84814712692287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89.751604013886421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89.751604013886421</v>
      </c>
      <c r="DJ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69.317258944283992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2.2737367544323206E-13</v>
      </c>
      <c r="DP185" s="17">
        <f>DO185*VLOOKUP('Données projet'!$B$14,Paramètres!$A$1:$I$89,3,0)*VLOOKUP('Données projet'!$B$14,Paramètres!$A$1:$I$89,5,0)</f>
        <v>1.4897523215040565E-13</v>
      </c>
      <c r="DQ185" s="13">
        <f t="shared" si="176"/>
        <v>2.136562777003313E-12</v>
      </c>
      <c r="DR185" s="20">
        <f t="shared" si="177"/>
        <v>3.9806453659427267E-12</v>
      </c>
      <c r="DS185" s="57">
        <f t="shared" si="125"/>
        <v>290.82994946237858</v>
      </c>
      <c r="DT185" s="57">
        <f ca="1">AVERAGE(OFFSET($DS$3,0,0,'Données projet'!$E$14+1,1))-AVERAGE(OFFSET($H$3,0,0,'Données projet'!$E$14+1,1))</f>
        <v>313.79279628660527</v>
      </c>
      <c r="DU185" s="57">
        <f t="shared" si="152"/>
        <v>317.45469955216254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14.962041048155291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14.962041048155291</v>
      </c>
      <c r="EE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69.317258944283992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-1.1368683772161603E-13</v>
      </c>
      <c r="EK185" s="17">
        <f>EJ185*VLOOKUP('Données projet'!$B$15,Paramètres!$A$1:$I$89,3,0)*VLOOKUP('Données projet'!$B$15,Paramètres!$A$1:$I$89,5,0)</f>
        <v>-9.7543306765146564E-14</v>
      </c>
      <c r="EL185" s="13" t="e">
        <f t="shared" si="179"/>
        <v>#NUM!</v>
      </c>
      <c r="EM185" s="20" t="e">
        <f t="shared" si="180"/>
        <v>#NUM!</v>
      </c>
      <c r="EN185" s="57" t="e">
        <f t="shared" si="128"/>
        <v>#NUM!</v>
      </c>
      <c r="EO185" s="57">
        <f ca="1">AVERAGE(OFFSET($EN$3,0,0,'Données projet'!$E$15+1,1))-AVERAGE(OFFSET($H$3,0,0,'Données projet'!$E$15+1,1))</f>
        <v>643.04899298561475</v>
      </c>
      <c r="EP185" s="57">
        <f t="shared" si="154"/>
        <v>474.94999304483031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55.458805730102455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55.458805730102455</v>
      </c>
      <c r="EZ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69.317258944283992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>
        <f>FE185*VLOOKUP('Données projet'!$B$16,Paramètres!$A$1:$I$89,3,0)*VLOOKUP('Données projet'!$B$16,Paramètres!$A$1:$I$89,5,0)</f>
        <v>0</v>
      </c>
      <c r="FG185" s="13" t="e">
        <f t="shared" si="182"/>
        <v>#NUM!</v>
      </c>
      <c r="FH185" s="20" t="e">
        <f t="shared" si="183"/>
        <v>#NUM!</v>
      </c>
      <c r="FI185" s="57" t="e">
        <f t="shared" si="131"/>
        <v>#NUM!</v>
      </c>
      <c r="FJ185" s="57">
        <f ca="1">AVERAGE(OFFSET($FI$3,0,0,'Données projet'!$E$16+1,1))-AVERAGE(OFFSET($H$3,0,0,'Données projet'!$E$16+1,1))</f>
        <v>375.34603719604439</v>
      </c>
      <c r="FK185" s="57">
        <f t="shared" si="156"/>
        <v>363.99476973672211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21.00000949569457</v>
      </c>
      <c r="FR185" s="21">
        <f>EXP(-LN(2)/25)*FR184+(1-EXP(-LN(2)/25))/(LN(2)/25)*Calculateur!FM185*Calculateur!FO185*VLOOKUP('Données projet'!$B$16,Paramètres!$A$1:$I$89,3,0)*0.475*44/12</f>
        <v>0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21.00000949569457</v>
      </c>
      <c r="FU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69.317258944283992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-1.1368683772161603E-13</v>
      </c>
      <c r="GA185" s="17">
        <f>FZ185*VLOOKUP('Données projet'!$B$17,Paramètres!$A$1:$I$89,3,0)*VLOOKUP('Données projet'!$B$17,Paramètres!$A$1:$I$89,5,0)</f>
        <v>-6.3550942286383367E-14</v>
      </c>
      <c r="GB185" s="13" t="e">
        <f t="shared" si="185"/>
        <v>#NUM!</v>
      </c>
      <c r="GC185" s="20" t="e">
        <f t="shared" si="186"/>
        <v>#NUM!</v>
      </c>
      <c r="GD185" s="57" t="e">
        <f t="shared" si="134"/>
        <v>#NUM!</v>
      </c>
      <c r="GE185" s="57">
        <f ca="1">AVERAGE(OFFSET($GD$3,0,0,'Données projet'!$E$17+1,1))-AVERAGE(OFFSET($H$3,0,0,'Données projet'!$E$17+1,1))</f>
        <v>414.47327143450701</v>
      </c>
      <c r="GF185" s="57">
        <f t="shared" si="158"/>
        <v>546.83385887302961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23.871950336903843</v>
      </c>
      <c r="GM185" s="21">
        <f>EXP(-LN(2)/25)*GM184+(1-EXP(-LN(2)/25))/(LN(2)/25)*Calculateur!GH185*Calculateur!GJ185*VLOOKUP('Données projet'!$B$17,Paramètres!$A$1:$I$89,3,0)*0.475*44/12</f>
        <v>1.8307614121996425</v>
      </c>
      <c r="GN185" s="21">
        <f>EXP(-LN(2)/2)*GN184+(1-EXP(-LN(2)/2))/(LN(2)/2)*GH185*GK185*VLOOKUP('Données projet'!$B$17,Paramètres!$A$1:$I$89,3,0)*0.475*44/12</f>
        <v>2.2522657759771847E-18</v>
      </c>
      <c r="GO185" s="21">
        <f t="shared" si="187"/>
        <v>25.702711749103486</v>
      </c>
      <c r="GP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69.317258944283992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-2.2737367544323206E-13</v>
      </c>
      <c r="GV185" s="17">
        <f>GU185*VLOOKUP('Données projet'!$B$18,Paramètres!$A$1:$I$89,3,0)*VLOOKUP('Données projet'!$B$18,Paramètres!$A$1:$I$89,5,0)</f>
        <v>-1.2414602679200471E-13</v>
      </c>
      <c r="GW185" s="13" t="e">
        <f t="shared" si="188"/>
        <v>#NUM!</v>
      </c>
      <c r="GX185" s="20" t="e">
        <f t="shared" si="189"/>
        <v>#NUM!</v>
      </c>
      <c r="GY185" s="57" t="e">
        <f t="shared" si="137"/>
        <v>#NUM!</v>
      </c>
      <c r="GZ185" s="57">
        <f ca="1">AVERAGE(OFFSET($GY$3,0,0,'Données projet'!$E$18+1,1))-AVERAGE(OFFSET($H$3,0,0,'Données projet'!$E$18+1,1))</f>
        <v>381.00532469288714</v>
      </c>
      <c r="HA185" s="57">
        <f t="shared" si="160"/>
        <v>314.875259641757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>
        <f>EXP(-LN(2)/35)*HG184+(1-EXP(-LN(2)/35))/(LN(2)/35)*HC185*HD185*VLOOKUP('Données projet'!$B$18,Paramètres!$A$1:$I$89,3,0)*0.475*44/12</f>
        <v>40.21578721256158</v>
      </c>
      <c r="HH185" s="21">
        <f>EXP(-LN(2)/25)*HH184+(1-EXP(-LN(2)/25))/(LN(2)/25)*Calculateur!HC185*Calculateur!HE185*VLOOKUP('Données projet'!$B$18,Paramètres!$A$1:$I$89,3,0)*0.475*44/12</f>
        <v>3.3966931696566061</v>
      </c>
      <c r="HI185" s="21">
        <f>EXP(-LN(2)/2)*HI184+(1-EXP(-LN(2)/2))/(LN(2)/2)*HC185*HF185*VLOOKUP('Données projet'!$B$18,Paramètres!$A$1:$I$89,3,0)*0.475*44/12</f>
        <v>1.1356311266474898E-11</v>
      </c>
      <c r="HJ185" s="22">
        <f t="shared" si="190"/>
        <v>43.612480382229542</v>
      </c>
    </row>
    <row r="186" spans="1:218" x14ac:dyDescent="0.2">
      <c r="A186" s="10">
        <f t="shared" si="161"/>
        <v>183</v>
      </c>
      <c r="B186" s="71">
        <f>'Scénario référence'!$B$16*5+'Scénario référence'!$B$17*0+'Scénario référence'!$B$18*5</f>
        <v>3.3000000000000003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12.100000000000001</v>
      </c>
      <c r="H186" s="65">
        <f t="shared" si="110"/>
        <v>208.26666666666665</v>
      </c>
      <c r="I186" s="6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69.329102975220337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-1.1527845344971866E-13</v>
      </c>
      <c r="P186" s="13" t="e">
        <f t="shared" si="141"/>
        <v>#NUM!</v>
      </c>
      <c r="Q186" s="20" t="e">
        <f t="shared" si="162"/>
        <v>#NUM!</v>
      </c>
      <c r="R186" s="57" t="e">
        <f t="shared" si="109"/>
        <v>#NUM!</v>
      </c>
      <c r="S186" s="57">
        <f ca="1">AVERAGE(OFFSET($R$3,0,0,'Données projet'!$E$9+1,1))-AVERAGE(OFFSET($H$3,0,0,'Données projet'!$E$9+1,1))</f>
        <v>332.70145542047612</v>
      </c>
      <c r="T186" s="57">
        <f t="shared" si="142"/>
        <v>172.22433737900428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32.604483884390575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32.604483884390575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69.329102975220337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-2.9842794901924208E-13</v>
      </c>
      <c r="AJ186" s="13">
        <f>AI186*VLOOKUP('Données projet'!$B$10,Paramètres!$A$1:$I$89,3,0)*VLOOKUP('Données projet'!$B$10,Paramètres!$A$1:$I$89,5,0)</f>
        <v>-2.7001760827261026E-13</v>
      </c>
      <c r="AK186" s="13" t="e">
        <f t="shared" si="164"/>
        <v>#NUM!</v>
      </c>
      <c r="AL186" s="20" t="e">
        <f t="shared" si="165"/>
        <v>#NUM!</v>
      </c>
      <c r="AM186" s="57" t="e">
        <f t="shared" si="113"/>
        <v>#NUM!</v>
      </c>
      <c r="AN186" s="57">
        <f ca="1">AVERAGE(OFFSET($AM$3,0,0,'Données projet'!$E$10+1,1))-AVERAGE(OFFSET($H$3,0,0,'Données projet'!$E$10+1,1))</f>
        <v>469.4210143164521</v>
      </c>
      <c r="AO186" s="57">
        <f t="shared" si="144"/>
        <v>308.4508386530556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96.29272695340255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96.29272695340255</v>
      </c>
      <c r="AY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69.329102975220337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7" t="e">
        <f t="shared" si="116"/>
        <v>#NUM!</v>
      </c>
      <c r="BI186" s="57">
        <f ca="1">AVERAGE(OFFSET($BH$3,0,0,'Données projet'!$E$11+1,1))-AVERAGE(OFFSET($H$3,0,0,'Données projet'!$E$11+1,1))</f>
        <v>344.32981377462971</v>
      </c>
      <c r="BJ186" s="57">
        <f t="shared" si="146"/>
        <v>334.42512656625763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15.097524198451667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15.097524198451667</v>
      </c>
      <c r="BT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69.329102975220337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4.5474735088646412E-13</v>
      </c>
      <c r="BZ186" s="13">
        <f>BY186*VLOOKUP('Données projet'!$B$12,Paramètres!$A$1:$I$89,3,0)*VLOOKUP('Données projet'!$B$12,Paramètres!$A$1:$I$89,5,0)</f>
        <v>4.3273757910355926E-13</v>
      </c>
      <c r="CA186" s="13">
        <f t="shared" si="170"/>
        <v>5.4817614357080839E-12</v>
      </c>
      <c r="CB186" s="20">
        <f t="shared" si="171"/>
        <v>1.0301085784130276E-11</v>
      </c>
      <c r="CC186" s="57">
        <f t="shared" si="119"/>
        <v>290.87337757581815</v>
      </c>
      <c r="CD186" s="57">
        <f ca="1">AVERAGE(OFFSET($CC$3,0,0,'Données projet'!$E$12+1,1))-AVERAGE(OFFSET($H$3,0,0,'Données projet'!$E$12+1,1))</f>
        <v>498.77732039282807</v>
      </c>
      <c r="CE186" s="57">
        <f t="shared" si="148"/>
        <v>384.57317421826531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53.146148674169893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53.146148674169893</v>
      </c>
      <c r="CO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69.329102975220337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-2.9842794901924208E-13</v>
      </c>
      <c r="CU186" s="17">
        <f>CT186*VLOOKUP('Données projet'!$B$13,Paramètres!$A$1:$I$89,3,0)*VLOOKUP('Données projet'!$B$13,Paramètres!$A$1:$I$89,5,0)</f>
        <v>-2.0018546820210759E-13</v>
      </c>
      <c r="CV186" s="13" t="e">
        <f t="shared" si="173"/>
        <v>#NUM!</v>
      </c>
      <c r="CW186" s="20" t="e">
        <f t="shared" si="174"/>
        <v>#NUM!</v>
      </c>
      <c r="CX186" s="57" t="e">
        <f t="shared" si="122"/>
        <v>#NUM!</v>
      </c>
      <c r="CY186" s="57">
        <f ca="1">AVERAGE(OFFSET($CX$3,0,0,'Données projet'!$E$13+1,1))-AVERAGE(OFFSET($H$3,0,0,'Données projet'!$E$13+1,1))</f>
        <v>365.99625753737246</v>
      </c>
      <c r="CZ186" s="57">
        <f t="shared" si="150"/>
        <v>242.84814712692287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87.991629802247132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87.991629802247132</v>
      </c>
      <c r="DJ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69.329102975220337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2.2737367544323206E-13</v>
      </c>
      <c r="DP186" s="17">
        <f>DO186*VLOOKUP('Données projet'!$B$14,Paramètres!$A$1:$I$89,3,0)*VLOOKUP('Données projet'!$B$14,Paramètres!$A$1:$I$89,5,0)</f>
        <v>1.4897523215040565E-13</v>
      </c>
      <c r="DQ186" s="13">
        <f t="shared" si="176"/>
        <v>2.136562777003313E-12</v>
      </c>
      <c r="DR186" s="20">
        <f t="shared" si="177"/>
        <v>3.9806453659427267E-12</v>
      </c>
      <c r="DS186" s="57">
        <f t="shared" si="125"/>
        <v>290.87337757581184</v>
      </c>
      <c r="DT186" s="57">
        <f ca="1">AVERAGE(OFFSET($DS$3,0,0,'Données projet'!$E$14+1,1))-AVERAGE(OFFSET($H$3,0,0,'Données projet'!$E$14+1,1))</f>
        <v>313.79279628660527</v>
      </c>
      <c r="DU186" s="57">
        <f t="shared" si="152"/>
        <v>317.45469955216254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14.668644549144892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14.668644549144892</v>
      </c>
      <c r="EE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69.329102975220337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-1.1368683772161603E-13</v>
      </c>
      <c r="EK186" s="17">
        <f>EJ186*VLOOKUP('Données projet'!$B$15,Paramètres!$A$1:$I$89,3,0)*VLOOKUP('Données projet'!$B$15,Paramètres!$A$1:$I$89,5,0)</f>
        <v>-9.7543306765146564E-14</v>
      </c>
      <c r="EL186" s="13" t="e">
        <f t="shared" si="179"/>
        <v>#NUM!</v>
      </c>
      <c r="EM186" s="20" t="e">
        <f t="shared" si="180"/>
        <v>#NUM!</v>
      </c>
      <c r="EN186" s="57" t="e">
        <f t="shared" si="128"/>
        <v>#NUM!</v>
      </c>
      <c r="EO186" s="57">
        <f ca="1">AVERAGE(OFFSET($EN$3,0,0,'Données projet'!$E$15+1,1))-AVERAGE(OFFSET($H$3,0,0,'Données projet'!$E$15+1,1))</f>
        <v>643.04899298561475</v>
      </c>
      <c r="EP186" s="57">
        <f t="shared" si="154"/>
        <v>474.94999304483031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54.371292376266545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54.371292376266545</v>
      </c>
      <c r="EZ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69.329102975220337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>
        <f>FE186*VLOOKUP('Données projet'!$B$16,Paramètres!$A$1:$I$89,3,0)*VLOOKUP('Données projet'!$B$16,Paramètres!$A$1:$I$89,5,0)</f>
        <v>0</v>
      </c>
      <c r="FG186" s="13" t="e">
        <f t="shared" si="182"/>
        <v>#NUM!</v>
      </c>
      <c r="FH186" s="20" t="e">
        <f t="shared" si="183"/>
        <v>#NUM!</v>
      </c>
      <c r="FI186" s="57" t="e">
        <f t="shared" si="131"/>
        <v>#NUM!</v>
      </c>
      <c r="FJ186" s="57">
        <f ca="1">AVERAGE(OFFSET($FI$3,0,0,'Données projet'!$E$16+1,1))-AVERAGE(OFFSET($H$3,0,0,'Données projet'!$E$16+1,1))</f>
        <v>375.34603719604439</v>
      </c>
      <c r="FK186" s="57">
        <f t="shared" si="156"/>
        <v>363.99476973672211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20.588212118225034</v>
      </c>
      <c r="FR186" s="21">
        <f>EXP(-LN(2)/25)*FR185+(1-EXP(-LN(2)/25))/(LN(2)/25)*Calculateur!FM186*Calculateur!FO186*VLOOKUP('Données projet'!$B$16,Paramètres!$A$1:$I$89,3,0)*0.475*44/12</f>
        <v>0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20.588212118225034</v>
      </c>
      <c r="FU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69.329102975220337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-1.1368683772161603E-13</v>
      </c>
      <c r="GA186" s="17">
        <f>FZ186*VLOOKUP('Données projet'!$B$17,Paramètres!$A$1:$I$89,3,0)*VLOOKUP('Données projet'!$B$17,Paramètres!$A$1:$I$89,5,0)</f>
        <v>-6.3550942286383367E-14</v>
      </c>
      <c r="GB186" s="13" t="e">
        <f t="shared" si="185"/>
        <v>#NUM!</v>
      </c>
      <c r="GC186" s="20" t="e">
        <f t="shared" si="186"/>
        <v>#NUM!</v>
      </c>
      <c r="GD186" s="57" t="e">
        <f t="shared" si="134"/>
        <v>#NUM!</v>
      </c>
      <c r="GE186" s="57">
        <f ca="1">AVERAGE(OFFSET($GD$3,0,0,'Données projet'!$E$17+1,1))-AVERAGE(OFFSET($H$3,0,0,'Données projet'!$E$17+1,1))</f>
        <v>414.47327143450701</v>
      </c>
      <c r="GF186" s="57">
        <f t="shared" si="158"/>
        <v>546.83385887302961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23.403835951249139</v>
      </c>
      <c r="GM186" s="21">
        <f>EXP(-LN(2)/25)*GM185+(1-EXP(-LN(2)/25))/(LN(2)/25)*Calculateur!GH186*Calculateur!GJ186*VLOOKUP('Données projet'!$B$17,Paramètres!$A$1:$I$89,3,0)*0.475*44/12</f>
        <v>1.7806991451074849</v>
      </c>
      <c r="GN186" s="21">
        <f>EXP(-LN(2)/2)*GN185+(1-EXP(-LN(2)/2))/(LN(2)/2)*GH186*GK186*VLOOKUP('Données projet'!$B$17,Paramètres!$A$1:$I$89,3,0)*0.475*44/12</f>
        <v>1.5925924032278488E-18</v>
      </c>
      <c r="GO186" s="21">
        <f t="shared" si="187"/>
        <v>25.184535096356623</v>
      </c>
      <c r="GP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69.329102975220337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-2.2737367544323206E-13</v>
      </c>
      <c r="GV186" s="17">
        <f>GU186*VLOOKUP('Données projet'!$B$18,Paramètres!$A$1:$I$89,3,0)*VLOOKUP('Données projet'!$B$18,Paramètres!$A$1:$I$89,5,0)</f>
        <v>-1.2414602679200471E-13</v>
      </c>
      <c r="GW186" s="13" t="e">
        <f t="shared" si="188"/>
        <v>#NUM!</v>
      </c>
      <c r="GX186" s="20" t="e">
        <f t="shared" si="189"/>
        <v>#NUM!</v>
      </c>
      <c r="GY186" s="57" t="e">
        <f t="shared" si="137"/>
        <v>#NUM!</v>
      </c>
      <c r="GZ186" s="57">
        <f ca="1">AVERAGE(OFFSET($GY$3,0,0,'Données projet'!$E$18+1,1))-AVERAGE(OFFSET($H$3,0,0,'Données projet'!$E$18+1,1))</f>
        <v>381.00532469288714</v>
      </c>
      <c r="HA186" s="57">
        <f t="shared" si="160"/>
        <v>314.875259641757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>
        <f>EXP(-LN(2)/35)*HG185+(1-EXP(-LN(2)/35))/(LN(2)/35)*HC186*HD186*VLOOKUP('Données projet'!$B$18,Paramètres!$A$1:$I$89,3,0)*0.475*44/12</f>
        <v>39.427180154531392</v>
      </c>
      <c r="HH186" s="21">
        <f>EXP(-LN(2)/25)*HH185+(1-EXP(-LN(2)/25))/(LN(2)/25)*Calculateur!HC186*Calculateur!HE186*VLOOKUP('Données projet'!$B$18,Paramètres!$A$1:$I$89,3,0)*0.475*44/12</f>
        <v>3.3038104163080155</v>
      </c>
      <c r="HI186" s="21">
        <f>EXP(-LN(2)/2)*HI185+(1-EXP(-LN(2)/2))/(LN(2)/2)*HC186*HF186*VLOOKUP('Données projet'!$B$18,Paramètres!$A$1:$I$89,3,0)*0.475*44/12</f>
        <v>8.0301247057895902E-12</v>
      </c>
      <c r="HJ186" s="22">
        <f t="shared" si="190"/>
        <v>42.730990570847439</v>
      </c>
    </row>
    <row r="187" spans="1:218" x14ac:dyDescent="0.2">
      <c r="A187" s="10">
        <f t="shared" si="161"/>
        <v>184</v>
      </c>
      <c r="B187" s="71">
        <f>'Scénario référence'!$B$16*5+'Scénario référence'!$B$17*0+'Scénario référence'!$B$18*5</f>
        <v>3.3000000000000003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12.100000000000001</v>
      </c>
      <c r="H187" s="65">
        <f t="shared" si="110"/>
        <v>208.26666666666665</v>
      </c>
      <c r="I187" s="6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69.34074153869922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-1.1527845344971866E-13</v>
      </c>
      <c r="P187" s="13" t="e">
        <f t="shared" si="141"/>
        <v>#NUM!</v>
      </c>
      <c r="Q187" s="20" t="e">
        <f t="shared" si="162"/>
        <v>#NUM!</v>
      </c>
      <c r="R187" s="57" t="e">
        <f t="shared" si="109"/>
        <v>#NUM!</v>
      </c>
      <c r="S187" s="57">
        <f ca="1">AVERAGE(OFFSET($R$3,0,0,'Données projet'!$E$9+1,1))-AVERAGE(OFFSET($H$3,0,0,'Données projet'!$E$9+1,1))</f>
        <v>332.70145542047612</v>
      </c>
      <c r="T187" s="57">
        <f t="shared" si="142"/>
        <v>172.22433737900428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31.965129842189189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31.965129842189189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69.34074153869922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-2.9842794901924208E-13</v>
      </c>
      <c r="AJ187" s="13">
        <f>AI187*VLOOKUP('Données projet'!$B$10,Paramètres!$A$1:$I$89,3,0)*VLOOKUP('Données projet'!$B$10,Paramètres!$A$1:$I$89,5,0)</f>
        <v>-2.7001760827261026E-13</v>
      </c>
      <c r="AK187" s="13" t="e">
        <f t="shared" si="164"/>
        <v>#NUM!</v>
      </c>
      <c r="AL187" s="20" t="e">
        <f t="shared" si="165"/>
        <v>#NUM!</v>
      </c>
      <c r="AM187" s="57" t="e">
        <f t="shared" si="113"/>
        <v>#NUM!</v>
      </c>
      <c r="AN187" s="57">
        <f ca="1">AVERAGE(OFFSET($AM$3,0,0,'Données projet'!$E$10+1,1))-AVERAGE(OFFSET($H$3,0,0,'Données projet'!$E$10+1,1))</f>
        <v>469.4210143164521</v>
      </c>
      <c r="AO187" s="57">
        <f t="shared" si="144"/>
        <v>308.4508386530556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94.404485310610383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94.404485310610383</v>
      </c>
      <c r="AY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69.34074153869922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7" t="e">
        <f t="shared" si="116"/>
        <v>#NUM!</v>
      </c>
      <c r="BI187" s="57">
        <f ca="1">AVERAGE(OFFSET($BH$3,0,0,'Données projet'!$E$11+1,1))-AVERAGE(OFFSET($H$3,0,0,'Données projet'!$E$11+1,1))</f>
        <v>344.32981377462971</v>
      </c>
      <c r="BJ187" s="57">
        <f t="shared" si="146"/>
        <v>334.42512656625763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14.80147095750052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14.80147095750052</v>
      </c>
      <c r="BT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69.34074153869922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4.5474735088646412E-13</v>
      </c>
      <c r="BZ187" s="13">
        <f>BY187*VLOOKUP('Données projet'!$B$12,Paramètres!$A$1:$I$89,3,0)*VLOOKUP('Données projet'!$B$12,Paramètres!$A$1:$I$89,5,0)</f>
        <v>4.3273757910355926E-13</v>
      </c>
      <c r="CA187" s="13">
        <f t="shared" si="170"/>
        <v>5.4817614357080839E-12</v>
      </c>
      <c r="CB187" s="20">
        <f t="shared" si="171"/>
        <v>1.0301085784130276E-11</v>
      </c>
      <c r="CC187" s="57">
        <f t="shared" si="119"/>
        <v>290.91605230857408</v>
      </c>
      <c r="CD187" s="57">
        <f ca="1">AVERAGE(OFFSET($CC$3,0,0,'Données projet'!$E$12+1,1))-AVERAGE(OFFSET($H$3,0,0,'Données projet'!$E$12+1,1))</f>
        <v>498.77732039282807</v>
      </c>
      <c r="CE187" s="57">
        <f t="shared" si="148"/>
        <v>384.57317421826531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52.103985114619306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52.103985114619306</v>
      </c>
      <c r="CO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69.34074153869922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-2.9842794901924208E-13</v>
      </c>
      <c r="CU187" s="17">
        <f>CT187*VLOOKUP('Données projet'!$B$13,Paramètres!$A$1:$I$89,3,0)*VLOOKUP('Données projet'!$B$13,Paramètres!$A$1:$I$89,5,0)</f>
        <v>-2.0018546820210759E-13</v>
      </c>
      <c r="CV187" s="13" t="e">
        <f t="shared" si="173"/>
        <v>#NUM!</v>
      </c>
      <c r="CW187" s="20" t="e">
        <f t="shared" si="174"/>
        <v>#NUM!</v>
      </c>
      <c r="CX187" s="57" t="e">
        <f t="shared" si="122"/>
        <v>#NUM!</v>
      </c>
      <c r="CY187" s="57">
        <f ca="1">AVERAGE(OFFSET($CX$3,0,0,'Données projet'!$E$13+1,1))-AVERAGE(OFFSET($H$3,0,0,'Données projet'!$E$13+1,1))</f>
        <v>365.99625753737246</v>
      </c>
      <c r="CZ187" s="57">
        <f t="shared" si="150"/>
        <v>242.84814712692287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86.266167611419817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86.266167611419817</v>
      </c>
      <c r="DJ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69.34074153869922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2.2737367544323206E-13</v>
      </c>
      <c r="DP187" s="17">
        <f>DO187*VLOOKUP('Données projet'!$B$14,Paramètres!$A$1:$I$89,3,0)*VLOOKUP('Données projet'!$B$14,Paramètres!$A$1:$I$89,5,0)</f>
        <v>1.4897523215040565E-13</v>
      </c>
      <c r="DQ187" s="13">
        <f t="shared" si="176"/>
        <v>2.136562777003313E-12</v>
      </c>
      <c r="DR187" s="20">
        <f t="shared" si="177"/>
        <v>3.9806453659427267E-12</v>
      </c>
      <c r="DS187" s="57">
        <f t="shared" si="125"/>
        <v>290.91605230856777</v>
      </c>
      <c r="DT187" s="57">
        <f ca="1">AVERAGE(OFFSET($DS$3,0,0,'Données projet'!$E$14+1,1))-AVERAGE(OFFSET($H$3,0,0,'Données projet'!$E$14+1,1))</f>
        <v>313.79279628660527</v>
      </c>
      <c r="DU187" s="57">
        <f t="shared" si="152"/>
        <v>317.45469955216254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14.381001376525894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14.381001376525894</v>
      </c>
      <c r="EE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69.34074153869922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-1.1368683772161603E-13</v>
      </c>
      <c r="EK187" s="17">
        <f>EJ187*VLOOKUP('Données projet'!$B$15,Paramètres!$A$1:$I$89,3,0)*VLOOKUP('Données projet'!$B$15,Paramètres!$A$1:$I$89,5,0)</f>
        <v>-9.7543306765146564E-14</v>
      </c>
      <c r="EL187" s="13" t="e">
        <f t="shared" si="179"/>
        <v>#NUM!</v>
      </c>
      <c r="EM187" s="20" t="e">
        <f t="shared" si="180"/>
        <v>#NUM!</v>
      </c>
      <c r="EN187" s="57" t="e">
        <f t="shared" si="128"/>
        <v>#NUM!</v>
      </c>
      <c r="EO187" s="57">
        <f ca="1">AVERAGE(OFFSET($EN$3,0,0,'Données projet'!$E$15+1,1))-AVERAGE(OFFSET($H$3,0,0,'Données projet'!$E$15+1,1))</f>
        <v>643.04899298561475</v>
      </c>
      <c r="EP187" s="57">
        <f t="shared" si="154"/>
        <v>474.94999304483031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53.305104495981709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53.305104495981709</v>
      </c>
      <c r="EZ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69.34074153869922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>
        <f>FE187*VLOOKUP('Données projet'!$B$16,Paramètres!$A$1:$I$89,3,0)*VLOOKUP('Données projet'!$B$16,Paramètres!$A$1:$I$89,5,0)</f>
        <v>0</v>
      </c>
      <c r="FG187" s="13" t="e">
        <f t="shared" si="182"/>
        <v>#NUM!</v>
      </c>
      <c r="FH187" s="20" t="e">
        <f t="shared" si="183"/>
        <v>#NUM!</v>
      </c>
      <c r="FI187" s="57" t="e">
        <f t="shared" si="131"/>
        <v>#NUM!</v>
      </c>
      <c r="FJ187" s="57">
        <f ca="1">AVERAGE(OFFSET($FI$3,0,0,'Données projet'!$E$16+1,1))-AVERAGE(OFFSET($H$3,0,0,'Données projet'!$E$16+1,1))</f>
        <v>375.34603719604439</v>
      </c>
      <c r="FK187" s="57">
        <f t="shared" si="156"/>
        <v>363.99476973672211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20.184489836156075</v>
      </c>
      <c r="FR187" s="21">
        <f>EXP(-LN(2)/25)*FR186+(1-EXP(-LN(2)/25))/(LN(2)/25)*Calculateur!FM187*Calculateur!FO187*VLOOKUP('Données projet'!$B$16,Paramètres!$A$1:$I$89,3,0)*0.475*44/12</f>
        <v>0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20.184489836156075</v>
      </c>
      <c r="FU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69.34074153869922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-1.1368683772161603E-13</v>
      </c>
      <c r="GA187" s="17">
        <f>FZ187*VLOOKUP('Données projet'!$B$17,Paramètres!$A$1:$I$89,3,0)*VLOOKUP('Données projet'!$B$17,Paramètres!$A$1:$I$89,5,0)</f>
        <v>-6.3550942286383367E-14</v>
      </c>
      <c r="GB187" s="13" t="e">
        <f t="shared" si="185"/>
        <v>#NUM!</v>
      </c>
      <c r="GC187" s="20" t="e">
        <f t="shared" si="186"/>
        <v>#NUM!</v>
      </c>
      <c r="GD187" s="57" t="e">
        <f t="shared" si="134"/>
        <v>#NUM!</v>
      </c>
      <c r="GE187" s="57">
        <f ca="1">AVERAGE(OFFSET($GD$3,0,0,'Données projet'!$E$17+1,1))-AVERAGE(OFFSET($H$3,0,0,'Données projet'!$E$17+1,1))</f>
        <v>414.47327143450701</v>
      </c>
      <c r="GF187" s="57">
        <f t="shared" si="158"/>
        <v>546.83385887302961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22.944901003175541</v>
      </c>
      <c r="GM187" s="21">
        <f>EXP(-LN(2)/25)*GM186+(1-EXP(-LN(2)/25))/(LN(2)/25)*Calculateur!GH187*Calculateur!GJ187*VLOOKUP('Données projet'!$B$17,Paramètres!$A$1:$I$89,3,0)*0.475*44/12</f>
        <v>1.7320058333416226</v>
      </c>
      <c r="GN187" s="21">
        <f>EXP(-LN(2)/2)*GN186+(1-EXP(-LN(2)/2))/(LN(2)/2)*GH187*GK187*VLOOKUP('Données projet'!$B$17,Paramètres!$A$1:$I$89,3,0)*0.475*44/12</f>
        <v>1.1261328879885924E-18</v>
      </c>
      <c r="GO187" s="21">
        <f t="shared" si="187"/>
        <v>24.676906836517166</v>
      </c>
      <c r="GP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69.34074153869922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-2.2737367544323206E-13</v>
      </c>
      <c r="GV187" s="17">
        <f>GU187*VLOOKUP('Données projet'!$B$18,Paramètres!$A$1:$I$89,3,0)*VLOOKUP('Données projet'!$B$18,Paramètres!$A$1:$I$89,5,0)</f>
        <v>-1.2414602679200471E-13</v>
      </c>
      <c r="GW187" s="13" t="e">
        <f t="shared" si="188"/>
        <v>#NUM!</v>
      </c>
      <c r="GX187" s="20" t="e">
        <f t="shared" si="189"/>
        <v>#NUM!</v>
      </c>
      <c r="GY187" s="57" t="e">
        <f t="shared" si="137"/>
        <v>#NUM!</v>
      </c>
      <c r="GZ187" s="57">
        <f ca="1">AVERAGE(OFFSET($GY$3,0,0,'Données projet'!$E$18+1,1))-AVERAGE(OFFSET($H$3,0,0,'Données projet'!$E$18+1,1))</f>
        <v>381.00532469288714</v>
      </c>
      <c r="HA187" s="57">
        <f t="shared" si="160"/>
        <v>314.875259641757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>
        <f>EXP(-LN(2)/35)*HG186+(1-EXP(-LN(2)/35))/(LN(2)/35)*HC187*HD187*VLOOKUP('Données projet'!$B$18,Paramètres!$A$1:$I$89,3,0)*0.475*44/12</f>
        <v>38.654037199906362</v>
      </c>
      <c r="HH187" s="21">
        <f>EXP(-LN(2)/25)*HH186+(1-EXP(-LN(2)/25))/(LN(2)/25)*Calculateur!HC187*Calculateur!HE187*VLOOKUP('Données projet'!$B$18,Paramètres!$A$1:$I$89,3,0)*0.475*44/12</f>
        <v>3.213467546734234</v>
      </c>
      <c r="HI187" s="21">
        <f>EXP(-LN(2)/2)*HI186+(1-EXP(-LN(2)/2))/(LN(2)/2)*HC187*HF187*VLOOKUP('Données projet'!$B$18,Paramètres!$A$1:$I$89,3,0)*0.475*44/12</f>
        <v>5.6781556332374491E-12</v>
      </c>
      <c r="HJ187" s="22">
        <f t="shared" si="190"/>
        <v>41.867504746646276</v>
      </c>
    </row>
    <row r="188" spans="1:218" x14ac:dyDescent="0.2">
      <c r="A188" s="10">
        <f t="shared" si="161"/>
        <v>185</v>
      </c>
      <c r="B188" s="71">
        <f>'Scénario référence'!$B$16*5+'Scénario référence'!$B$17*0+'Scénario référence'!$B$18*5</f>
        <v>3.3000000000000003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12.100000000000001</v>
      </c>
      <c r="H188" s="65">
        <f t="shared" si="110"/>
        <v>208.26666666666665</v>
      </c>
      <c r="I188" s="6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69.352178199121667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-1.1527845344971866E-13</v>
      </c>
      <c r="P188" s="13" t="e">
        <f t="shared" si="141"/>
        <v>#NUM!</v>
      </c>
      <c r="Q188" s="20" t="e">
        <f t="shared" si="162"/>
        <v>#NUM!</v>
      </c>
      <c r="R188" s="57" t="e">
        <f t="shared" si="109"/>
        <v>#NUM!</v>
      </c>
      <c r="S188" s="57">
        <f ca="1">AVERAGE(OFFSET($R$3,0,0,'Données projet'!$E$9+1,1))-AVERAGE(OFFSET($H$3,0,0,'Données projet'!$E$9+1,1))</f>
        <v>332.70145542047612</v>
      </c>
      <c r="T188" s="57">
        <f t="shared" si="142"/>
        <v>172.22433737900428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31.338313142787914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31.338313142787914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69.352178199121667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-2.9842794901924208E-13</v>
      </c>
      <c r="AJ188" s="13">
        <f>AI188*VLOOKUP('Données projet'!$B$10,Paramètres!$A$1:$I$89,3,0)*VLOOKUP('Données projet'!$B$10,Paramètres!$A$1:$I$89,5,0)</f>
        <v>-2.7001760827261026E-13</v>
      </c>
      <c r="AK188" s="13" t="e">
        <f t="shared" si="164"/>
        <v>#NUM!</v>
      </c>
      <c r="AL188" s="20" t="e">
        <f t="shared" si="165"/>
        <v>#NUM!</v>
      </c>
      <c r="AM188" s="57" t="e">
        <f t="shared" si="113"/>
        <v>#NUM!</v>
      </c>
      <c r="AN188" s="57">
        <f ca="1">AVERAGE(OFFSET($AM$3,0,0,'Données projet'!$E$10+1,1))-AVERAGE(OFFSET($H$3,0,0,'Données projet'!$E$10+1,1))</f>
        <v>469.4210143164521</v>
      </c>
      <c r="AO188" s="57">
        <f t="shared" si="144"/>
        <v>308.4508386530556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92.553270934719691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92.553270934719691</v>
      </c>
      <c r="AY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69.352178199121667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7" t="e">
        <f t="shared" si="116"/>
        <v>#NUM!</v>
      </c>
      <c r="BI188" s="57">
        <f ca="1">AVERAGE(OFFSET($BH$3,0,0,'Données projet'!$E$11+1,1))-AVERAGE(OFFSET($H$3,0,0,'Données projet'!$E$11+1,1))</f>
        <v>344.32981377462971</v>
      </c>
      <c r="BJ188" s="57">
        <f t="shared" si="146"/>
        <v>334.42512656625763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14.511223140029777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14.511223140029777</v>
      </c>
      <c r="BT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69.352178199121667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4.5474735088646412E-13</v>
      </c>
      <c r="BZ188" s="13">
        <f>BY188*VLOOKUP('Données projet'!$B$12,Paramètres!$A$1:$I$89,3,0)*VLOOKUP('Données projet'!$B$12,Paramètres!$A$1:$I$89,5,0)</f>
        <v>4.3273757910355926E-13</v>
      </c>
      <c r="CA188" s="13">
        <f t="shared" si="170"/>
        <v>5.4817614357080839E-12</v>
      </c>
      <c r="CB188" s="20">
        <f t="shared" si="171"/>
        <v>1.0301085784130276E-11</v>
      </c>
      <c r="CC188" s="57">
        <f t="shared" si="119"/>
        <v>290.95798673012308</v>
      </c>
      <c r="CD188" s="57">
        <f ca="1">AVERAGE(OFFSET($CC$3,0,0,'Données projet'!$E$12+1,1))-AVERAGE(OFFSET($H$3,0,0,'Données projet'!$E$12+1,1))</f>
        <v>498.77732039282807</v>
      </c>
      <c r="CE188" s="57">
        <f t="shared" si="148"/>
        <v>384.57317421826531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51.082257746814498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51.082257746814498</v>
      </c>
      <c r="CO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69.352178199121667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-2.9842794901924208E-13</v>
      </c>
      <c r="CU188" s="17">
        <f>CT188*VLOOKUP('Données projet'!$B$13,Paramètres!$A$1:$I$89,3,0)*VLOOKUP('Données projet'!$B$13,Paramètres!$A$1:$I$89,5,0)</f>
        <v>-2.0018546820210759E-13</v>
      </c>
      <c r="CV188" s="13" t="e">
        <f t="shared" si="173"/>
        <v>#NUM!</v>
      </c>
      <c r="CW188" s="20" t="e">
        <f t="shared" si="174"/>
        <v>#NUM!</v>
      </c>
      <c r="CX188" s="57" t="e">
        <f t="shared" si="122"/>
        <v>#NUM!</v>
      </c>
      <c r="CY188" s="57">
        <f ca="1">AVERAGE(OFFSET($CX$3,0,0,'Données projet'!$E$13+1,1))-AVERAGE(OFFSET($H$3,0,0,'Données projet'!$E$13+1,1))</f>
        <v>365.99625753737246</v>
      </c>
      <c r="CZ188" s="57">
        <f t="shared" si="150"/>
        <v>242.84814712692287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84.574540681726603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84.574540681726603</v>
      </c>
      <c r="DJ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69.352178199121667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2.2737367544323206E-13</v>
      </c>
      <c r="DP188" s="17">
        <f>DO188*VLOOKUP('Données projet'!$B$14,Paramètres!$A$1:$I$89,3,0)*VLOOKUP('Données projet'!$B$14,Paramètres!$A$1:$I$89,5,0)</f>
        <v>1.4897523215040565E-13</v>
      </c>
      <c r="DQ188" s="13">
        <f t="shared" si="176"/>
        <v>2.136562777003313E-12</v>
      </c>
      <c r="DR188" s="20">
        <f t="shared" si="177"/>
        <v>3.9806453659427267E-12</v>
      </c>
      <c r="DS188" s="57">
        <f t="shared" si="125"/>
        <v>290.95798673011677</v>
      </c>
      <c r="DT188" s="57">
        <f ca="1">AVERAGE(OFFSET($DS$3,0,0,'Données projet'!$E$14+1,1))-AVERAGE(OFFSET($H$3,0,0,'Données projet'!$E$14+1,1))</f>
        <v>313.79279628660527</v>
      </c>
      <c r="DU188" s="57">
        <f t="shared" si="152"/>
        <v>317.45469955216254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14.098998711076943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14.098998711076943</v>
      </c>
      <c r="EE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69.352178199121667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-1.1368683772161603E-13</v>
      </c>
      <c r="EK188" s="17">
        <f>EJ188*VLOOKUP('Données projet'!$B$15,Paramètres!$A$1:$I$89,3,0)*VLOOKUP('Données projet'!$B$15,Paramètres!$A$1:$I$89,5,0)</f>
        <v>-9.7543306765146564E-14</v>
      </c>
      <c r="EL188" s="13" t="e">
        <f t="shared" si="179"/>
        <v>#NUM!</v>
      </c>
      <c r="EM188" s="20" t="e">
        <f t="shared" si="180"/>
        <v>#NUM!</v>
      </c>
      <c r="EN188" s="57" t="e">
        <f t="shared" si="128"/>
        <v>#NUM!</v>
      </c>
      <c r="EO188" s="57">
        <f ca="1">AVERAGE(OFFSET($EN$3,0,0,'Données projet'!$E$15+1,1))-AVERAGE(OFFSET($H$3,0,0,'Données projet'!$E$15+1,1))</f>
        <v>643.04899298561475</v>
      </c>
      <c r="EP188" s="57">
        <f t="shared" si="154"/>
        <v>474.94999304483031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52.259823909718868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52.259823909718868</v>
      </c>
      <c r="EZ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69.352178199121667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>
        <f>FE188*VLOOKUP('Données projet'!$B$16,Paramètres!$A$1:$I$89,3,0)*VLOOKUP('Données projet'!$B$16,Paramètres!$A$1:$I$89,5,0)</f>
        <v>0</v>
      </c>
      <c r="FG188" s="13" t="e">
        <f t="shared" si="182"/>
        <v>#NUM!</v>
      </c>
      <c r="FH188" s="20" t="e">
        <f t="shared" si="183"/>
        <v>#NUM!</v>
      </c>
      <c r="FI188" s="57" t="e">
        <f t="shared" si="131"/>
        <v>#NUM!</v>
      </c>
      <c r="FJ188" s="57">
        <f ca="1">AVERAGE(OFFSET($FI$3,0,0,'Données projet'!$E$16+1,1))-AVERAGE(OFFSET($H$3,0,0,'Données projet'!$E$16+1,1))</f>
        <v>375.34603719604439</v>
      </c>
      <c r="FK188" s="57">
        <f t="shared" si="156"/>
        <v>363.99476973672211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19.788684301792212</v>
      </c>
      <c r="FR188" s="21">
        <f>EXP(-LN(2)/25)*FR187+(1-EXP(-LN(2)/25))/(LN(2)/25)*Calculateur!FM188*Calculateur!FO188*VLOOKUP('Données projet'!$B$16,Paramètres!$A$1:$I$89,3,0)*0.475*44/12</f>
        <v>0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19.788684301792212</v>
      </c>
      <c r="FU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69.352178199121667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-1.1368683772161603E-13</v>
      </c>
      <c r="GA188" s="17">
        <f>FZ188*VLOOKUP('Données projet'!$B$17,Paramètres!$A$1:$I$89,3,0)*VLOOKUP('Données projet'!$B$17,Paramètres!$A$1:$I$89,5,0)</f>
        <v>-6.3550942286383367E-14</v>
      </c>
      <c r="GB188" s="13" t="e">
        <f t="shared" si="185"/>
        <v>#NUM!</v>
      </c>
      <c r="GC188" s="20" t="e">
        <f t="shared" si="186"/>
        <v>#NUM!</v>
      </c>
      <c r="GD188" s="57" t="e">
        <f t="shared" si="134"/>
        <v>#NUM!</v>
      </c>
      <c r="GE188" s="57">
        <f ca="1">AVERAGE(OFFSET($GD$3,0,0,'Données projet'!$E$17+1,1))-AVERAGE(OFFSET($H$3,0,0,'Données projet'!$E$17+1,1))</f>
        <v>414.47327143450701</v>
      </c>
      <c r="GF188" s="57">
        <f t="shared" si="158"/>
        <v>546.83385887302961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22.494965489510989</v>
      </c>
      <c r="GM188" s="21">
        <f>EXP(-LN(2)/25)*GM187+(1-EXP(-LN(2)/25))/(LN(2)/25)*Calculateur!GH188*Calculateur!GJ188*VLOOKUP('Données projet'!$B$17,Paramètres!$A$1:$I$89,3,0)*0.475*44/12</f>
        <v>1.6846440427466678</v>
      </c>
      <c r="GN188" s="21">
        <f>EXP(-LN(2)/2)*GN187+(1-EXP(-LN(2)/2))/(LN(2)/2)*GH188*GK188*VLOOKUP('Données projet'!$B$17,Paramètres!$A$1:$I$89,3,0)*0.475*44/12</f>
        <v>7.9629620161392442E-19</v>
      </c>
      <c r="GO188" s="21">
        <f t="shared" si="187"/>
        <v>24.179609532257658</v>
      </c>
      <c r="GP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69.352178199121667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-2.2737367544323206E-13</v>
      </c>
      <c r="GV188" s="17">
        <f>GU188*VLOOKUP('Données projet'!$B$18,Paramètres!$A$1:$I$89,3,0)*VLOOKUP('Données projet'!$B$18,Paramètres!$A$1:$I$89,5,0)</f>
        <v>-1.2414602679200471E-13</v>
      </c>
      <c r="GW188" s="13" t="e">
        <f t="shared" si="188"/>
        <v>#NUM!</v>
      </c>
      <c r="GX188" s="20" t="e">
        <f t="shared" si="189"/>
        <v>#NUM!</v>
      </c>
      <c r="GY188" s="57" t="e">
        <f t="shared" si="137"/>
        <v>#NUM!</v>
      </c>
      <c r="GZ188" s="57">
        <f ca="1">AVERAGE(OFFSET($GY$3,0,0,'Données projet'!$E$18+1,1))-AVERAGE(OFFSET($H$3,0,0,'Données projet'!$E$18+1,1))</f>
        <v>381.00532469288714</v>
      </c>
      <c r="HA188" s="57">
        <f t="shared" si="160"/>
        <v>314.875259641757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>
        <f>EXP(-LN(2)/35)*HG187+(1-EXP(-LN(2)/35))/(LN(2)/35)*HC188*HD188*VLOOKUP('Données projet'!$B$18,Paramètres!$A$1:$I$89,3,0)*0.475*44/12</f>
        <v>37.896055107050891</v>
      </c>
      <c r="HH188" s="21">
        <f>EXP(-LN(2)/25)*HH187+(1-EXP(-LN(2)/25))/(LN(2)/25)*Calculateur!HC188*Calculateur!HE188*VLOOKUP('Données projet'!$B$18,Paramètres!$A$1:$I$89,3,0)*0.475*44/12</f>
        <v>3.1255951076798727</v>
      </c>
      <c r="HI188" s="21">
        <f>EXP(-LN(2)/2)*HI187+(1-EXP(-LN(2)/2))/(LN(2)/2)*HC188*HF188*VLOOKUP('Données projet'!$B$18,Paramètres!$A$1:$I$89,3,0)*0.475*44/12</f>
        <v>4.0150623528947951E-12</v>
      </c>
      <c r="HJ188" s="22">
        <f t="shared" si="190"/>
        <v>41.021650214734777</v>
      </c>
    </row>
    <row r="189" spans="1:218" x14ac:dyDescent="0.2">
      <c r="A189" s="10">
        <f t="shared" si="161"/>
        <v>186</v>
      </c>
      <c r="B189" s="71">
        <f>'Scénario référence'!$B$16*5+'Scénario référence'!$B$17*0+'Scénario référence'!$B$18*5</f>
        <v>3.3000000000000003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12.100000000000001</v>
      </c>
      <c r="H189" s="65">
        <f t="shared" si="110"/>
        <v>208.26666666666665</v>
      </c>
      <c r="I189" s="6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69.363416459054335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-1.1527845344971866E-13</v>
      </c>
      <c r="P189" s="13" t="e">
        <f t="shared" si="141"/>
        <v>#NUM!</v>
      </c>
      <c r="Q189" s="20" t="e">
        <f t="shared" si="162"/>
        <v>#NUM!</v>
      </c>
      <c r="R189" s="57" t="e">
        <f t="shared" si="109"/>
        <v>#NUM!</v>
      </c>
      <c r="S189" s="57">
        <f ca="1">AVERAGE(OFFSET($R$3,0,0,'Données projet'!$E$9+1,1))-AVERAGE(OFFSET($H$3,0,0,'Données projet'!$E$9+1,1))</f>
        <v>332.70145542047612</v>
      </c>
      <c r="T189" s="57">
        <f t="shared" si="142"/>
        <v>172.22433737900428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30.723787936541463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30.723787936541463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69.363416459054335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-2.9842794901924208E-13</v>
      </c>
      <c r="AJ189" s="13">
        <f>AI189*VLOOKUP('Données projet'!$B$10,Paramètres!$A$1:$I$89,3,0)*VLOOKUP('Données projet'!$B$10,Paramètres!$A$1:$I$89,5,0)</f>
        <v>-2.7001760827261026E-13</v>
      </c>
      <c r="AK189" s="13" t="e">
        <f t="shared" si="164"/>
        <v>#NUM!</v>
      </c>
      <c r="AL189" s="20" t="e">
        <f t="shared" si="165"/>
        <v>#NUM!</v>
      </c>
      <c r="AM189" s="57" t="e">
        <f t="shared" si="113"/>
        <v>#NUM!</v>
      </c>
      <c r="AN189" s="57">
        <f ca="1">AVERAGE(OFFSET($AM$3,0,0,'Données projet'!$E$10+1,1))-AVERAGE(OFFSET($H$3,0,0,'Données projet'!$E$10+1,1))</f>
        <v>469.4210143164521</v>
      </c>
      <c r="AO189" s="57">
        <f t="shared" si="144"/>
        <v>308.4508386530556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90.738357743610948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90.738357743610948</v>
      </c>
      <c r="AY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69.363416459054335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7" t="e">
        <f t="shared" si="116"/>
        <v>#NUM!</v>
      </c>
      <c r="BI189" s="57">
        <f ca="1">AVERAGE(OFFSET($BH$3,0,0,'Données projet'!$E$11+1,1))-AVERAGE(OFFSET($H$3,0,0,'Données projet'!$E$11+1,1))</f>
        <v>344.32981377462971</v>
      </c>
      <c r="BJ189" s="57">
        <f t="shared" si="146"/>
        <v>334.42512656625763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14.226666905225947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14.226666905225947</v>
      </c>
      <c r="BT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69.363416459054335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4.5474735088646412E-13</v>
      </c>
      <c r="BZ189" s="13">
        <f>BY189*VLOOKUP('Données projet'!$B$12,Paramètres!$A$1:$I$89,3,0)*VLOOKUP('Données projet'!$B$12,Paramètres!$A$1:$I$89,5,0)</f>
        <v>4.3273757910355926E-13</v>
      </c>
      <c r="CA189" s="13">
        <f t="shared" si="170"/>
        <v>5.4817614357080839E-12</v>
      </c>
      <c r="CB189" s="20">
        <f t="shared" si="171"/>
        <v>1.0301085784130276E-11</v>
      </c>
      <c r="CC189" s="57">
        <f t="shared" si="119"/>
        <v>290.99919368320951</v>
      </c>
      <c r="CD189" s="57">
        <f ca="1">AVERAGE(OFFSET($CC$3,0,0,'Données projet'!$E$12+1,1))-AVERAGE(OFFSET($H$3,0,0,'Données projet'!$E$12+1,1))</f>
        <v>498.77732039282807</v>
      </c>
      <c r="CE189" s="57">
        <f t="shared" si="148"/>
        <v>384.57317421826531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50.080565829500181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50.080565829500181</v>
      </c>
      <c r="CO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69.363416459054335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-2.9842794901924208E-13</v>
      </c>
      <c r="CU189" s="17">
        <f>CT189*VLOOKUP('Données projet'!$B$13,Paramètres!$A$1:$I$89,3,0)*VLOOKUP('Données projet'!$B$13,Paramètres!$A$1:$I$89,5,0)</f>
        <v>-2.0018546820210759E-13</v>
      </c>
      <c r="CV189" s="13" t="e">
        <f t="shared" si="173"/>
        <v>#NUM!</v>
      </c>
      <c r="CW189" s="20" t="e">
        <f t="shared" si="174"/>
        <v>#NUM!</v>
      </c>
      <c r="CX189" s="57" t="e">
        <f t="shared" si="122"/>
        <v>#NUM!</v>
      </c>
      <c r="CY189" s="57">
        <f ca="1">AVERAGE(OFFSET($CX$3,0,0,'Données projet'!$E$13+1,1))-AVERAGE(OFFSET($H$3,0,0,'Données projet'!$E$13+1,1))</f>
        <v>365.99625753737246</v>
      </c>
      <c r="CZ189" s="57">
        <f t="shared" si="150"/>
        <v>242.84814712692287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82.916085524334122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82.916085524334122</v>
      </c>
      <c r="DJ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69.363416459054335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2.2737367544323206E-13</v>
      </c>
      <c r="DP189" s="17">
        <f>DO189*VLOOKUP('Données projet'!$B$14,Paramètres!$A$1:$I$89,3,0)*VLOOKUP('Données projet'!$B$14,Paramètres!$A$1:$I$89,5,0)</f>
        <v>1.4897523215040565E-13</v>
      </c>
      <c r="DQ189" s="13">
        <f t="shared" si="176"/>
        <v>2.136562777003313E-12</v>
      </c>
      <c r="DR189" s="20">
        <f t="shared" si="177"/>
        <v>3.9806453659427267E-12</v>
      </c>
      <c r="DS189" s="57">
        <f t="shared" si="125"/>
        <v>290.9991936832032</v>
      </c>
      <c r="DT189" s="57">
        <f ca="1">AVERAGE(OFFSET($DS$3,0,0,'Données projet'!$E$14+1,1))-AVERAGE(OFFSET($H$3,0,0,'Données projet'!$E$14+1,1))</f>
        <v>313.79279628660527</v>
      </c>
      <c r="DU189" s="57">
        <f t="shared" si="152"/>
        <v>317.45469955216254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13.822525945892805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13.822525945892805</v>
      </c>
      <c r="EE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69.363416459054335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-1.1368683772161603E-13</v>
      </c>
      <c r="EK189" s="17">
        <f>EJ189*VLOOKUP('Données projet'!$B$15,Paramètres!$A$1:$I$89,3,0)*VLOOKUP('Données projet'!$B$15,Paramètres!$A$1:$I$89,5,0)</f>
        <v>-9.7543306765146564E-14</v>
      </c>
      <c r="EL189" s="13" t="e">
        <f t="shared" si="179"/>
        <v>#NUM!</v>
      </c>
      <c r="EM189" s="20" t="e">
        <f t="shared" si="180"/>
        <v>#NUM!</v>
      </c>
      <c r="EN189" s="57" t="e">
        <f t="shared" si="128"/>
        <v>#NUM!</v>
      </c>
      <c r="EO189" s="57">
        <f ca="1">AVERAGE(OFFSET($EN$3,0,0,'Données projet'!$E$15+1,1))-AVERAGE(OFFSET($H$3,0,0,'Données projet'!$E$15+1,1))</f>
        <v>643.04899298561475</v>
      </c>
      <c r="EP189" s="57">
        <f t="shared" si="154"/>
        <v>474.94999304483031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51.235040638194434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51.235040638194434</v>
      </c>
      <c r="EZ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69.363416459054335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>
        <f>FE189*VLOOKUP('Données projet'!$B$16,Paramètres!$A$1:$I$89,3,0)*VLOOKUP('Données projet'!$B$16,Paramètres!$A$1:$I$89,5,0)</f>
        <v>0</v>
      </c>
      <c r="FG189" s="13" t="e">
        <f t="shared" si="182"/>
        <v>#NUM!</v>
      </c>
      <c r="FH189" s="20" t="e">
        <f t="shared" si="183"/>
        <v>#NUM!</v>
      </c>
      <c r="FI189" s="57" t="e">
        <f t="shared" si="131"/>
        <v>#NUM!</v>
      </c>
      <c r="FJ189" s="57">
        <f ca="1">AVERAGE(OFFSET($FI$3,0,0,'Données projet'!$E$16+1,1))-AVERAGE(OFFSET($H$3,0,0,'Données projet'!$E$16+1,1))</f>
        <v>375.34603719604439</v>
      </c>
      <c r="FK189" s="57">
        <f t="shared" si="156"/>
        <v>363.99476973672211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19.400640272539686</v>
      </c>
      <c r="FR189" s="21">
        <f>EXP(-LN(2)/25)*FR188+(1-EXP(-LN(2)/25))/(LN(2)/25)*Calculateur!FM189*Calculateur!FO189*VLOOKUP('Données projet'!$B$16,Paramètres!$A$1:$I$89,3,0)*0.475*44/12</f>
        <v>0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19.400640272539686</v>
      </c>
      <c r="FU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69.363416459054335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-1.1368683772161603E-13</v>
      </c>
      <c r="GA189" s="17">
        <f>FZ189*VLOOKUP('Données projet'!$B$17,Paramètres!$A$1:$I$89,3,0)*VLOOKUP('Données projet'!$B$17,Paramètres!$A$1:$I$89,5,0)</f>
        <v>-6.3550942286383367E-14</v>
      </c>
      <c r="GB189" s="13" t="e">
        <f t="shared" si="185"/>
        <v>#NUM!</v>
      </c>
      <c r="GC189" s="20" t="e">
        <f t="shared" si="186"/>
        <v>#NUM!</v>
      </c>
      <c r="GD189" s="57" t="e">
        <f t="shared" si="134"/>
        <v>#NUM!</v>
      </c>
      <c r="GE189" s="57">
        <f ca="1">AVERAGE(OFFSET($GD$3,0,0,'Données projet'!$E$17+1,1))-AVERAGE(OFFSET($H$3,0,0,'Données projet'!$E$17+1,1))</f>
        <v>414.47327143450701</v>
      </c>
      <c r="GF189" s="57">
        <f t="shared" si="158"/>
        <v>546.83385887302961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22.053852936835831</v>
      </c>
      <c r="GM189" s="21">
        <f>EXP(-LN(2)/25)*GM188+(1-EXP(-LN(2)/25))/(LN(2)/25)*Calculateur!GH189*Calculateur!GJ189*VLOOKUP('Données projet'!$B$17,Paramètres!$A$1:$I$89,3,0)*0.475*44/12</f>
        <v>1.6385773628061802</v>
      </c>
      <c r="GN189" s="21">
        <f>EXP(-LN(2)/2)*GN188+(1-EXP(-LN(2)/2))/(LN(2)/2)*GH189*GK189*VLOOKUP('Données projet'!$B$17,Paramètres!$A$1:$I$89,3,0)*0.475*44/12</f>
        <v>5.6306644399429618E-19</v>
      </c>
      <c r="GO189" s="21">
        <f t="shared" si="187"/>
        <v>23.692430299642012</v>
      </c>
      <c r="GP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69.363416459054335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-2.2737367544323206E-13</v>
      </c>
      <c r="GV189" s="17">
        <f>GU189*VLOOKUP('Données projet'!$B$18,Paramètres!$A$1:$I$89,3,0)*VLOOKUP('Données projet'!$B$18,Paramètres!$A$1:$I$89,5,0)</f>
        <v>-1.2414602679200471E-13</v>
      </c>
      <c r="GW189" s="13" t="e">
        <f t="shared" si="188"/>
        <v>#NUM!</v>
      </c>
      <c r="GX189" s="20" t="e">
        <f t="shared" si="189"/>
        <v>#NUM!</v>
      </c>
      <c r="GY189" s="57" t="e">
        <f t="shared" si="137"/>
        <v>#NUM!</v>
      </c>
      <c r="GZ189" s="57">
        <f ca="1">AVERAGE(OFFSET($GY$3,0,0,'Données projet'!$E$18+1,1))-AVERAGE(OFFSET($H$3,0,0,'Données projet'!$E$18+1,1))</f>
        <v>381.00532469288714</v>
      </c>
      <c r="HA189" s="57">
        <f t="shared" si="160"/>
        <v>314.875259641757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>
        <f>EXP(-LN(2)/35)*HG188+(1-EXP(-LN(2)/35))/(LN(2)/35)*HC189*HD189*VLOOKUP('Données projet'!$B$18,Paramètres!$A$1:$I$89,3,0)*0.475*44/12</f>
        <v>37.15293658071289</v>
      </c>
      <c r="HH189" s="21">
        <f>EXP(-LN(2)/25)*HH188+(1-EXP(-LN(2)/25))/(LN(2)/25)*Calculateur!HC189*Calculateur!HE189*VLOOKUP('Données projet'!$B$18,Paramètres!$A$1:$I$89,3,0)*0.475*44/12</f>
        <v>3.0401255450924634</v>
      </c>
      <c r="HI189" s="21">
        <f>EXP(-LN(2)/2)*HI188+(1-EXP(-LN(2)/2))/(LN(2)/2)*HC189*HF189*VLOOKUP('Données projet'!$B$18,Paramètres!$A$1:$I$89,3,0)*0.475*44/12</f>
        <v>2.8390778166187245E-12</v>
      </c>
      <c r="HJ189" s="22">
        <f t="shared" si="190"/>
        <v>40.193062125808197</v>
      </c>
    </row>
    <row r="190" spans="1:218" x14ac:dyDescent="0.2">
      <c r="A190" s="10">
        <f t="shared" si="161"/>
        <v>187</v>
      </c>
      <c r="B190" s="71">
        <f>'Scénario référence'!$B$16*5+'Scénario référence'!$B$17*0+'Scénario référence'!$B$18*5</f>
        <v>3.3000000000000003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12.100000000000001</v>
      </c>
      <c r="H190" s="65">
        <f t="shared" si="110"/>
        <v>208.26666666666665</v>
      </c>
      <c r="I190" s="6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69.374459760302159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-1.1527845344971866E-13</v>
      </c>
      <c r="P190" s="13" t="e">
        <f t="shared" si="141"/>
        <v>#NUM!</v>
      </c>
      <c r="Q190" s="20" t="e">
        <f t="shared" si="162"/>
        <v>#NUM!</v>
      </c>
      <c r="R190" s="57" t="e">
        <f t="shared" si="109"/>
        <v>#NUM!</v>
      </c>
      <c r="S190" s="57">
        <f ca="1">AVERAGE(OFFSET($R$3,0,0,'Données projet'!$E$9+1,1))-AVERAGE(OFFSET($H$3,0,0,'Données projet'!$E$9+1,1))</f>
        <v>332.70145542047612</v>
      </c>
      <c r="T190" s="57">
        <f t="shared" si="142"/>
        <v>172.22433737900428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30.121313194766138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30.121313194766138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69.374459760302159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-2.9842794901924208E-13</v>
      </c>
      <c r="AJ190" s="13">
        <f>AI190*VLOOKUP('Données projet'!$B$10,Paramètres!$A$1:$I$89,3,0)*VLOOKUP('Données projet'!$B$10,Paramètres!$A$1:$I$89,5,0)</f>
        <v>-2.7001760827261026E-13</v>
      </c>
      <c r="AK190" s="13" t="e">
        <f t="shared" si="164"/>
        <v>#NUM!</v>
      </c>
      <c r="AL190" s="20" t="e">
        <f t="shared" si="165"/>
        <v>#NUM!</v>
      </c>
      <c r="AM190" s="57" t="e">
        <f t="shared" si="113"/>
        <v>#NUM!</v>
      </c>
      <c r="AN190" s="57">
        <f ca="1">AVERAGE(OFFSET($AM$3,0,0,'Données projet'!$E$10+1,1))-AVERAGE(OFFSET($H$3,0,0,'Données projet'!$E$10+1,1))</f>
        <v>469.4210143164521</v>
      </c>
      <c r="AO190" s="57">
        <f t="shared" si="144"/>
        <v>308.4508386530556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88.9590338931921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88.9590338931921</v>
      </c>
      <c r="AY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69.374459760302159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7" t="e">
        <f t="shared" si="116"/>
        <v>#NUM!</v>
      </c>
      <c r="BI190" s="57">
        <f ca="1">AVERAGE(OFFSET($BH$3,0,0,'Données projet'!$E$11+1,1))-AVERAGE(OFFSET($H$3,0,0,'Données projet'!$E$11+1,1))</f>
        <v>344.32981377462971</v>
      </c>
      <c r="BJ190" s="57">
        <f t="shared" si="146"/>
        <v>334.42512656625763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13.947690644624455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13.947690644624455</v>
      </c>
      <c r="BT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69.374459760302159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4.5474735088646412E-13</v>
      </c>
      <c r="BZ190" s="13">
        <f>BY190*VLOOKUP('Données projet'!$B$12,Paramètres!$A$1:$I$89,3,0)*VLOOKUP('Données projet'!$B$12,Paramètres!$A$1:$I$89,5,0)</f>
        <v>4.3273757910355926E-13</v>
      </c>
      <c r="CA190" s="13">
        <f t="shared" si="170"/>
        <v>5.4817614357080839E-12</v>
      </c>
      <c r="CB190" s="20">
        <f t="shared" si="171"/>
        <v>1.0301085784130276E-11</v>
      </c>
      <c r="CC190" s="57">
        <f t="shared" si="119"/>
        <v>291.03968578778483</v>
      </c>
      <c r="CD190" s="57">
        <f ca="1">AVERAGE(OFFSET($CC$3,0,0,'Données projet'!$E$12+1,1))-AVERAGE(OFFSET($H$3,0,0,'Données projet'!$E$12+1,1))</f>
        <v>498.77732039282807</v>
      </c>
      <c r="CE190" s="57">
        <f t="shared" si="148"/>
        <v>384.57317421826531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49.098516479712657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49.098516479712657</v>
      </c>
      <c r="CO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69.374459760302159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-2.9842794901924208E-13</v>
      </c>
      <c r="CU190" s="17">
        <f>CT190*VLOOKUP('Données projet'!$B$13,Paramètres!$A$1:$I$89,3,0)*VLOOKUP('Données projet'!$B$13,Paramètres!$A$1:$I$89,5,0)</f>
        <v>-2.0018546820210759E-13</v>
      </c>
      <c r="CV190" s="13" t="e">
        <f t="shared" si="173"/>
        <v>#NUM!</v>
      </c>
      <c r="CW190" s="20" t="e">
        <f t="shared" si="174"/>
        <v>#NUM!</v>
      </c>
      <c r="CX190" s="57" t="e">
        <f t="shared" si="122"/>
        <v>#NUM!</v>
      </c>
      <c r="CY190" s="57">
        <f ca="1">AVERAGE(OFFSET($CX$3,0,0,'Données projet'!$E$13+1,1))-AVERAGE(OFFSET($H$3,0,0,'Données projet'!$E$13+1,1))</f>
        <v>365.99625753737246</v>
      </c>
      <c r="CZ190" s="57">
        <f t="shared" si="150"/>
        <v>242.84814712692287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81.290151661020346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81.290151661020346</v>
      </c>
      <c r="DJ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69.374459760302159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2.2737367544323206E-13</v>
      </c>
      <c r="DP190" s="17">
        <f>DO190*VLOOKUP('Données projet'!$B$14,Paramètres!$A$1:$I$89,3,0)*VLOOKUP('Données projet'!$B$14,Paramètres!$A$1:$I$89,5,0)</f>
        <v>1.4897523215040565E-13</v>
      </c>
      <c r="DQ190" s="13">
        <f t="shared" si="176"/>
        <v>2.136562777003313E-12</v>
      </c>
      <c r="DR190" s="20">
        <f t="shared" si="177"/>
        <v>3.9806453659427267E-12</v>
      </c>
      <c r="DS190" s="57">
        <f t="shared" si="125"/>
        <v>291.03968578777852</v>
      </c>
      <c r="DT190" s="57">
        <f ca="1">AVERAGE(OFFSET($DS$3,0,0,'Données projet'!$E$14+1,1))-AVERAGE(OFFSET($H$3,0,0,'Données projet'!$E$14+1,1))</f>
        <v>313.79279628660527</v>
      </c>
      <c r="DU190" s="57">
        <f t="shared" si="152"/>
        <v>317.45469955216254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13.551474643002191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13.551474643002191</v>
      </c>
      <c r="EE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69.374459760302159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-1.1368683772161603E-13</v>
      </c>
      <c r="EK190" s="17">
        <f>EJ190*VLOOKUP('Données projet'!$B$15,Paramètres!$A$1:$I$89,3,0)*VLOOKUP('Données projet'!$B$15,Paramètres!$A$1:$I$89,5,0)</f>
        <v>-9.7543306765146564E-14</v>
      </c>
      <c r="EL190" s="13" t="e">
        <f t="shared" si="179"/>
        <v>#NUM!</v>
      </c>
      <c r="EM190" s="20" t="e">
        <f t="shared" si="180"/>
        <v>#NUM!</v>
      </c>
      <c r="EN190" s="57" t="e">
        <f t="shared" si="128"/>
        <v>#NUM!</v>
      </c>
      <c r="EO190" s="57">
        <f ca="1">AVERAGE(OFFSET($EN$3,0,0,'Données projet'!$E$15+1,1))-AVERAGE(OFFSET($H$3,0,0,'Données projet'!$E$15+1,1))</f>
        <v>643.04899298561475</v>
      </c>
      <c r="EP190" s="57">
        <f t="shared" si="154"/>
        <v>474.94999304483031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50.230352741568524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50.230352741568524</v>
      </c>
      <c r="EZ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69.374459760302159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>
        <f>FE190*VLOOKUP('Données projet'!$B$16,Paramètres!$A$1:$I$89,3,0)*VLOOKUP('Données projet'!$B$16,Paramètres!$A$1:$I$89,5,0)</f>
        <v>0</v>
      </c>
      <c r="FG190" s="13" t="e">
        <f t="shared" si="182"/>
        <v>#NUM!</v>
      </c>
      <c r="FH190" s="20" t="e">
        <f t="shared" si="183"/>
        <v>#NUM!</v>
      </c>
      <c r="FI190" s="57" t="e">
        <f t="shared" si="131"/>
        <v>#NUM!</v>
      </c>
      <c r="FJ190" s="57">
        <f ca="1">AVERAGE(OFFSET($FI$3,0,0,'Données projet'!$E$16+1,1))-AVERAGE(OFFSET($H$3,0,0,'Données projet'!$E$16+1,1))</f>
        <v>375.34603719604439</v>
      </c>
      <c r="FK190" s="57">
        <f t="shared" si="156"/>
        <v>363.99476973672211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19.020205550017316</v>
      </c>
      <c r="FR190" s="21">
        <f>EXP(-LN(2)/25)*FR189+(1-EXP(-LN(2)/25))/(LN(2)/25)*Calculateur!FM190*Calculateur!FO190*VLOOKUP('Données projet'!$B$16,Paramètres!$A$1:$I$89,3,0)*0.475*44/12</f>
        <v>0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19.020205550017316</v>
      </c>
      <c r="FU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69.374459760302159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-1.1368683772161603E-13</v>
      </c>
      <c r="GA190" s="17">
        <f>FZ190*VLOOKUP('Données projet'!$B$17,Paramètres!$A$1:$I$89,3,0)*VLOOKUP('Données projet'!$B$17,Paramètres!$A$1:$I$89,5,0)</f>
        <v>-6.3550942286383367E-14</v>
      </c>
      <c r="GB190" s="13" t="e">
        <f t="shared" si="185"/>
        <v>#NUM!</v>
      </c>
      <c r="GC190" s="20" t="e">
        <f t="shared" si="186"/>
        <v>#NUM!</v>
      </c>
      <c r="GD190" s="57" t="e">
        <f t="shared" si="134"/>
        <v>#NUM!</v>
      </c>
      <c r="GE190" s="57">
        <f ca="1">AVERAGE(OFFSET($GD$3,0,0,'Données projet'!$E$17+1,1))-AVERAGE(OFFSET($H$3,0,0,'Données projet'!$E$17+1,1))</f>
        <v>414.47327143450701</v>
      </c>
      <c r="GF190" s="57">
        <f t="shared" si="158"/>
        <v>546.83385887302961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21.621390332266543</v>
      </c>
      <c r="GM190" s="21">
        <f>EXP(-LN(2)/25)*GM189+(1-EXP(-LN(2)/25))/(LN(2)/25)*Calculateur!GH190*Calculateur!GJ190*VLOOKUP('Données projet'!$B$17,Paramètres!$A$1:$I$89,3,0)*0.475*44/12</f>
        <v>1.5937703786512067</v>
      </c>
      <c r="GN190" s="21">
        <f>EXP(-LN(2)/2)*GN189+(1-EXP(-LN(2)/2))/(LN(2)/2)*GH190*GK190*VLOOKUP('Données projet'!$B$17,Paramètres!$A$1:$I$89,3,0)*0.475*44/12</f>
        <v>3.9814810080696221E-19</v>
      </c>
      <c r="GO190" s="21">
        <f t="shared" si="187"/>
        <v>23.21516071091775</v>
      </c>
      <c r="GP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69.374459760302159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-2.2737367544323206E-13</v>
      </c>
      <c r="GV190" s="17">
        <f>GU190*VLOOKUP('Données projet'!$B$18,Paramètres!$A$1:$I$89,3,0)*VLOOKUP('Données projet'!$B$18,Paramètres!$A$1:$I$89,5,0)</f>
        <v>-1.2414602679200471E-13</v>
      </c>
      <c r="GW190" s="13" t="e">
        <f t="shared" si="188"/>
        <v>#NUM!</v>
      </c>
      <c r="GX190" s="20" t="e">
        <f t="shared" si="189"/>
        <v>#NUM!</v>
      </c>
      <c r="GY190" s="57" t="e">
        <f t="shared" si="137"/>
        <v>#NUM!</v>
      </c>
      <c r="GZ190" s="57">
        <f ca="1">AVERAGE(OFFSET($GY$3,0,0,'Données projet'!$E$18+1,1))-AVERAGE(OFFSET($H$3,0,0,'Données projet'!$E$18+1,1))</f>
        <v>381.00532469288714</v>
      </c>
      <c r="HA190" s="57">
        <f t="shared" si="160"/>
        <v>314.875259641757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>
        <f>EXP(-LN(2)/35)*HG189+(1-EXP(-LN(2)/35))/(LN(2)/35)*HC190*HD190*VLOOKUP('Données projet'!$B$18,Paramètres!$A$1:$I$89,3,0)*0.475*44/12</f>
        <v>36.424390155418834</v>
      </c>
      <c r="HH190" s="21">
        <f>EXP(-LN(2)/25)*HH189+(1-EXP(-LN(2)/25))/(LN(2)/25)*Calculateur!HC190*Calculateur!HE190*VLOOKUP('Données projet'!$B$18,Paramètres!$A$1:$I$89,3,0)*0.475*44/12</f>
        <v>2.9569931521886557</v>
      </c>
      <c r="HI190" s="21">
        <f>EXP(-LN(2)/2)*HI189+(1-EXP(-LN(2)/2))/(LN(2)/2)*HC190*HF190*VLOOKUP('Données projet'!$B$18,Paramètres!$A$1:$I$89,3,0)*0.475*44/12</f>
        <v>2.0075311764473975E-12</v>
      </c>
      <c r="HJ190" s="22">
        <f t="shared" si="190"/>
        <v>39.381383307609504</v>
      </c>
    </row>
    <row r="191" spans="1:218" x14ac:dyDescent="0.2">
      <c r="A191" s="10">
        <f t="shared" si="161"/>
        <v>188</v>
      </c>
      <c r="B191" s="71">
        <f>'Scénario référence'!$B$16*5+'Scénario référence'!$B$17*0+'Scénario référence'!$B$18*5</f>
        <v>3.3000000000000003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12.100000000000001</v>
      </c>
      <c r="H191" s="65">
        <f t="shared" si="110"/>
        <v>208.26666666666665</v>
      </c>
      <c r="I191" s="6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69.385311484962443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-1.1527845344971866E-13</v>
      </c>
      <c r="P191" s="13" t="e">
        <f t="shared" si="141"/>
        <v>#NUM!</v>
      </c>
      <c r="Q191" s="20" t="e">
        <f t="shared" si="162"/>
        <v>#NUM!</v>
      </c>
      <c r="R191" s="57" t="e">
        <f t="shared" si="109"/>
        <v>#NUM!</v>
      </c>
      <c r="S191" s="57">
        <f ca="1">AVERAGE(OFFSET($R$3,0,0,'Données projet'!$E$9+1,1))-AVERAGE(OFFSET($H$3,0,0,'Données projet'!$E$9+1,1))</f>
        <v>332.70145542047612</v>
      </c>
      <c r="T191" s="57">
        <f t="shared" si="142"/>
        <v>172.22433737900428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29.530652615203721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29.530652615203721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69.385311484962443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-2.9842794901924208E-13</v>
      </c>
      <c r="AJ191" s="13">
        <f>AI191*VLOOKUP('Données projet'!$B$10,Paramètres!$A$1:$I$89,3,0)*VLOOKUP('Données projet'!$B$10,Paramètres!$A$1:$I$89,5,0)</f>
        <v>-2.7001760827261026E-13</v>
      </c>
      <c r="AK191" s="13" t="e">
        <f t="shared" si="164"/>
        <v>#NUM!</v>
      </c>
      <c r="AL191" s="20" t="e">
        <f t="shared" si="165"/>
        <v>#NUM!</v>
      </c>
      <c r="AM191" s="57" t="e">
        <f t="shared" si="113"/>
        <v>#NUM!</v>
      </c>
      <c r="AN191" s="57">
        <f ca="1">AVERAGE(OFFSET($AM$3,0,0,'Données projet'!$E$10+1,1))-AVERAGE(OFFSET($H$3,0,0,'Données projet'!$E$10+1,1))</f>
        <v>469.4210143164521</v>
      </c>
      <c r="AO191" s="57">
        <f t="shared" si="144"/>
        <v>308.4508386530556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87.214601498199585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87.214601498199585</v>
      </c>
      <c r="AY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69.385311484962443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7" t="e">
        <f t="shared" si="116"/>
        <v>#NUM!</v>
      </c>
      <c r="BI191" s="57">
        <f ca="1">AVERAGE(OFFSET($BH$3,0,0,'Données projet'!$E$11+1,1))-AVERAGE(OFFSET($H$3,0,0,'Données projet'!$E$11+1,1))</f>
        <v>344.32981377462971</v>
      </c>
      <c r="BJ191" s="57">
        <f t="shared" si="146"/>
        <v>334.42512656625763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13.674184938334641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13.674184938334641</v>
      </c>
      <c r="BT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69.385311484962443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4.5474735088646412E-13</v>
      </c>
      <c r="BZ191" s="13">
        <f>BY191*VLOOKUP('Données projet'!$B$12,Paramètres!$A$1:$I$89,3,0)*VLOOKUP('Données projet'!$B$12,Paramètres!$A$1:$I$89,5,0)</f>
        <v>4.3273757910355926E-13</v>
      </c>
      <c r="CA191" s="13">
        <f t="shared" si="170"/>
        <v>5.4817614357080839E-12</v>
      </c>
      <c r="CB191" s="20">
        <f t="shared" si="171"/>
        <v>1.0301085784130276E-11</v>
      </c>
      <c r="CC191" s="57">
        <f t="shared" si="119"/>
        <v>291.07947544487257</v>
      </c>
      <c r="CD191" s="57">
        <f ca="1">AVERAGE(OFFSET($CC$3,0,0,'Données projet'!$E$12+1,1))-AVERAGE(OFFSET($H$3,0,0,'Données projet'!$E$12+1,1))</f>
        <v>498.77732039282807</v>
      </c>
      <c r="CE191" s="57">
        <f t="shared" si="148"/>
        <v>384.57317421826531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48.13572451868351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48.13572451868351</v>
      </c>
      <c r="CO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69.385311484962443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-2.9842794901924208E-13</v>
      </c>
      <c r="CU191" s="17">
        <f>CT191*VLOOKUP('Données projet'!$B$13,Paramètres!$A$1:$I$89,3,0)*VLOOKUP('Données projet'!$B$13,Paramètres!$A$1:$I$89,5,0)</f>
        <v>-2.0018546820210759E-13</v>
      </c>
      <c r="CV191" s="13" t="e">
        <f t="shared" si="173"/>
        <v>#NUM!</v>
      </c>
      <c r="CW191" s="20" t="e">
        <f t="shared" si="174"/>
        <v>#NUM!</v>
      </c>
      <c r="CX191" s="57" t="e">
        <f t="shared" si="122"/>
        <v>#NUM!</v>
      </c>
      <c r="CY191" s="57">
        <f ca="1">AVERAGE(OFFSET($CX$3,0,0,'Données projet'!$E$13+1,1))-AVERAGE(OFFSET($H$3,0,0,'Données projet'!$E$13+1,1))</f>
        <v>365.99625753737246</v>
      </c>
      <c r="CZ191" s="57">
        <f t="shared" si="150"/>
        <v>242.84814712692287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79.696101369044428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79.696101369044428</v>
      </c>
      <c r="DJ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69.385311484962443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2.2737367544323206E-13</v>
      </c>
      <c r="DP191" s="17">
        <f>DO191*VLOOKUP('Données projet'!$B$14,Paramètres!$A$1:$I$89,3,0)*VLOOKUP('Données projet'!$B$14,Paramètres!$A$1:$I$89,5,0)</f>
        <v>1.4897523215040565E-13</v>
      </c>
      <c r="DQ191" s="13">
        <f t="shared" si="176"/>
        <v>2.136562777003313E-12</v>
      </c>
      <c r="DR191" s="20">
        <f t="shared" si="177"/>
        <v>3.9806453659427267E-12</v>
      </c>
      <c r="DS191" s="57">
        <f t="shared" si="125"/>
        <v>291.07947544486626</v>
      </c>
      <c r="DT191" s="57">
        <f ca="1">AVERAGE(OFFSET($DS$3,0,0,'Données projet'!$E$14+1,1))-AVERAGE(OFFSET($H$3,0,0,'Données projet'!$E$14+1,1))</f>
        <v>313.79279628660527</v>
      </c>
      <c r="DU191" s="57">
        <f t="shared" si="152"/>
        <v>317.45469955216254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13.285738490836291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13.285738490836291</v>
      </c>
      <c r="EE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69.385311484962443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-1.1368683772161603E-13</v>
      </c>
      <c r="EK191" s="17">
        <f>EJ191*VLOOKUP('Données projet'!$B$15,Paramètres!$A$1:$I$89,3,0)*VLOOKUP('Données projet'!$B$15,Paramètres!$A$1:$I$89,5,0)</f>
        <v>-9.7543306765146564E-14</v>
      </c>
      <c r="EL191" s="13" t="e">
        <f t="shared" si="179"/>
        <v>#NUM!</v>
      </c>
      <c r="EM191" s="20" t="e">
        <f t="shared" si="180"/>
        <v>#NUM!</v>
      </c>
      <c r="EN191" s="57" t="e">
        <f t="shared" si="128"/>
        <v>#NUM!</v>
      </c>
      <c r="EO191" s="57">
        <f ca="1">AVERAGE(OFFSET($EN$3,0,0,'Données projet'!$E$15+1,1))-AVERAGE(OFFSET($H$3,0,0,'Données projet'!$E$15+1,1))</f>
        <v>643.04899298561475</v>
      </c>
      <c r="EP191" s="57">
        <f t="shared" si="154"/>
        <v>474.94999304483031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49.245366161796333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49.245366161796333</v>
      </c>
      <c r="EZ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69.385311484962443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>
        <f>FE191*VLOOKUP('Données projet'!$B$16,Paramètres!$A$1:$I$89,3,0)*VLOOKUP('Données projet'!$B$16,Paramètres!$A$1:$I$89,5,0)</f>
        <v>0</v>
      </c>
      <c r="FG191" s="13" t="e">
        <f t="shared" si="182"/>
        <v>#NUM!</v>
      </c>
      <c r="FH191" s="20" t="e">
        <f t="shared" si="183"/>
        <v>#NUM!</v>
      </c>
      <c r="FI191" s="57" t="e">
        <f t="shared" si="131"/>
        <v>#NUM!</v>
      </c>
      <c r="FJ191" s="57">
        <f ca="1">AVERAGE(OFFSET($FI$3,0,0,'Données projet'!$E$16+1,1))-AVERAGE(OFFSET($H$3,0,0,'Données projet'!$E$16+1,1))</f>
        <v>375.34603719604439</v>
      </c>
      <c r="FK191" s="57">
        <f t="shared" si="156"/>
        <v>363.99476973672211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18.647230920361341</v>
      </c>
      <c r="FR191" s="21">
        <f>EXP(-LN(2)/25)*FR190+(1-EXP(-LN(2)/25))/(LN(2)/25)*Calculateur!FM191*Calculateur!FO191*VLOOKUP('Données projet'!$B$16,Paramètres!$A$1:$I$89,3,0)*0.475*44/12</f>
        <v>0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18.647230920361341</v>
      </c>
      <c r="FU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69.385311484962443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-1.1368683772161603E-13</v>
      </c>
      <c r="GA191" s="17">
        <f>FZ191*VLOOKUP('Données projet'!$B$17,Paramètres!$A$1:$I$89,3,0)*VLOOKUP('Données projet'!$B$17,Paramètres!$A$1:$I$89,5,0)</f>
        <v>-6.3550942286383367E-14</v>
      </c>
      <c r="GB191" s="13" t="e">
        <f t="shared" si="185"/>
        <v>#NUM!</v>
      </c>
      <c r="GC191" s="20" t="e">
        <f t="shared" si="186"/>
        <v>#NUM!</v>
      </c>
      <c r="GD191" s="57" t="e">
        <f t="shared" si="134"/>
        <v>#NUM!</v>
      </c>
      <c r="GE191" s="57">
        <f ca="1">AVERAGE(OFFSET($GD$3,0,0,'Données projet'!$E$17+1,1))-AVERAGE(OFFSET($H$3,0,0,'Données projet'!$E$17+1,1))</f>
        <v>414.47327143450701</v>
      </c>
      <c r="GF191" s="57">
        <f t="shared" si="158"/>
        <v>546.83385887302961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21.197408055596718</v>
      </c>
      <c r="GM191" s="21">
        <f>EXP(-LN(2)/25)*GM190+(1-EXP(-LN(2)/25))/(LN(2)/25)*Calculateur!GH191*Calculateur!GJ191*VLOOKUP('Données projet'!$B$17,Paramètres!$A$1:$I$89,3,0)*0.475*44/12</f>
        <v>1.5501886438342478</v>
      </c>
      <c r="GN191" s="21">
        <f>EXP(-LN(2)/2)*GN190+(1-EXP(-LN(2)/2))/(LN(2)/2)*GH191*GK191*VLOOKUP('Données projet'!$B$17,Paramètres!$A$1:$I$89,3,0)*0.475*44/12</f>
        <v>2.8153322199714809E-19</v>
      </c>
      <c r="GO191" s="21">
        <f t="shared" si="187"/>
        <v>22.747596699430964</v>
      </c>
      <c r="GP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69.385311484962443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-2.2737367544323206E-13</v>
      </c>
      <c r="GV191" s="17">
        <f>GU191*VLOOKUP('Données projet'!$B$18,Paramètres!$A$1:$I$89,3,0)*VLOOKUP('Données projet'!$B$18,Paramètres!$A$1:$I$89,5,0)</f>
        <v>-1.2414602679200471E-13</v>
      </c>
      <c r="GW191" s="13" t="e">
        <f t="shared" si="188"/>
        <v>#NUM!</v>
      </c>
      <c r="GX191" s="20" t="e">
        <f t="shared" si="189"/>
        <v>#NUM!</v>
      </c>
      <c r="GY191" s="57" t="e">
        <f t="shared" si="137"/>
        <v>#NUM!</v>
      </c>
      <c r="GZ191" s="57">
        <f ca="1">AVERAGE(OFFSET($GY$3,0,0,'Données projet'!$E$18+1,1))-AVERAGE(OFFSET($H$3,0,0,'Données projet'!$E$18+1,1))</f>
        <v>381.00532469288714</v>
      </c>
      <c r="HA191" s="57">
        <f t="shared" si="160"/>
        <v>314.875259641757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>
        <f>EXP(-LN(2)/35)*HG190+(1-EXP(-LN(2)/35))/(LN(2)/35)*HC191*HD191*VLOOKUP('Données projet'!$B$18,Paramètres!$A$1:$I$89,3,0)*0.475*44/12</f>
        <v>35.710130081155349</v>
      </c>
      <c r="HH191" s="21">
        <f>EXP(-LN(2)/25)*HH190+(1-EXP(-LN(2)/25))/(LN(2)/25)*Calculateur!HC191*Calculateur!HE191*VLOOKUP('Données projet'!$B$18,Paramètres!$A$1:$I$89,3,0)*0.475*44/12</f>
        <v>2.8761340189405451</v>
      </c>
      <c r="HI191" s="21">
        <f>EXP(-LN(2)/2)*HI190+(1-EXP(-LN(2)/2))/(LN(2)/2)*HC191*HF191*VLOOKUP('Données projet'!$B$18,Paramètres!$A$1:$I$89,3,0)*0.475*44/12</f>
        <v>1.4195389083093623E-12</v>
      </c>
      <c r="HJ191" s="22">
        <f t="shared" si="190"/>
        <v>38.586264100097317</v>
      </c>
    </row>
    <row r="192" spans="1:218" x14ac:dyDescent="0.2">
      <c r="A192" s="10">
        <f t="shared" si="161"/>
        <v>189</v>
      </c>
      <c r="B192" s="71">
        <f>'Scénario référence'!$B$16*5+'Scénario référence'!$B$17*0+'Scénario référence'!$B$18*5</f>
        <v>3.3000000000000003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12.100000000000001</v>
      </c>
      <c r="H192" s="65">
        <f t="shared" si="110"/>
        <v>208.26666666666665</v>
      </c>
      <c r="I192" s="6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69.395974956460705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-1.1527845344971866E-13</v>
      </c>
      <c r="P192" s="13" t="e">
        <f t="shared" si="141"/>
        <v>#NUM!</v>
      </c>
      <c r="Q192" s="20" t="e">
        <f t="shared" si="162"/>
        <v>#NUM!</v>
      </c>
      <c r="R192" s="57" t="e">
        <f t="shared" si="109"/>
        <v>#NUM!</v>
      </c>
      <c r="S192" s="57">
        <f ca="1">AVERAGE(OFFSET($R$3,0,0,'Données projet'!$E$9+1,1))-AVERAGE(OFFSET($H$3,0,0,'Données projet'!$E$9+1,1))</f>
        <v>332.70145542047612</v>
      </c>
      <c r="T192" s="57">
        <f t="shared" si="142"/>
        <v>172.22433737900428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28.95157452933914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28.95157452933914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69.395974956460705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-2.9842794901924208E-13</v>
      </c>
      <c r="AJ192" s="13">
        <f>AI192*VLOOKUP('Données projet'!$B$10,Paramètres!$A$1:$I$89,3,0)*VLOOKUP('Données projet'!$B$10,Paramètres!$A$1:$I$89,5,0)</f>
        <v>-2.7001760827261026E-13</v>
      </c>
      <c r="AK192" s="13" t="e">
        <f t="shared" si="164"/>
        <v>#NUM!</v>
      </c>
      <c r="AL192" s="20" t="e">
        <f t="shared" si="165"/>
        <v>#NUM!</v>
      </c>
      <c r="AM192" s="57" t="e">
        <f t="shared" si="113"/>
        <v>#NUM!</v>
      </c>
      <c r="AN192" s="57">
        <f ca="1">AVERAGE(OFFSET($AM$3,0,0,'Données projet'!$E$10+1,1))-AVERAGE(OFFSET($H$3,0,0,'Données projet'!$E$10+1,1))</f>
        <v>469.4210143164521</v>
      </c>
      <c r="AO192" s="57">
        <f t="shared" si="144"/>
        <v>308.4508386530556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85.504376358474175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85.504376358474175</v>
      </c>
      <c r="AY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69.395974956460705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7" t="e">
        <f t="shared" si="116"/>
        <v>#NUM!</v>
      </c>
      <c r="BI192" s="57">
        <f ca="1">AVERAGE(OFFSET($BH$3,0,0,'Données projet'!$E$11+1,1))-AVERAGE(OFFSET($H$3,0,0,'Données projet'!$E$11+1,1))</f>
        <v>344.32981377462971</v>
      </c>
      <c r="BJ192" s="57">
        <f t="shared" si="146"/>
        <v>334.42512656625763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13.406042512123161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13.406042512123161</v>
      </c>
      <c r="BT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69.395974956460705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4.5474735088646412E-13</v>
      </c>
      <c r="BZ192" s="13">
        <f>BY192*VLOOKUP('Données projet'!$B$12,Paramètres!$A$1:$I$89,3,0)*VLOOKUP('Données projet'!$B$12,Paramètres!$A$1:$I$89,5,0)</f>
        <v>4.3273757910355926E-13</v>
      </c>
      <c r="CA192" s="13">
        <f t="shared" si="170"/>
        <v>5.4817614357080839E-12</v>
      </c>
      <c r="CB192" s="20">
        <f t="shared" si="171"/>
        <v>1.0301085784130276E-11</v>
      </c>
      <c r="CC192" s="57">
        <f t="shared" si="119"/>
        <v>291.11857484036619</v>
      </c>
      <c r="CD192" s="57">
        <f ca="1">AVERAGE(OFFSET($CC$3,0,0,'Données projet'!$E$12+1,1))-AVERAGE(OFFSET($H$3,0,0,'Données projet'!$E$12+1,1))</f>
        <v>498.77732039282807</v>
      </c>
      <c r="CE192" s="57">
        <f t="shared" si="148"/>
        <v>384.57317421826531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47.191812320765031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47.191812320765031</v>
      </c>
      <c r="CO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69.395974956460705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-2.9842794901924208E-13</v>
      </c>
      <c r="CU192" s="17">
        <f>CT192*VLOOKUP('Données projet'!$B$13,Paramètres!$A$1:$I$89,3,0)*VLOOKUP('Données projet'!$B$13,Paramètres!$A$1:$I$89,5,0)</f>
        <v>-2.0018546820210759E-13</v>
      </c>
      <c r="CV192" s="13" t="e">
        <f t="shared" si="173"/>
        <v>#NUM!</v>
      </c>
      <c r="CW192" s="20" t="e">
        <f t="shared" si="174"/>
        <v>#NUM!</v>
      </c>
      <c r="CX192" s="57" t="e">
        <f t="shared" si="122"/>
        <v>#NUM!</v>
      </c>
      <c r="CY192" s="57">
        <f ca="1">AVERAGE(OFFSET($CX$3,0,0,'Données projet'!$E$13+1,1))-AVERAGE(OFFSET($H$3,0,0,'Données projet'!$E$13+1,1))</f>
        <v>365.99625753737246</v>
      </c>
      <c r="CZ192" s="57">
        <f t="shared" si="150"/>
        <v>242.84814712692287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78.133309431019484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78.133309431019484</v>
      </c>
      <c r="DJ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69.395974956460705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2.2737367544323206E-13</v>
      </c>
      <c r="DP192" s="17">
        <f>DO192*VLOOKUP('Données projet'!$B$14,Paramètres!$A$1:$I$89,3,0)*VLOOKUP('Données projet'!$B$14,Paramètres!$A$1:$I$89,5,0)</f>
        <v>1.4897523215040565E-13</v>
      </c>
      <c r="DQ192" s="13">
        <f t="shared" si="176"/>
        <v>2.136562777003313E-12</v>
      </c>
      <c r="DR192" s="20">
        <f t="shared" si="177"/>
        <v>3.9806453659427267E-12</v>
      </c>
      <c r="DS192" s="57">
        <f t="shared" si="125"/>
        <v>291.11857484035988</v>
      </c>
      <c r="DT192" s="57">
        <f ca="1">AVERAGE(OFFSET($DS$3,0,0,'Données projet'!$E$14+1,1))-AVERAGE(OFFSET($H$3,0,0,'Données projet'!$E$14+1,1))</f>
        <v>313.79279628660527</v>
      </c>
      <c r="DU192" s="57">
        <f t="shared" si="152"/>
        <v>317.45469955216254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13.025213262531317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13.025213262531317</v>
      </c>
      <c r="EE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69.395974956460705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-1.1368683772161603E-13</v>
      </c>
      <c r="EK192" s="17">
        <f>EJ192*VLOOKUP('Données projet'!$B$15,Paramètres!$A$1:$I$89,3,0)*VLOOKUP('Données projet'!$B$15,Paramètres!$A$1:$I$89,5,0)</f>
        <v>-9.7543306765146564E-14</v>
      </c>
      <c r="EL192" s="13" t="e">
        <f t="shared" si="179"/>
        <v>#NUM!</v>
      </c>
      <c r="EM192" s="20" t="e">
        <f t="shared" si="180"/>
        <v>#NUM!</v>
      </c>
      <c r="EN192" s="57" t="e">
        <f t="shared" si="128"/>
        <v>#NUM!</v>
      </c>
      <c r="EO192" s="57">
        <f ca="1">AVERAGE(OFFSET($EN$3,0,0,'Données projet'!$E$15+1,1))-AVERAGE(OFFSET($H$3,0,0,'Données projet'!$E$15+1,1))</f>
        <v>643.04899298561475</v>
      </c>
      <c r="EP192" s="57">
        <f t="shared" si="154"/>
        <v>474.94999304483031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48.279694568070987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48.279694568070987</v>
      </c>
      <c r="EZ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69.395974956460705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>
        <f>FE192*VLOOKUP('Données projet'!$B$16,Paramètres!$A$1:$I$89,3,0)*VLOOKUP('Données projet'!$B$16,Paramètres!$A$1:$I$89,5,0)</f>
        <v>0</v>
      </c>
      <c r="FG192" s="13" t="e">
        <f t="shared" si="182"/>
        <v>#NUM!</v>
      </c>
      <c r="FH192" s="20" t="e">
        <f t="shared" si="183"/>
        <v>#NUM!</v>
      </c>
      <c r="FI192" s="57" t="e">
        <f t="shared" si="131"/>
        <v>#NUM!</v>
      </c>
      <c r="FJ192" s="57">
        <f ca="1">AVERAGE(OFFSET($FI$3,0,0,'Données projet'!$E$16+1,1))-AVERAGE(OFFSET($H$3,0,0,'Données projet'!$E$16+1,1))</f>
        <v>375.34603719604439</v>
      </c>
      <c r="FK192" s="57">
        <f t="shared" si="156"/>
        <v>363.99476973672211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18.281570095700857</v>
      </c>
      <c r="FR192" s="21">
        <f>EXP(-LN(2)/25)*FR191+(1-EXP(-LN(2)/25))/(LN(2)/25)*Calculateur!FM192*Calculateur!FO192*VLOOKUP('Données projet'!$B$16,Paramètres!$A$1:$I$89,3,0)*0.475*44/12</f>
        <v>0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18.281570095700857</v>
      </c>
      <c r="FU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69.395974956460705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-1.1368683772161603E-13</v>
      </c>
      <c r="GA192" s="17">
        <f>FZ192*VLOOKUP('Données projet'!$B$17,Paramètres!$A$1:$I$89,3,0)*VLOOKUP('Données projet'!$B$17,Paramètres!$A$1:$I$89,5,0)</f>
        <v>-6.3550942286383367E-14</v>
      </c>
      <c r="GB192" s="13" t="e">
        <f t="shared" si="185"/>
        <v>#NUM!</v>
      </c>
      <c r="GC192" s="20" t="e">
        <f t="shared" si="186"/>
        <v>#NUM!</v>
      </c>
      <c r="GD192" s="57" t="e">
        <f t="shared" si="134"/>
        <v>#NUM!</v>
      </c>
      <c r="GE192" s="57">
        <f ca="1">AVERAGE(OFFSET($GD$3,0,0,'Données projet'!$E$17+1,1))-AVERAGE(OFFSET($H$3,0,0,'Données projet'!$E$17+1,1))</f>
        <v>414.47327143450701</v>
      </c>
      <c r="GF192" s="57">
        <f t="shared" si="158"/>
        <v>546.83385887302961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20.781739812768734</v>
      </c>
      <c r="GM192" s="21">
        <f>EXP(-LN(2)/25)*GM191+(1-EXP(-LN(2)/25))/(LN(2)/25)*Calculateur!GH192*Calculateur!GJ192*VLOOKUP('Données projet'!$B$17,Paramètres!$A$1:$I$89,3,0)*0.475*44/12</f>
        <v>1.5077986538477226</v>
      </c>
      <c r="GN192" s="21">
        <f>EXP(-LN(2)/2)*GN191+(1-EXP(-LN(2)/2))/(LN(2)/2)*GH192*GK192*VLOOKUP('Données projet'!$B$17,Paramètres!$A$1:$I$89,3,0)*0.475*44/12</f>
        <v>1.990740504034811E-19</v>
      </c>
      <c r="GO192" s="21">
        <f t="shared" si="187"/>
        <v>22.289538466616456</v>
      </c>
      <c r="GP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69.395974956460705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-2.2737367544323206E-13</v>
      </c>
      <c r="GV192" s="17">
        <f>GU192*VLOOKUP('Données projet'!$B$18,Paramètres!$A$1:$I$89,3,0)*VLOOKUP('Données projet'!$B$18,Paramètres!$A$1:$I$89,5,0)</f>
        <v>-1.2414602679200471E-13</v>
      </c>
      <c r="GW192" s="13" t="e">
        <f t="shared" si="188"/>
        <v>#NUM!</v>
      </c>
      <c r="GX192" s="20" t="e">
        <f t="shared" si="189"/>
        <v>#NUM!</v>
      </c>
      <c r="GY192" s="57" t="e">
        <f t="shared" si="137"/>
        <v>#NUM!</v>
      </c>
      <c r="GZ192" s="57">
        <f ca="1">AVERAGE(OFFSET($GY$3,0,0,'Données projet'!$E$18+1,1))-AVERAGE(OFFSET($H$3,0,0,'Données projet'!$E$18+1,1))</f>
        <v>381.00532469288714</v>
      </c>
      <c r="HA192" s="57">
        <f t="shared" si="160"/>
        <v>314.875259641757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>
        <f>EXP(-LN(2)/35)*HG191+(1-EXP(-LN(2)/35))/(LN(2)/35)*HC192*HD192*VLOOKUP('Données projet'!$B$18,Paramètres!$A$1:$I$89,3,0)*0.475*44/12</f>
        <v>35.009876211292543</v>
      </c>
      <c r="HH192" s="21">
        <f>EXP(-LN(2)/25)*HH191+(1-EXP(-LN(2)/25))/(LN(2)/25)*Calculateur!HC192*Calculateur!HE192*VLOOKUP('Données projet'!$B$18,Paramètres!$A$1:$I$89,3,0)*0.475*44/12</f>
        <v>2.7974859829433014</v>
      </c>
      <c r="HI192" s="21">
        <f>EXP(-LN(2)/2)*HI191+(1-EXP(-LN(2)/2))/(LN(2)/2)*HC192*HF192*VLOOKUP('Données projet'!$B$18,Paramètres!$A$1:$I$89,3,0)*0.475*44/12</f>
        <v>1.0037655882236988E-12</v>
      </c>
      <c r="HJ192" s="22">
        <f t="shared" si="190"/>
        <v>37.807362194236845</v>
      </c>
    </row>
    <row r="193" spans="1:218" x14ac:dyDescent="0.2">
      <c r="A193" s="10">
        <f t="shared" si="161"/>
        <v>190</v>
      </c>
      <c r="B193" s="71">
        <f>'Scénario référence'!$B$16*5+'Scénario référence'!$B$17*0+'Scénario référence'!$B$18*5</f>
        <v>3.3000000000000003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12.100000000000001</v>
      </c>
      <c r="H193" s="65">
        <f t="shared" si="110"/>
        <v>208.26666666666665</v>
      </c>
      <c r="I193" s="6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69.406453440568413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-1.1527845344971866E-13</v>
      </c>
      <c r="P193" s="13" t="e">
        <f t="shared" si="141"/>
        <v>#NUM!</v>
      </c>
      <c r="Q193" s="20" t="e">
        <f t="shared" si="162"/>
        <v>#NUM!</v>
      </c>
      <c r="R193" s="57" t="e">
        <f t="shared" si="109"/>
        <v>#NUM!</v>
      </c>
      <c r="S193" s="57">
        <f ca="1">AVERAGE(OFFSET($R$3,0,0,'Données projet'!$E$9+1,1))-AVERAGE(OFFSET($H$3,0,0,'Données projet'!$E$9+1,1))</f>
        <v>332.70145542047612</v>
      </c>
      <c r="T193" s="57">
        <f t="shared" si="142"/>
        <v>172.22433737900428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28.38385181153561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28.38385181153561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69.406453440568413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-2.9842794901924208E-13</v>
      </c>
      <c r="AJ193" s="13">
        <f>AI193*VLOOKUP('Données projet'!$B$10,Paramètres!$A$1:$I$89,3,0)*VLOOKUP('Données projet'!$B$10,Paramètres!$A$1:$I$89,5,0)</f>
        <v>-2.7001760827261026E-13</v>
      </c>
      <c r="AK193" s="13" t="e">
        <f t="shared" si="164"/>
        <v>#NUM!</v>
      </c>
      <c r="AL193" s="20" t="e">
        <f t="shared" si="165"/>
        <v>#NUM!</v>
      </c>
      <c r="AM193" s="57" t="e">
        <f t="shared" si="113"/>
        <v>#NUM!</v>
      </c>
      <c r="AN193" s="57">
        <f ca="1">AVERAGE(OFFSET($AM$3,0,0,'Données projet'!$E$10+1,1))-AVERAGE(OFFSET($H$3,0,0,'Données projet'!$E$10+1,1))</f>
        <v>469.4210143164521</v>
      </c>
      <c r="AO193" s="57">
        <f t="shared" si="144"/>
        <v>308.4508386530556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83.827687690604435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83.827687690604435</v>
      </c>
      <c r="AY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69.406453440568413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7" t="e">
        <f t="shared" si="116"/>
        <v>#NUM!</v>
      </c>
      <c r="BI193" s="57">
        <f ca="1">AVERAGE(OFFSET($BH$3,0,0,'Données projet'!$E$11+1,1))-AVERAGE(OFFSET($H$3,0,0,'Données projet'!$E$11+1,1))</f>
        <v>344.32981377462971</v>
      </c>
      <c r="BJ193" s="57">
        <f t="shared" si="146"/>
        <v>334.42512656625763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13.143158195338959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13.143158195338959</v>
      </c>
      <c r="BT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69.406453440568413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4.5474735088646412E-13</v>
      </c>
      <c r="BZ193" s="13">
        <f>BY193*VLOOKUP('Données projet'!$B$12,Paramètres!$A$1:$I$89,3,0)*VLOOKUP('Données projet'!$B$12,Paramètres!$A$1:$I$89,5,0)</f>
        <v>4.3273757910355926E-13</v>
      </c>
      <c r="CA193" s="13">
        <f t="shared" si="170"/>
        <v>5.4817614357080839E-12</v>
      </c>
      <c r="CB193" s="20">
        <f t="shared" si="171"/>
        <v>1.0301085784130276E-11</v>
      </c>
      <c r="CC193" s="57">
        <f t="shared" si="119"/>
        <v>291.15699594876116</v>
      </c>
      <c r="CD193" s="57">
        <f ca="1">AVERAGE(OFFSET($CC$3,0,0,'Données projet'!$E$12+1,1))-AVERAGE(OFFSET($H$3,0,0,'Données projet'!$E$12+1,1))</f>
        <v>498.77732039282807</v>
      </c>
      <c r="CE193" s="57">
        <f t="shared" si="148"/>
        <v>384.57317421826531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46.266409665318143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46.266409665318143</v>
      </c>
      <c r="CO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69.406453440568413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-2.9842794901924208E-13</v>
      </c>
      <c r="CU193" s="17">
        <f>CT193*VLOOKUP('Données projet'!$B$13,Paramètres!$A$1:$I$89,3,0)*VLOOKUP('Données projet'!$B$13,Paramètres!$A$1:$I$89,5,0)</f>
        <v>-2.0018546820210759E-13</v>
      </c>
      <c r="CV193" s="13" t="e">
        <f t="shared" si="173"/>
        <v>#NUM!</v>
      </c>
      <c r="CW193" s="20" t="e">
        <f t="shared" si="174"/>
        <v>#NUM!</v>
      </c>
      <c r="CX193" s="57" t="e">
        <f t="shared" si="122"/>
        <v>#NUM!</v>
      </c>
      <c r="CY193" s="57">
        <f ca="1">AVERAGE(OFFSET($CX$3,0,0,'Données projet'!$E$13+1,1))-AVERAGE(OFFSET($H$3,0,0,'Données projet'!$E$13+1,1))</f>
        <v>365.99625753737246</v>
      </c>
      <c r="CZ193" s="57">
        <f t="shared" si="150"/>
        <v>242.84814712692287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76.601162889690244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76.601162889690244</v>
      </c>
      <c r="DJ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69.406453440568413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2.2737367544323206E-13</v>
      </c>
      <c r="DP193" s="17">
        <f>DO193*VLOOKUP('Données projet'!$B$14,Paramètres!$A$1:$I$89,3,0)*VLOOKUP('Données projet'!$B$14,Paramètres!$A$1:$I$89,5,0)</f>
        <v>1.4897523215040565E-13</v>
      </c>
      <c r="DQ193" s="13">
        <f t="shared" si="176"/>
        <v>2.136562777003313E-12</v>
      </c>
      <c r="DR193" s="20">
        <f t="shared" si="177"/>
        <v>3.9806453659427267E-12</v>
      </c>
      <c r="DS193" s="57">
        <f t="shared" si="125"/>
        <v>291.15699594875485</v>
      </c>
      <c r="DT193" s="57">
        <f ca="1">AVERAGE(OFFSET($DS$3,0,0,'Données projet'!$E$14+1,1))-AVERAGE(OFFSET($H$3,0,0,'Données projet'!$E$14+1,1))</f>
        <v>313.79279628660527</v>
      </c>
      <c r="DU193" s="57">
        <f t="shared" si="152"/>
        <v>317.45469955216254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12.769796775048704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12.769796775048704</v>
      </c>
      <c r="EE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69.406453440568413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-1.1368683772161603E-13</v>
      </c>
      <c r="EK193" s="17">
        <f>EJ193*VLOOKUP('Données projet'!$B$15,Paramètres!$A$1:$I$89,3,0)*VLOOKUP('Données projet'!$B$15,Paramètres!$A$1:$I$89,5,0)</f>
        <v>-9.7543306765146564E-14</v>
      </c>
      <c r="EL193" s="13" t="e">
        <f t="shared" si="179"/>
        <v>#NUM!</v>
      </c>
      <c r="EM193" s="20" t="e">
        <f t="shared" si="180"/>
        <v>#NUM!</v>
      </c>
      <c r="EN193" s="57" t="e">
        <f t="shared" si="128"/>
        <v>#NUM!</v>
      </c>
      <c r="EO193" s="57">
        <f ca="1">AVERAGE(OFFSET($EN$3,0,0,'Données projet'!$E$15+1,1))-AVERAGE(OFFSET($H$3,0,0,'Données projet'!$E$15+1,1))</f>
        <v>643.04899298561475</v>
      </c>
      <c r="EP193" s="57">
        <f t="shared" si="154"/>
        <v>474.94999304483031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47.33295920529708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47.33295920529708</v>
      </c>
      <c r="EZ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69.406453440568413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>
        <f>FE193*VLOOKUP('Données projet'!$B$16,Paramètres!$A$1:$I$89,3,0)*VLOOKUP('Données projet'!$B$16,Paramètres!$A$1:$I$89,5,0)</f>
        <v>0</v>
      </c>
      <c r="FG193" s="13" t="e">
        <f t="shared" si="182"/>
        <v>#NUM!</v>
      </c>
      <c r="FH193" s="20" t="e">
        <f t="shared" si="183"/>
        <v>#NUM!</v>
      </c>
      <c r="FI193" s="57" t="e">
        <f t="shared" si="131"/>
        <v>#NUM!</v>
      </c>
      <c r="FJ193" s="57">
        <f ca="1">AVERAGE(OFFSET($FI$3,0,0,'Données projet'!$E$16+1,1))-AVERAGE(OFFSET($H$3,0,0,'Données projet'!$E$16+1,1))</f>
        <v>375.34603719604439</v>
      </c>
      <c r="FK193" s="57">
        <f t="shared" si="156"/>
        <v>363.99476973672211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17.923079656780885</v>
      </c>
      <c r="FR193" s="21">
        <f>EXP(-LN(2)/25)*FR192+(1-EXP(-LN(2)/25))/(LN(2)/25)*Calculateur!FM193*Calculateur!FO193*VLOOKUP('Données projet'!$B$16,Paramètres!$A$1:$I$89,3,0)*0.475*44/12</f>
        <v>0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17.923079656780885</v>
      </c>
      <c r="FU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69.406453440568413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-1.1368683772161603E-13</v>
      </c>
      <c r="GA193" s="17">
        <f>FZ193*VLOOKUP('Données projet'!$B$17,Paramètres!$A$1:$I$89,3,0)*VLOOKUP('Données projet'!$B$17,Paramètres!$A$1:$I$89,5,0)</f>
        <v>-6.3550942286383367E-14</v>
      </c>
      <c r="GB193" s="13" t="e">
        <f t="shared" si="185"/>
        <v>#NUM!</v>
      </c>
      <c r="GC193" s="20" t="e">
        <f t="shared" si="186"/>
        <v>#NUM!</v>
      </c>
      <c r="GD193" s="57" t="e">
        <f t="shared" si="134"/>
        <v>#NUM!</v>
      </c>
      <c r="GE193" s="57">
        <f ca="1">AVERAGE(OFFSET($GD$3,0,0,'Données projet'!$E$17+1,1))-AVERAGE(OFFSET($H$3,0,0,'Données projet'!$E$17+1,1))</f>
        <v>414.47327143450701</v>
      </c>
      <c r="GF193" s="57">
        <f t="shared" si="158"/>
        <v>546.83385887302961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20.374222570650012</v>
      </c>
      <c r="GM193" s="21">
        <f>EXP(-LN(2)/25)*GM192+(1-EXP(-LN(2)/25))/(LN(2)/25)*Calculateur!GH193*Calculateur!GJ193*VLOOKUP('Données projet'!$B$17,Paramètres!$A$1:$I$89,3,0)*0.475*44/12</f>
        <v>1.4665678203665715</v>
      </c>
      <c r="GN193" s="21">
        <f>EXP(-LN(2)/2)*GN192+(1-EXP(-LN(2)/2))/(LN(2)/2)*GH193*GK193*VLOOKUP('Données projet'!$B$17,Paramètres!$A$1:$I$89,3,0)*0.475*44/12</f>
        <v>1.4076661099857404E-19</v>
      </c>
      <c r="GO193" s="21">
        <f t="shared" si="187"/>
        <v>21.840790391016583</v>
      </c>
      <c r="GP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69.406453440568413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-2.2737367544323206E-13</v>
      </c>
      <c r="GV193" s="17">
        <f>GU193*VLOOKUP('Données projet'!$B$18,Paramètres!$A$1:$I$89,3,0)*VLOOKUP('Données projet'!$B$18,Paramètres!$A$1:$I$89,5,0)</f>
        <v>-1.2414602679200471E-13</v>
      </c>
      <c r="GW193" s="13" t="e">
        <f t="shared" si="188"/>
        <v>#NUM!</v>
      </c>
      <c r="GX193" s="20" t="e">
        <f t="shared" si="189"/>
        <v>#NUM!</v>
      </c>
      <c r="GY193" s="57" t="e">
        <f t="shared" si="137"/>
        <v>#NUM!</v>
      </c>
      <c r="GZ193" s="57">
        <f ca="1">AVERAGE(OFFSET($GY$3,0,0,'Données projet'!$E$18+1,1))-AVERAGE(OFFSET($H$3,0,0,'Données projet'!$E$18+1,1))</f>
        <v>381.00532469288714</v>
      </c>
      <c r="HA193" s="57">
        <f t="shared" si="160"/>
        <v>314.875259641757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>
        <f>EXP(-LN(2)/35)*HG192+(1-EXP(-LN(2)/35))/(LN(2)/35)*HC193*HD193*VLOOKUP('Données projet'!$B$18,Paramètres!$A$1:$I$89,3,0)*0.475*44/12</f>
        <v>34.323353892705057</v>
      </c>
      <c r="HH193" s="21">
        <f>EXP(-LN(2)/25)*HH192+(1-EXP(-LN(2)/25))/(LN(2)/25)*Calculateur!HC193*Calculateur!HE193*VLOOKUP('Données projet'!$B$18,Paramètres!$A$1:$I$89,3,0)*0.475*44/12</f>
        <v>2.7209885816263228</v>
      </c>
      <c r="HI193" s="21">
        <f>EXP(-LN(2)/2)*HI192+(1-EXP(-LN(2)/2))/(LN(2)/2)*HC193*HF193*VLOOKUP('Données projet'!$B$18,Paramètres!$A$1:$I$89,3,0)*0.475*44/12</f>
        <v>7.0976945415468113E-13</v>
      </c>
      <c r="HJ193" s="22">
        <f t="shared" si="190"/>
        <v>37.04434247433209</v>
      </c>
    </row>
    <row r="194" spans="1:218" x14ac:dyDescent="0.2">
      <c r="A194" s="10">
        <f t="shared" si="161"/>
        <v>191</v>
      </c>
      <c r="B194" s="71">
        <f>'Scénario référence'!$B$16*5+'Scénario référence'!$B$17*0+'Scénario référence'!$B$18*5</f>
        <v>3.3000000000000003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12.100000000000001</v>
      </c>
      <c r="H194" s="65">
        <f t="shared" si="110"/>
        <v>208.26666666666665</v>
      </c>
      <c r="I194" s="6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69.416750146403231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-1.1527845344971866E-13</v>
      </c>
      <c r="P194" s="13" t="e">
        <f t="shared" si="141"/>
        <v>#NUM!</v>
      </c>
      <c r="Q194" s="20" t="e">
        <f t="shared" si="162"/>
        <v>#NUM!</v>
      </c>
      <c r="R194" s="57" t="e">
        <f t="shared" si="109"/>
        <v>#NUM!</v>
      </c>
      <c r="S194" s="57">
        <f ca="1">AVERAGE(OFFSET($R$3,0,0,'Données projet'!$E$9+1,1))-AVERAGE(OFFSET($H$3,0,0,'Données projet'!$E$9+1,1))</f>
        <v>332.70145542047612</v>
      </c>
      <c r="T194" s="57">
        <f t="shared" si="142"/>
        <v>172.22433737900428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27.827261789951539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27.827261789951539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69.416750146403231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-2.9842794901924208E-13</v>
      </c>
      <c r="AJ194" s="13">
        <f>AI194*VLOOKUP('Données projet'!$B$10,Paramètres!$A$1:$I$89,3,0)*VLOOKUP('Données projet'!$B$10,Paramètres!$A$1:$I$89,5,0)</f>
        <v>-2.7001760827261026E-13</v>
      </c>
      <c r="AK194" s="13" t="e">
        <f t="shared" si="164"/>
        <v>#NUM!</v>
      </c>
      <c r="AL194" s="20" t="e">
        <f t="shared" si="165"/>
        <v>#NUM!</v>
      </c>
      <c r="AM194" s="57" t="e">
        <f t="shared" si="113"/>
        <v>#NUM!</v>
      </c>
      <c r="AN194" s="57">
        <f ca="1">AVERAGE(OFFSET($AM$3,0,0,'Données projet'!$E$10+1,1))-AVERAGE(OFFSET($H$3,0,0,'Données projet'!$E$10+1,1))</f>
        <v>469.4210143164521</v>
      </c>
      <c r="AO194" s="57">
        <f t="shared" si="144"/>
        <v>308.4508386530556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82.183877864832525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82.183877864832525</v>
      </c>
      <c r="AY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69.416750146403231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7" t="e">
        <f t="shared" si="116"/>
        <v>#NUM!</v>
      </c>
      <c r="BI194" s="57">
        <f ca="1">AVERAGE(OFFSET($BH$3,0,0,'Données projet'!$E$11+1,1))-AVERAGE(OFFSET($H$3,0,0,'Données projet'!$E$11+1,1))</f>
        <v>344.32981377462971</v>
      </c>
      <c r="BJ194" s="57">
        <f t="shared" si="146"/>
        <v>334.42512656625763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12.885428879663294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12.885428879663294</v>
      </c>
      <c r="BT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69.416750146403231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4.5474735088646412E-13</v>
      </c>
      <c r="BZ194" s="13">
        <f>BY194*VLOOKUP('Données projet'!$B$12,Paramètres!$A$1:$I$89,3,0)*VLOOKUP('Données projet'!$B$12,Paramètres!$A$1:$I$89,5,0)</f>
        <v>4.3273757910355926E-13</v>
      </c>
      <c r="CA194" s="13">
        <f t="shared" si="170"/>
        <v>5.4817614357080839E-12</v>
      </c>
      <c r="CB194" s="20">
        <f t="shared" si="171"/>
        <v>1.0301085784130276E-11</v>
      </c>
      <c r="CC194" s="57">
        <f t="shared" si="119"/>
        <v>291.19475053682214</v>
      </c>
      <c r="CD194" s="57">
        <f ca="1">AVERAGE(OFFSET($CC$3,0,0,'Données projet'!$E$12+1,1))-AVERAGE(OFFSET($H$3,0,0,'Données projet'!$E$12+1,1))</f>
        <v>498.77732039282807</v>
      </c>
      <c r="CE194" s="57">
        <f t="shared" si="148"/>
        <v>384.57317421826531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45.359153591504686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45.359153591504686</v>
      </c>
      <c r="CO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69.416750146403231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-2.9842794901924208E-13</v>
      </c>
      <c r="CU194" s="17">
        <f>CT194*VLOOKUP('Données projet'!$B$13,Paramètres!$A$1:$I$89,3,0)*VLOOKUP('Données projet'!$B$13,Paramètres!$A$1:$I$89,5,0)</f>
        <v>-2.0018546820210759E-13</v>
      </c>
      <c r="CV194" s="13" t="e">
        <f t="shared" si="173"/>
        <v>#NUM!</v>
      </c>
      <c r="CW194" s="20" t="e">
        <f t="shared" si="174"/>
        <v>#NUM!</v>
      </c>
      <c r="CX194" s="57" t="e">
        <f t="shared" si="122"/>
        <v>#NUM!</v>
      </c>
      <c r="CY194" s="57">
        <f ca="1">AVERAGE(OFFSET($CX$3,0,0,'Données projet'!$E$13+1,1))-AVERAGE(OFFSET($H$3,0,0,'Données projet'!$E$13+1,1))</f>
        <v>365.99625753737246</v>
      </c>
      <c r="CZ194" s="57">
        <f t="shared" si="150"/>
        <v>242.84814712692287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75.099060807519351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75.099060807519351</v>
      </c>
      <c r="DJ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69.416750146403231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2.2737367544323206E-13</v>
      </c>
      <c r="DP194" s="17">
        <f>DO194*VLOOKUP('Données projet'!$B$14,Paramètres!$A$1:$I$89,3,0)*VLOOKUP('Données projet'!$B$14,Paramètres!$A$1:$I$89,5,0)</f>
        <v>1.4897523215040565E-13</v>
      </c>
      <c r="DQ194" s="13">
        <f t="shared" si="176"/>
        <v>2.136562777003313E-12</v>
      </c>
      <c r="DR194" s="20">
        <f t="shared" si="177"/>
        <v>3.9806453659427267E-12</v>
      </c>
      <c r="DS194" s="57">
        <f t="shared" si="125"/>
        <v>291.19475053681583</v>
      </c>
      <c r="DT194" s="57">
        <f ca="1">AVERAGE(OFFSET($DS$3,0,0,'Données projet'!$E$14+1,1))-AVERAGE(OFFSET($H$3,0,0,'Données projet'!$E$14+1,1))</f>
        <v>313.79279628660527</v>
      </c>
      <c r="DU194" s="57">
        <f t="shared" si="152"/>
        <v>317.45469955216254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12.51938884909695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12.51938884909695</v>
      </c>
      <c r="EE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69.416750146403231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-1.1368683772161603E-13</v>
      </c>
      <c r="EK194" s="17">
        <f>EJ194*VLOOKUP('Données projet'!$B$15,Paramètres!$A$1:$I$89,3,0)*VLOOKUP('Données projet'!$B$15,Paramètres!$A$1:$I$89,5,0)</f>
        <v>-9.7543306765146564E-14</v>
      </c>
      <c r="EL194" s="13" t="e">
        <f t="shared" si="179"/>
        <v>#NUM!</v>
      </c>
      <c r="EM194" s="20" t="e">
        <f t="shared" si="180"/>
        <v>#NUM!</v>
      </c>
      <c r="EN194" s="57" t="e">
        <f t="shared" si="128"/>
        <v>#NUM!</v>
      </c>
      <c r="EO194" s="57">
        <f ca="1">AVERAGE(OFFSET($EN$3,0,0,'Données projet'!$E$15+1,1))-AVERAGE(OFFSET($H$3,0,0,'Données projet'!$E$15+1,1))</f>
        <v>643.04899298561475</v>
      </c>
      <c r="EP194" s="57">
        <f t="shared" si="154"/>
        <v>474.94999304483031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46.404788745535619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46.404788745535619</v>
      </c>
      <c r="EZ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69.416750146403231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>
        <f>FE194*VLOOKUP('Données projet'!$B$16,Paramètres!$A$1:$I$89,3,0)*VLOOKUP('Données projet'!$B$16,Paramètres!$A$1:$I$89,5,0)</f>
        <v>0</v>
      </c>
      <c r="FG194" s="13" t="e">
        <f t="shared" si="182"/>
        <v>#NUM!</v>
      </c>
      <c r="FH194" s="20" t="e">
        <f t="shared" si="183"/>
        <v>#NUM!</v>
      </c>
      <c r="FI194" s="57" t="e">
        <f t="shared" si="131"/>
        <v>#NUM!</v>
      </c>
      <c r="FJ194" s="57">
        <f ca="1">AVERAGE(OFFSET($FI$3,0,0,'Données projet'!$E$16+1,1))-AVERAGE(OFFSET($H$3,0,0,'Données projet'!$E$16+1,1))</f>
        <v>375.34603719604439</v>
      </c>
      <c r="FK194" s="57">
        <f t="shared" si="156"/>
        <v>363.99476973672211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17.571618996710558</v>
      </c>
      <c r="FR194" s="21">
        <f>EXP(-LN(2)/25)*FR193+(1-EXP(-LN(2)/25))/(LN(2)/25)*Calculateur!FM194*Calculateur!FO194*VLOOKUP('Données projet'!$B$16,Paramètres!$A$1:$I$89,3,0)*0.475*44/12</f>
        <v>0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17.571618996710558</v>
      </c>
      <c r="FU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69.416750146403231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-1.1368683772161603E-13</v>
      </c>
      <c r="GA194" s="17">
        <f>FZ194*VLOOKUP('Données projet'!$B$17,Paramètres!$A$1:$I$89,3,0)*VLOOKUP('Données projet'!$B$17,Paramètres!$A$1:$I$89,5,0)</f>
        <v>-6.3550942286383367E-14</v>
      </c>
      <c r="GB194" s="13" t="e">
        <f t="shared" si="185"/>
        <v>#NUM!</v>
      </c>
      <c r="GC194" s="20" t="e">
        <f t="shared" si="186"/>
        <v>#NUM!</v>
      </c>
      <c r="GD194" s="57" t="e">
        <f t="shared" si="134"/>
        <v>#NUM!</v>
      </c>
      <c r="GE194" s="57">
        <f ca="1">AVERAGE(OFFSET($GD$3,0,0,'Données projet'!$E$17+1,1))-AVERAGE(OFFSET($H$3,0,0,'Données projet'!$E$17+1,1))</f>
        <v>414.47327143450701</v>
      </c>
      <c r="GF194" s="57">
        <f t="shared" si="158"/>
        <v>546.83385887302961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19.974696493088263</v>
      </c>
      <c r="GM194" s="21">
        <f>EXP(-LN(2)/25)*GM193+(1-EXP(-LN(2)/25))/(LN(2)/25)*Calculateur!GH194*Calculateur!GJ194*VLOOKUP('Données projet'!$B$17,Paramètres!$A$1:$I$89,3,0)*0.475*44/12</f>
        <v>1.4264644461951979</v>
      </c>
      <c r="GN194" s="21">
        <f>EXP(-LN(2)/2)*GN193+(1-EXP(-LN(2)/2))/(LN(2)/2)*GH194*GK194*VLOOKUP('Données projet'!$B$17,Paramètres!$A$1:$I$89,3,0)*0.475*44/12</f>
        <v>9.9537025201740552E-20</v>
      </c>
      <c r="GO194" s="21">
        <f t="shared" si="187"/>
        <v>21.401160939283461</v>
      </c>
      <c r="GP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69.416750146403231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-2.2737367544323206E-13</v>
      </c>
      <c r="GV194" s="17">
        <f>GU194*VLOOKUP('Données projet'!$B$18,Paramètres!$A$1:$I$89,3,0)*VLOOKUP('Données projet'!$B$18,Paramètres!$A$1:$I$89,5,0)</f>
        <v>-1.2414602679200471E-13</v>
      </c>
      <c r="GW194" s="13" t="e">
        <f t="shared" si="188"/>
        <v>#NUM!</v>
      </c>
      <c r="GX194" s="20" t="e">
        <f t="shared" si="189"/>
        <v>#NUM!</v>
      </c>
      <c r="GY194" s="57" t="e">
        <f t="shared" si="137"/>
        <v>#NUM!</v>
      </c>
      <c r="GZ194" s="57">
        <f ca="1">AVERAGE(OFFSET($GY$3,0,0,'Données projet'!$E$18+1,1))-AVERAGE(OFFSET($H$3,0,0,'Données projet'!$E$18+1,1))</f>
        <v>381.00532469288714</v>
      </c>
      <c r="HA194" s="57">
        <f t="shared" si="160"/>
        <v>314.875259641757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>
        <f>EXP(-LN(2)/35)*HG193+(1-EXP(-LN(2)/35))/(LN(2)/35)*HC194*HD194*VLOOKUP('Données projet'!$B$18,Paramètres!$A$1:$I$89,3,0)*0.475*44/12</f>
        <v>33.65029385804781</v>
      </c>
      <c r="HH194" s="21">
        <f>EXP(-LN(2)/25)*HH193+(1-EXP(-LN(2)/25))/(LN(2)/25)*Calculateur!HC194*Calculateur!HE194*VLOOKUP('Données projet'!$B$18,Paramètres!$A$1:$I$89,3,0)*0.475*44/12</f>
        <v>2.6465830057711806</v>
      </c>
      <c r="HI194" s="21">
        <f>EXP(-LN(2)/2)*HI193+(1-EXP(-LN(2)/2))/(LN(2)/2)*HC194*HF194*VLOOKUP('Données projet'!$B$18,Paramètres!$A$1:$I$89,3,0)*0.475*44/12</f>
        <v>5.0188279411184939E-13</v>
      </c>
      <c r="HJ194" s="22">
        <f t="shared" si="190"/>
        <v>36.296876863819499</v>
      </c>
    </row>
    <row r="195" spans="1:218" x14ac:dyDescent="0.2">
      <c r="A195" s="10">
        <f t="shared" si="161"/>
        <v>192</v>
      </c>
      <c r="B195" s="71">
        <f>'Scénario référence'!$B$16*5+'Scénario référence'!$B$17*0+'Scénario référence'!$B$18*5</f>
        <v>3.3000000000000003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12.100000000000001</v>
      </c>
      <c r="H195" s="65">
        <f t="shared" si="110"/>
        <v>208.26666666666665</v>
      </c>
      <c r="I195" s="6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69.426868227411816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-1.1527845344971866E-13</v>
      </c>
      <c r="P195" s="13" t="e">
        <f t="shared" si="141"/>
        <v>#NUM!</v>
      </c>
      <c r="Q195" s="20" t="e">
        <f t="shared" si="162"/>
        <v>#NUM!</v>
      </c>
      <c r="R195" s="57" t="e">
        <f t="shared" ref="R195:R203" si="191">Q195+(I195+J195)*44/12</f>
        <v>#NUM!</v>
      </c>
      <c r="S195" s="57">
        <f ca="1">AVERAGE(OFFSET($R$3,0,0,'Données projet'!$E$9+1,1))-AVERAGE(OFFSET($H$3,0,0,'Données projet'!$E$9+1,1))</f>
        <v>332.70145542047612</v>
      </c>
      <c r="T195" s="57">
        <f t="shared" si="142"/>
        <v>172.22433737900428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27.281586159204341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27.281586159204341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69.426868227411816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-2.9842794901924208E-13</v>
      </c>
      <c r="AJ195" s="13">
        <f>AI195*VLOOKUP('Données projet'!$B$10,Paramètres!$A$1:$I$89,3,0)*VLOOKUP('Données projet'!$B$10,Paramètres!$A$1:$I$89,5,0)</f>
        <v>-2.7001760827261026E-13</v>
      </c>
      <c r="AK195" s="13" t="e">
        <f t="shared" si="164"/>
        <v>#NUM!</v>
      </c>
      <c r="AL195" s="20" t="e">
        <f t="shared" si="165"/>
        <v>#NUM!</v>
      </c>
      <c r="AM195" s="57" t="e">
        <f t="shared" si="113"/>
        <v>#NUM!</v>
      </c>
      <c r="AN195" s="57">
        <f ca="1">AVERAGE(OFFSET($AM$3,0,0,'Données projet'!$E$10+1,1))-AVERAGE(OFFSET($H$3,0,0,'Données projet'!$E$10+1,1))</f>
        <v>469.4210143164521</v>
      </c>
      <c r="AO195" s="57">
        <f t="shared" si="144"/>
        <v>308.4508386530556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80.572302147119004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80.572302147119004</v>
      </c>
      <c r="AY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69.426868227411816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7" t="e">
        <f t="shared" si="116"/>
        <v>#NUM!</v>
      </c>
      <c r="BI195" s="57">
        <f ca="1">AVERAGE(OFFSET($BH$3,0,0,'Données projet'!$E$11+1,1))-AVERAGE(OFFSET($H$3,0,0,'Données projet'!$E$11+1,1))</f>
        <v>344.32981377462971</v>
      </c>
      <c r="BJ195" s="57">
        <f t="shared" si="146"/>
        <v>334.42512656625763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12.632753478668668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12.632753478668668</v>
      </c>
      <c r="BT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69.426868227411816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4.5474735088646412E-13</v>
      </c>
      <c r="BZ195" s="13">
        <f>BY195*VLOOKUP('Données projet'!$B$12,Paramètres!$A$1:$I$89,3,0)*VLOOKUP('Données projet'!$B$12,Paramètres!$A$1:$I$89,5,0)</f>
        <v>4.3273757910355926E-13</v>
      </c>
      <c r="CA195" s="13">
        <f t="shared" si="170"/>
        <v>5.4817614357080839E-12</v>
      </c>
      <c r="CB195" s="20">
        <f t="shared" si="171"/>
        <v>1.0301085784130276E-11</v>
      </c>
      <c r="CC195" s="57">
        <f t="shared" si="119"/>
        <v>291.23185016718696</v>
      </c>
      <c r="CD195" s="57">
        <f ca="1">AVERAGE(OFFSET($CC$3,0,0,'Données projet'!$E$12+1,1))-AVERAGE(OFFSET($H$3,0,0,'Données projet'!$E$12+1,1))</f>
        <v>498.77732039282807</v>
      </c>
      <c r="CE195" s="57">
        <f t="shared" si="148"/>
        <v>384.57317421826531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44.469688255927146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44.469688255927146</v>
      </c>
      <c r="CO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69.426868227411816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-2.9842794901924208E-13</v>
      </c>
      <c r="CU195" s="17">
        <f>CT195*VLOOKUP('Données projet'!$B$13,Paramètres!$A$1:$I$89,3,0)*VLOOKUP('Données projet'!$B$13,Paramètres!$A$1:$I$89,5,0)</f>
        <v>-2.0018546820210759E-13</v>
      </c>
      <c r="CV195" s="13" t="e">
        <f t="shared" si="173"/>
        <v>#NUM!</v>
      </c>
      <c r="CW195" s="20" t="e">
        <f t="shared" si="174"/>
        <v>#NUM!</v>
      </c>
      <c r="CX195" s="57" t="e">
        <f t="shared" si="122"/>
        <v>#NUM!</v>
      </c>
      <c r="CY195" s="57">
        <f ca="1">AVERAGE(OFFSET($CX$3,0,0,'Données projet'!$E$13+1,1))-AVERAGE(OFFSET($H$3,0,0,'Données projet'!$E$13+1,1))</f>
        <v>365.99625753737246</v>
      </c>
      <c r="CZ195" s="57">
        <f t="shared" si="150"/>
        <v>242.84814712692287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73.62641403098803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73.62641403098803</v>
      </c>
      <c r="DJ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69.426868227411816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2.2737367544323206E-13</v>
      </c>
      <c r="DP195" s="17">
        <f>DO195*VLOOKUP('Données projet'!$B$14,Paramètres!$A$1:$I$89,3,0)*VLOOKUP('Données projet'!$B$14,Paramètres!$A$1:$I$89,5,0)</f>
        <v>1.4897523215040565E-13</v>
      </c>
      <c r="DQ195" s="13">
        <f t="shared" si="176"/>
        <v>2.136562777003313E-12</v>
      </c>
      <c r="DR195" s="20">
        <f t="shared" si="177"/>
        <v>3.9806453659427267E-12</v>
      </c>
      <c r="DS195" s="57">
        <f t="shared" si="125"/>
        <v>291.23185016718065</v>
      </c>
      <c r="DT195" s="57">
        <f ca="1">AVERAGE(OFFSET($DS$3,0,0,'Données projet'!$E$14+1,1))-AVERAGE(OFFSET($H$3,0,0,'Données projet'!$E$14+1,1))</f>
        <v>313.79279628660527</v>
      </c>
      <c r="DU195" s="57">
        <f t="shared" si="152"/>
        <v>317.45469955216254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12.273891269839357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12.273891269839357</v>
      </c>
      <c r="EE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69.426868227411816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-1.1368683772161603E-13</v>
      </c>
      <c r="EK195" s="17">
        <f>EJ195*VLOOKUP('Données projet'!$B$15,Paramètres!$A$1:$I$89,3,0)*VLOOKUP('Données projet'!$B$15,Paramètres!$A$1:$I$89,5,0)</f>
        <v>-9.7543306765146564E-14</v>
      </c>
      <c r="EL195" s="13" t="e">
        <f t="shared" si="179"/>
        <v>#NUM!</v>
      </c>
      <c r="EM195" s="20" t="e">
        <f t="shared" si="180"/>
        <v>#NUM!</v>
      </c>
      <c r="EN195" s="57" t="e">
        <f t="shared" si="128"/>
        <v>#NUM!</v>
      </c>
      <c r="EO195" s="57">
        <f ca="1">AVERAGE(OFFSET($EN$3,0,0,'Données projet'!$E$15+1,1))-AVERAGE(OFFSET($H$3,0,0,'Données projet'!$E$15+1,1))</f>
        <v>643.04899298561475</v>
      </c>
      <c r="EP195" s="57">
        <f t="shared" si="154"/>
        <v>474.94999304483031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45.494819142361997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45.494819142361997</v>
      </c>
      <c r="EZ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69.426868227411816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>
        <f>FE195*VLOOKUP('Données projet'!$B$16,Paramètres!$A$1:$I$89,3,0)*VLOOKUP('Données projet'!$B$16,Paramètres!$A$1:$I$89,5,0)</f>
        <v>0</v>
      </c>
      <c r="FG195" s="13" t="e">
        <f t="shared" si="182"/>
        <v>#NUM!</v>
      </c>
      <c r="FH195" s="20" t="e">
        <f t="shared" si="183"/>
        <v>#NUM!</v>
      </c>
      <c r="FI195" s="57" t="e">
        <f t="shared" si="131"/>
        <v>#NUM!</v>
      </c>
      <c r="FJ195" s="57">
        <f ca="1">AVERAGE(OFFSET($FI$3,0,0,'Données projet'!$E$16+1,1))-AVERAGE(OFFSET($H$3,0,0,'Données projet'!$E$16+1,1))</f>
        <v>375.34603719604439</v>
      </c>
      <c r="FK195" s="57">
        <f t="shared" si="156"/>
        <v>363.99476973672211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17.227050265814373</v>
      </c>
      <c r="FR195" s="21">
        <f>EXP(-LN(2)/25)*FR194+(1-EXP(-LN(2)/25))/(LN(2)/25)*Calculateur!FM195*Calculateur!FO195*VLOOKUP('Données projet'!$B$16,Paramètres!$A$1:$I$89,3,0)*0.475*44/12</f>
        <v>0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17.227050265814373</v>
      </c>
      <c r="FU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69.426868227411816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-1.1368683772161603E-13</v>
      </c>
      <c r="GA195" s="17">
        <f>FZ195*VLOOKUP('Données projet'!$B$17,Paramètres!$A$1:$I$89,3,0)*VLOOKUP('Données projet'!$B$17,Paramètres!$A$1:$I$89,5,0)</f>
        <v>-6.3550942286383367E-14</v>
      </c>
      <c r="GB195" s="13" t="e">
        <f t="shared" si="185"/>
        <v>#NUM!</v>
      </c>
      <c r="GC195" s="20" t="e">
        <f t="shared" si="186"/>
        <v>#NUM!</v>
      </c>
      <c r="GD195" s="57" t="e">
        <f t="shared" si="134"/>
        <v>#NUM!</v>
      </c>
      <c r="GE195" s="57">
        <f ca="1">AVERAGE(OFFSET($GD$3,0,0,'Données projet'!$E$17+1,1))-AVERAGE(OFFSET($H$3,0,0,'Données projet'!$E$17+1,1))</f>
        <v>414.47327143450701</v>
      </c>
      <c r="GF195" s="57">
        <f t="shared" si="158"/>
        <v>546.83385887302961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19.583004878220656</v>
      </c>
      <c r="GM195" s="21">
        <f>EXP(-LN(2)/25)*GM194+(1-EXP(-LN(2)/25))/(LN(2)/25)*Calculateur!GH195*Calculateur!GJ195*VLOOKUP('Données projet'!$B$17,Paramètres!$A$1:$I$89,3,0)*0.475*44/12</f>
        <v>1.3874577008994853</v>
      </c>
      <c r="GN195" s="21">
        <f>EXP(-LN(2)/2)*GN194+(1-EXP(-LN(2)/2))/(LN(2)/2)*GH195*GK195*VLOOKUP('Données projet'!$B$17,Paramètres!$A$1:$I$89,3,0)*0.475*44/12</f>
        <v>7.0383305499287022E-20</v>
      </c>
      <c r="GO195" s="21">
        <f t="shared" si="187"/>
        <v>20.970462579120142</v>
      </c>
      <c r="GP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69.426868227411816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-2.2737367544323206E-13</v>
      </c>
      <c r="GV195" s="17">
        <f>GU195*VLOOKUP('Données projet'!$B$18,Paramètres!$A$1:$I$89,3,0)*VLOOKUP('Données projet'!$B$18,Paramètres!$A$1:$I$89,5,0)</f>
        <v>-1.2414602679200471E-13</v>
      </c>
      <c r="GW195" s="13" t="e">
        <f t="shared" si="188"/>
        <v>#NUM!</v>
      </c>
      <c r="GX195" s="20" t="e">
        <f t="shared" si="189"/>
        <v>#NUM!</v>
      </c>
      <c r="GY195" s="57" t="e">
        <f t="shared" si="137"/>
        <v>#NUM!</v>
      </c>
      <c r="GZ195" s="57">
        <f ca="1">AVERAGE(OFFSET($GY$3,0,0,'Données projet'!$E$18+1,1))-AVERAGE(OFFSET($H$3,0,0,'Données projet'!$E$18+1,1))</f>
        <v>381.00532469288714</v>
      </c>
      <c r="HA195" s="57">
        <f t="shared" si="160"/>
        <v>314.875259641757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>
        <f>EXP(-LN(2)/35)*HG194+(1-EXP(-LN(2)/35))/(LN(2)/35)*HC195*HD195*VLOOKUP('Données projet'!$B$18,Paramètres!$A$1:$I$89,3,0)*0.475*44/12</f>
        <v>32.990432120144106</v>
      </c>
      <c r="HH195" s="21">
        <f>EXP(-LN(2)/25)*HH194+(1-EXP(-LN(2)/25))/(LN(2)/25)*Calculateur!HC195*Calculateur!HE195*VLOOKUP('Données projet'!$B$18,Paramètres!$A$1:$I$89,3,0)*0.475*44/12</f>
        <v>2.5742120543006162</v>
      </c>
      <c r="HI195" s="21">
        <f>EXP(-LN(2)/2)*HI194+(1-EXP(-LN(2)/2))/(LN(2)/2)*HC195*HF195*VLOOKUP('Données projet'!$B$18,Paramètres!$A$1:$I$89,3,0)*0.475*44/12</f>
        <v>3.5488472707734057E-13</v>
      </c>
      <c r="HJ195" s="22">
        <f t="shared" si="190"/>
        <v>35.564644174445078</v>
      </c>
    </row>
    <row r="196" spans="1:218" x14ac:dyDescent="0.2">
      <c r="A196" s="10">
        <f t="shared" si="161"/>
        <v>193</v>
      </c>
      <c r="B196" s="71">
        <f>'Scénario référence'!$B$16*5+'Scénario référence'!$B$17*0+'Scénario référence'!$B$18*5</f>
        <v>3.3000000000000003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12.100000000000001</v>
      </c>
      <c r="H196" s="65">
        <f t="shared" ref="H196:H203" si="192">(B196+E196+F196)*44/12+(C196+D196)*0.475*44/12</f>
        <v>208.26666666666665</v>
      </c>
      <c r="I196" s="6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69.436810782335527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-1.1527845344971866E-13</v>
      </c>
      <c r="P196" s="13" t="e">
        <f t="shared" si="141"/>
        <v>#NUM!</v>
      </c>
      <c r="Q196" s="20" t="e">
        <f t="shared" si="162"/>
        <v>#NUM!</v>
      </c>
      <c r="R196" s="57" t="e">
        <f t="shared" si="191"/>
        <v>#NUM!</v>
      </c>
      <c r="S196" s="57">
        <f ca="1">AVERAGE(OFFSET($R$3,0,0,'Données projet'!$E$9+1,1))-AVERAGE(OFFSET($H$3,0,0,'Données projet'!$E$9+1,1))</f>
        <v>332.70145542047612</v>
      </c>
      <c r="T196" s="57">
        <f t="shared" si="142"/>
        <v>172.22433737900428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26.746610894746826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26.746610894746826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69.436810782335527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-2.9842794901924208E-13</v>
      </c>
      <c r="AJ196" s="13">
        <f>AI196*VLOOKUP('Données projet'!$B$10,Paramètres!$A$1:$I$89,3,0)*VLOOKUP('Données projet'!$B$10,Paramètres!$A$1:$I$89,5,0)</f>
        <v>-2.7001760827261026E-13</v>
      </c>
      <c r="AK196" s="13" t="e">
        <f t="shared" si="164"/>
        <v>#NUM!</v>
      </c>
      <c r="AL196" s="20" t="e">
        <f t="shared" si="165"/>
        <v>#NUM!</v>
      </c>
      <c r="AM196" s="57" t="e">
        <f t="shared" ref="AM196:AM203" si="193">AL196+(AD196+AE196)*44/12</f>
        <v>#NUM!</v>
      </c>
      <c r="AN196" s="57">
        <f ca="1">AVERAGE(OFFSET($AM$3,0,0,'Données projet'!$E$10+1,1))-AVERAGE(OFFSET($H$3,0,0,'Données projet'!$E$10+1,1))</f>
        <v>469.4210143164521</v>
      </c>
      <c r="AO196" s="57">
        <f t="shared" si="144"/>
        <v>308.4508386530556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78.992328446265716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78.992328446265716</v>
      </c>
      <c r="AY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69.436810782335527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7" t="e">
        <f t="shared" ref="BH196:BH203" si="194">BG196+(AY196+AZ196)*44/12</f>
        <v>#NUM!</v>
      </c>
      <c r="BI196" s="57">
        <f ca="1">AVERAGE(OFFSET($BH$3,0,0,'Données projet'!$E$11+1,1))-AVERAGE(OFFSET($H$3,0,0,'Données projet'!$E$11+1,1))</f>
        <v>344.32981377462971</v>
      </c>
      <c r="BJ196" s="57">
        <f t="shared" si="146"/>
        <v>334.42512656625763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12.385032888170771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12.385032888170771</v>
      </c>
      <c r="BT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69.436810782335527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4.5474735088646412E-13</v>
      </c>
      <c r="BZ196" s="13">
        <f>BY196*VLOOKUP('Données projet'!$B$12,Paramètres!$A$1:$I$89,3,0)*VLOOKUP('Données projet'!$B$12,Paramètres!$A$1:$I$89,5,0)</f>
        <v>4.3273757910355926E-13</v>
      </c>
      <c r="CA196" s="13">
        <f t="shared" si="170"/>
        <v>5.4817614357080839E-12</v>
      </c>
      <c r="CB196" s="20">
        <f t="shared" si="171"/>
        <v>1.0301085784130276E-11</v>
      </c>
      <c r="CC196" s="57">
        <f t="shared" ref="CC196:CC203" si="195">CB196+(BT196+BU196)*44/12</f>
        <v>291.26830620190719</v>
      </c>
      <c r="CD196" s="57">
        <f ca="1">AVERAGE(OFFSET($CC$3,0,0,'Données projet'!$E$12+1,1))-AVERAGE(OFFSET($H$3,0,0,'Données projet'!$E$12+1,1))</f>
        <v>498.77732039282807</v>
      </c>
      <c r="CE196" s="57">
        <f t="shared" si="148"/>
        <v>384.57317421826531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43.597664793059998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43.597664793059998</v>
      </c>
      <c r="CO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69.436810782335527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-2.9842794901924208E-13</v>
      </c>
      <c r="CU196" s="17">
        <f>CT196*VLOOKUP('Données projet'!$B$13,Paramètres!$A$1:$I$89,3,0)*VLOOKUP('Données projet'!$B$13,Paramètres!$A$1:$I$89,5,0)</f>
        <v>-2.0018546820210759E-13</v>
      </c>
      <c r="CV196" s="13" t="e">
        <f t="shared" si="173"/>
        <v>#NUM!</v>
      </c>
      <c r="CW196" s="20" t="e">
        <f t="shared" si="174"/>
        <v>#NUM!</v>
      </c>
      <c r="CX196" s="57" t="e">
        <f t="shared" ref="CX196:CX203" si="196">CW196+(CO196+CP196)*44/12</f>
        <v>#NUM!</v>
      </c>
      <c r="CY196" s="57">
        <f ca="1">AVERAGE(OFFSET($CX$3,0,0,'Données projet'!$E$13+1,1))-AVERAGE(OFFSET($H$3,0,0,'Données projet'!$E$13+1,1))</f>
        <v>365.99625753737246</v>
      </c>
      <c r="CZ196" s="57">
        <f t="shared" si="150"/>
        <v>242.84814712692287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72.182644959518655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72.182644959518655</v>
      </c>
      <c r="DJ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69.436810782335527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2.2737367544323206E-13</v>
      </c>
      <c r="DP196" s="17">
        <f>DO196*VLOOKUP('Données projet'!$B$14,Paramètres!$A$1:$I$89,3,0)*VLOOKUP('Données projet'!$B$14,Paramètres!$A$1:$I$89,5,0)</f>
        <v>1.4897523215040565E-13</v>
      </c>
      <c r="DQ196" s="13">
        <f t="shared" si="176"/>
        <v>2.136562777003313E-12</v>
      </c>
      <c r="DR196" s="20">
        <f t="shared" si="177"/>
        <v>3.9806453659427267E-12</v>
      </c>
      <c r="DS196" s="57">
        <f t="shared" ref="DS196:DS203" si="197">DR196+(DJ196+DK196)*44/12</f>
        <v>291.26830620190088</v>
      </c>
      <c r="DT196" s="57">
        <f ca="1">AVERAGE(OFFSET($DS$3,0,0,'Données projet'!$E$14+1,1))-AVERAGE(OFFSET($H$3,0,0,'Données projet'!$E$14+1,1))</f>
        <v>313.79279628660527</v>
      </c>
      <c r="DU196" s="57">
        <f t="shared" si="152"/>
        <v>317.45469955216254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12.033207748372268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12.033207748372268</v>
      </c>
      <c r="EE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69.436810782335527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-1.1368683772161603E-13</v>
      </c>
      <c r="EK196" s="17">
        <f>EJ196*VLOOKUP('Données projet'!$B$15,Paramètres!$A$1:$I$89,3,0)*VLOOKUP('Données projet'!$B$15,Paramètres!$A$1:$I$89,5,0)</f>
        <v>-9.7543306765146564E-14</v>
      </c>
      <c r="EL196" s="13" t="e">
        <f t="shared" si="179"/>
        <v>#NUM!</v>
      </c>
      <c r="EM196" s="20" t="e">
        <f t="shared" si="180"/>
        <v>#NUM!</v>
      </c>
      <c r="EN196" s="57" t="e">
        <f t="shared" ref="EN196:EN203" si="198">EM196+(EE196+EF196)*44/12</f>
        <v>#NUM!</v>
      </c>
      <c r="EO196" s="57">
        <f ca="1">AVERAGE(OFFSET($EN$3,0,0,'Données projet'!$E$15+1,1))-AVERAGE(OFFSET($H$3,0,0,'Données projet'!$E$15+1,1))</f>
        <v>643.04899298561475</v>
      </c>
      <c r="EP196" s="57">
        <f t="shared" si="154"/>
        <v>474.94999304483031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44.602693488079957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44.602693488079957</v>
      </c>
      <c r="EZ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69.436810782335527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>
        <f>FE196*VLOOKUP('Données projet'!$B$16,Paramètres!$A$1:$I$89,3,0)*VLOOKUP('Données projet'!$B$16,Paramètres!$A$1:$I$89,5,0)</f>
        <v>0</v>
      </c>
      <c r="FG196" s="13" t="e">
        <f t="shared" si="182"/>
        <v>#NUM!</v>
      </c>
      <c r="FH196" s="20" t="e">
        <f t="shared" si="183"/>
        <v>#NUM!</v>
      </c>
      <c r="FI196" s="57" t="e">
        <f t="shared" ref="FI196:FI203" si="199">FH196+(EZ196+FA196)*44/12</f>
        <v>#NUM!</v>
      </c>
      <c r="FJ196" s="57">
        <f ca="1">AVERAGE(OFFSET($FI$3,0,0,'Données projet'!$E$16+1,1))-AVERAGE(OFFSET($H$3,0,0,'Données projet'!$E$16+1,1))</f>
        <v>375.34603719604439</v>
      </c>
      <c r="FK196" s="57">
        <f t="shared" si="156"/>
        <v>363.99476973672211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16.889238317564889</v>
      </c>
      <c r="FR196" s="21">
        <f>EXP(-LN(2)/25)*FR195+(1-EXP(-LN(2)/25))/(LN(2)/25)*Calculateur!FM196*Calculateur!FO196*VLOOKUP('Données projet'!$B$16,Paramètres!$A$1:$I$89,3,0)*0.475*44/12</f>
        <v>0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16.889238317564889</v>
      </c>
      <c r="FU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69.436810782335527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-1.1368683772161603E-13</v>
      </c>
      <c r="GA196" s="17">
        <f>FZ196*VLOOKUP('Données projet'!$B$17,Paramètres!$A$1:$I$89,3,0)*VLOOKUP('Données projet'!$B$17,Paramètres!$A$1:$I$89,5,0)</f>
        <v>-6.3550942286383367E-14</v>
      </c>
      <c r="GB196" s="13" t="e">
        <f t="shared" si="185"/>
        <v>#NUM!</v>
      </c>
      <c r="GC196" s="20" t="e">
        <f t="shared" si="186"/>
        <v>#NUM!</v>
      </c>
      <c r="GD196" s="57" t="e">
        <f t="shared" ref="GD196:GD203" si="200">GC196+(FU196+FV196)*44/12</f>
        <v>#NUM!</v>
      </c>
      <c r="GE196" s="57">
        <f ca="1">AVERAGE(OFFSET($GD$3,0,0,'Données projet'!$E$17+1,1))-AVERAGE(OFFSET($H$3,0,0,'Données projet'!$E$17+1,1))</f>
        <v>414.47327143450701</v>
      </c>
      <c r="GF196" s="57">
        <f t="shared" si="158"/>
        <v>546.83385887302961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19.198994097012307</v>
      </c>
      <c r="GM196" s="21">
        <f>EXP(-LN(2)/25)*GM195+(1-EXP(-LN(2)/25))/(LN(2)/25)*Calculateur!GH196*Calculateur!GJ196*VLOOKUP('Données projet'!$B$17,Paramètres!$A$1:$I$89,3,0)*0.475*44/12</f>
        <v>1.3495175971051594</v>
      </c>
      <c r="GN196" s="21">
        <f>EXP(-LN(2)/2)*GN195+(1-EXP(-LN(2)/2))/(LN(2)/2)*GH196*GK196*VLOOKUP('Données projet'!$B$17,Paramètres!$A$1:$I$89,3,0)*0.475*44/12</f>
        <v>4.9768512600870276E-20</v>
      </c>
      <c r="GO196" s="21">
        <f t="shared" si="187"/>
        <v>20.548511694117465</v>
      </c>
      <c r="GP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69.436810782335527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-2.2737367544323206E-13</v>
      </c>
      <c r="GV196" s="17">
        <f>GU196*VLOOKUP('Données projet'!$B$18,Paramètres!$A$1:$I$89,3,0)*VLOOKUP('Données projet'!$B$18,Paramètres!$A$1:$I$89,5,0)</f>
        <v>-1.2414602679200471E-13</v>
      </c>
      <c r="GW196" s="13" t="e">
        <f t="shared" si="188"/>
        <v>#NUM!</v>
      </c>
      <c r="GX196" s="20" t="e">
        <f t="shared" si="189"/>
        <v>#NUM!</v>
      </c>
      <c r="GY196" s="57" t="e">
        <f t="shared" ref="GY196:GY203" si="201">GX196+(GP196+GQ196)*44/12</f>
        <v>#NUM!</v>
      </c>
      <c r="GZ196" s="57">
        <f ca="1">AVERAGE(OFFSET($GY$3,0,0,'Données projet'!$E$18+1,1))-AVERAGE(OFFSET($H$3,0,0,'Données projet'!$E$18+1,1))</f>
        <v>381.00532469288714</v>
      </c>
      <c r="HA196" s="57">
        <f t="shared" si="160"/>
        <v>314.875259641757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>
        <f>EXP(-LN(2)/35)*HG195+(1-EXP(-LN(2)/35))/(LN(2)/35)*HC196*HD196*VLOOKUP('Données projet'!$B$18,Paramètres!$A$1:$I$89,3,0)*0.475*44/12</f>
        <v>32.343509868444777</v>
      </c>
      <c r="HH196" s="21">
        <f>EXP(-LN(2)/25)*HH195+(1-EXP(-LN(2)/25))/(LN(2)/25)*Calculateur!HC196*Calculateur!HE196*VLOOKUP('Données projet'!$B$18,Paramètres!$A$1:$I$89,3,0)*0.475*44/12</f>
        <v>2.5038200903038375</v>
      </c>
      <c r="HI196" s="21">
        <f>EXP(-LN(2)/2)*HI195+(1-EXP(-LN(2)/2))/(LN(2)/2)*HC196*HF196*VLOOKUP('Données projet'!$B$18,Paramètres!$A$1:$I$89,3,0)*0.475*44/12</f>
        <v>2.5094139705592469E-13</v>
      </c>
      <c r="HJ196" s="22">
        <f t="shared" si="190"/>
        <v>34.847329958748865</v>
      </c>
    </row>
    <row r="197" spans="1:218" x14ac:dyDescent="0.2">
      <c r="A197" s="10">
        <f t="shared" si="161"/>
        <v>194</v>
      </c>
      <c r="B197" s="71">
        <f>'Scénario référence'!$B$16*5+'Scénario référence'!$B$17*0+'Scénario référence'!$B$18*5</f>
        <v>3.3000000000000003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12.100000000000001</v>
      </c>
      <c r="H197" s="65">
        <f t="shared" si="192"/>
        <v>208.26666666666665</v>
      </c>
      <c r="I197" s="6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69.446580856159557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-1.1527845344971866E-13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7" t="e">
        <f t="shared" si="191"/>
        <v>#NUM!</v>
      </c>
      <c r="S197" s="57">
        <f ca="1">AVERAGE(OFFSET($R$3,0,0,'Données projet'!$E$9+1,1))-AVERAGE(OFFSET($H$3,0,0,'Données projet'!$E$9+1,1))</f>
        <v>332.70145542047612</v>
      </c>
      <c r="T197" s="57">
        <f t="shared" ref="T197:T203" si="204">$T$3</f>
        <v>172.22433737900428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26.222126168922632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26.222126168922632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69.446580856159557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-2.9842794901924208E-13</v>
      </c>
      <c r="AJ197" s="13">
        <f>AI197*VLOOKUP('Données projet'!$B$10,Paramètres!$A$1:$I$89,3,0)*VLOOKUP('Données projet'!$B$10,Paramètres!$A$1:$I$89,5,0)</f>
        <v>-2.7001760827261026E-13</v>
      </c>
      <c r="AK197" s="13" t="e">
        <f t="shared" si="164"/>
        <v>#NUM!</v>
      </c>
      <c r="AL197" s="20" t="e">
        <f t="shared" si="165"/>
        <v>#NUM!</v>
      </c>
      <c r="AM197" s="57" t="e">
        <f t="shared" si="193"/>
        <v>#NUM!</v>
      </c>
      <c r="AN197" s="57">
        <f ca="1">AVERAGE(OFFSET($AM$3,0,0,'Données projet'!$E$10+1,1))-AVERAGE(OFFSET($H$3,0,0,'Données projet'!$E$10+1,1))</f>
        <v>469.4210143164521</v>
      </c>
      <c r="AO197" s="57">
        <f t="shared" ref="AO197:AO203" si="205">$AO$3</f>
        <v>308.4508386530556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77.443337065997369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77.443337065997369</v>
      </c>
      <c r="AY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69.446580856159557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7" t="e">
        <f t="shared" si="194"/>
        <v>#NUM!</v>
      </c>
      <c r="BI197" s="57">
        <f ca="1">AVERAGE(OFFSET($BH$3,0,0,'Données projet'!$E$11+1,1))-AVERAGE(OFFSET($H$3,0,0,'Données projet'!$E$11+1,1))</f>
        <v>344.32981377462971</v>
      </c>
      <c r="BJ197" s="57">
        <f t="shared" ref="BJ197:BJ203" si="206">$BJ$3</f>
        <v>334.42512656625763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12.142169947357896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12.142169947357896</v>
      </c>
      <c r="BT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69.446580856159557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4.5474735088646412E-13</v>
      </c>
      <c r="BZ197" s="13">
        <f>BY197*VLOOKUP('Données projet'!$B$12,Paramètres!$A$1:$I$89,3,0)*VLOOKUP('Données projet'!$B$12,Paramètres!$A$1:$I$89,5,0)</f>
        <v>4.3273757910355926E-13</v>
      </c>
      <c r="CA197" s="13">
        <f t="shared" si="170"/>
        <v>5.4817614357080839E-12</v>
      </c>
      <c r="CB197" s="20">
        <f t="shared" si="171"/>
        <v>1.0301085784130276E-11</v>
      </c>
      <c r="CC197" s="57">
        <f t="shared" si="195"/>
        <v>291.30412980592865</v>
      </c>
      <c r="CD197" s="57">
        <f ca="1">AVERAGE(OFFSET($CC$3,0,0,'Données projet'!$E$12+1,1))-AVERAGE(OFFSET($H$3,0,0,'Données projet'!$E$12+1,1))</f>
        <v>498.77732039282807</v>
      </c>
      <c r="CE197" s="57">
        <f t="shared" ref="CE197:CE203" si="207">$CE$3</f>
        <v>384.57317421826531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42.74274117841788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42.74274117841788</v>
      </c>
      <c r="CO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69.446580856159557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-2.9842794901924208E-13</v>
      </c>
      <c r="CU197" s="17">
        <f>CT197*VLOOKUP('Données projet'!$B$13,Paramètres!$A$1:$I$89,3,0)*VLOOKUP('Données projet'!$B$13,Paramètres!$A$1:$I$89,5,0)</f>
        <v>-2.0018546820210759E-13</v>
      </c>
      <c r="CV197" s="13" t="e">
        <f t="shared" si="173"/>
        <v>#NUM!</v>
      </c>
      <c r="CW197" s="20" t="e">
        <f t="shared" si="174"/>
        <v>#NUM!</v>
      </c>
      <c r="CX197" s="57" t="e">
        <f t="shared" si="196"/>
        <v>#NUM!</v>
      </c>
      <c r="CY197" s="57">
        <f ca="1">AVERAGE(OFFSET($CX$3,0,0,'Données projet'!$E$13+1,1))-AVERAGE(OFFSET($H$3,0,0,'Données projet'!$E$13+1,1))</f>
        <v>365.99625753737246</v>
      </c>
      <c r="CZ197" s="57">
        <f t="shared" ref="CZ197:CZ203" si="208">$CZ$3</f>
        <v>242.84814712692287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70.767187318928606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70.767187318928606</v>
      </c>
      <c r="DJ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69.446580856159557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2.2737367544323206E-13</v>
      </c>
      <c r="DP197" s="17">
        <f>DO197*VLOOKUP('Données projet'!$B$14,Paramètres!$A$1:$I$89,3,0)*VLOOKUP('Données projet'!$B$14,Paramètres!$A$1:$I$89,5,0)</f>
        <v>1.4897523215040565E-13</v>
      </c>
      <c r="DQ197" s="13">
        <f t="shared" si="176"/>
        <v>2.136562777003313E-12</v>
      </c>
      <c r="DR197" s="20">
        <f t="shared" si="177"/>
        <v>3.9806453659427267E-12</v>
      </c>
      <c r="DS197" s="57">
        <f t="shared" si="197"/>
        <v>291.30412980592234</v>
      </c>
      <c r="DT197" s="57">
        <f ca="1">AVERAGE(OFFSET($DS$3,0,0,'Données projet'!$E$14+1,1))-AVERAGE(OFFSET($H$3,0,0,'Données projet'!$E$14+1,1))</f>
        <v>313.79279628660527</v>
      </c>
      <c r="DU197" s="57">
        <f t="shared" ref="DU197:DU203" si="209">$DU$3</f>
        <v>317.45469955216254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11.797243883958696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11.797243883958696</v>
      </c>
      <c r="EE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69.446580856159557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-1.1368683772161603E-13</v>
      </c>
      <c r="EK197" s="17">
        <f>EJ197*VLOOKUP('Données projet'!$B$15,Paramètres!$A$1:$I$89,3,0)*VLOOKUP('Données projet'!$B$15,Paramètres!$A$1:$I$89,5,0)</f>
        <v>-9.7543306765146564E-14</v>
      </c>
      <c r="EL197" s="13" t="e">
        <f t="shared" si="179"/>
        <v>#NUM!</v>
      </c>
      <c r="EM197" s="20" t="e">
        <f t="shared" si="180"/>
        <v>#NUM!</v>
      </c>
      <c r="EN197" s="57" t="e">
        <f t="shared" si="198"/>
        <v>#NUM!</v>
      </c>
      <c r="EO197" s="57">
        <f ca="1">AVERAGE(OFFSET($EN$3,0,0,'Données projet'!$E$15+1,1))-AVERAGE(OFFSET($H$3,0,0,'Données projet'!$E$15+1,1))</f>
        <v>643.04899298561475</v>
      </c>
      <c r="EP197" s="57">
        <f t="shared" ref="EP197:EP203" si="210">$EP$3</f>
        <v>474.94999304483031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43.72806187373547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43.72806187373547</v>
      </c>
      <c r="EZ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69.446580856159557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>
        <f>FE197*VLOOKUP('Données projet'!$B$16,Paramètres!$A$1:$I$89,3,0)*VLOOKUP('Données projet'!$B$16,Paramètres!$A$1:$I$89,5,0)</f>
        <v>0</v>
      </c>
      <c r="FG197" s="13" t="e">
        <f t="shared" si="182"/>
        <v>#NUM!</v>
      </c>
      <c r="FH197" s="20" t="e">
        <f t="shared" si="183"/>
        <v>#NUM!</v>
      </c>
      <c r="FI197" s="57" t="e">
        <f t="shared" si="199"/>
        <v>#NUM!</v>
      </c>
      <c r="FJ197" s="57">
        <f ca="1">AVERAGE(OFFSET($FI$3,0,0,'Données projet'!$E$16+1,1))-AVERAGE(OFFSET($H$3,0,0,'Données projet'!$E$16+1,1))</f>
        <v>375.34603719604439</v>
      </c>
      <c r="FK197" s="57">
        <f t="shared" ref="FK197:FK203" si="211">$FK$3</f>
        <v>363.99476973672211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16.558050655575634</v>
      </c>
      <c r="FR197" s="21">
        <f>EXP(-LN(2)/25)*FR196+(1-EXP(-LN(2)/25))/(LN(2)/25)*Calculateur!FM197*Calculateur!FO197*VLOOKUP('Données projet'!$B$16,Paramètres!$A$1:$I$89,3,0)*0.475*44/12</f>
        <v>0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16.558050655575634</v>
      </c>
      <c r="FU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69.446580856159557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-1.1368683772161603E-13</v>
      </c>
      <c r="GA197" s="17">
        <f>FZ197*VLOOKUP('Données projet'!$B$17,Paramètres!$A$1:$I$89,3,0)*VLOOKUP('Données projet'!$B$17,Paramètres!$A$1:$I$89,5,0)</f>
        <v>-6.3550942286383367E-14</v>
      </c>
      <c r="GB197" s="13" t="e">
        <f t="shared" si="185"/>
        <v>#NUM!</v>
      </c>
      <c r="GC197" s="20" t="e">
        <f t="shared" si="186"/>
        <v>#NUM!</v>
      </c>
      <c r="GD197" s="57" t="e">
        <f t="shared" si="200"/>
        <v>#NUM!</v>
      </c>
      <c r="GE197" s="57">
        <f ca="1">AVERAGE(OFFSET($GD$3,0,0,'Données projet'!$E$17+1,1))-AVERAGE(OFFSET($H$3,0,0,'Données projet'!$E$17+1,1))</f>
        <v>414.47327143450701</v>
      </c>
      <c r="GF197" s="57">
        <f t="shared" ref="GF197:GF203" si="212">$GF$3</f>
        <v>546.83385887302961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18.822513533000006</v>
      </c>
      <c r="GM197" s="21">
        <f>EXP(-LN(2)/25)*GM196+(1-EXP(-LN(2)/25))/(LN(2)/25)*Calculateur!GH197*Calculateur!GJ197*VLOOKUP('Données projet'!$B$17,Paramètres!$A$1:$I$89,3,0)*0.475*44/12</f>
        <v>1.3126149674442726</v>
      </c>
      <c r="GN197" s="21">
        <f>EXP(-LN(2)/2)*GN196+(1-EXP(-LN(2)/2))/(LN(2)/2)*GH197*GK197*VLOOKUP('Données projet'!$B$17,Paramètres!$A$1:$I$89,3,0)*0.475*44/12</f>
        <v>3.5191652749643511E-20</v>
      </c>
      <c r="GO197" s="21">
        <f t="shared" si="187"/>
        <v>20.135128500444278</v>
      </c>
      <c r="GP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69.446580856159557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-2.2737367544323206E-13</v>
      </c>
      <c r="GV197" s="17">
        <f>GU197*VLOOKUP('Données projet'!$B$18,Paramètres!$A$1:$I$89,3,0)*VLOOKUP('Données projet'!$B$18,Paramètres!$A$1:$I$89,5,0)</f>
        <v>-1.2414602679200471E-13</v>
      </c>
      <c r="GW197" s="13" t="e">
        <f t="shared" si="188"/>
        <v>#NUM!</v>
      </c>
      <c r="GX197" s="20" t="e">
        <f t="shared" si="189"/>
        <v>#NUM!</v>
      </c>
      <c r="GY197" s="57" t="e">
        <f t="shared" si="201"/>
        <v>#NUM!</v>
      </c>
      <c r="GZ197" s="57">
        <f ca="1">AVERAGE(OFFSET($GY$3,0,0,'Données projet'!$E$18+1,1))-AVERAGE(OFFSET($H$3,0,0,'Données projet'!$E$18+1,1))</f>
        <v>381.00532469288714</v>
      </c>
      <c r="HA197" s="57">
        <f t="shared" ref="HA197:HA203" si="213">$HA$3</f>
        <v>314.875259641757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>
        <f>EXP(-LN(2)/35)*HG196+(1-EXP(-LN(2)/35))/(LN(2)/35)*HC197*HD197*VLOOKUP('Données projet'!$B$18,Paramètres!$A$1:$I$89,3,0)*0.475*44/12</f>
        <v>31.709273367517657</v>
      </c>
      <c r="HH197" s="21">
        <f>EXP(-LN(2)/25)*HH196+(1-EXP(-LN(2)/25))/(LN(2)/25)*Calculateur!HC197*Calculateur!HE197*VLOOKUP('Données projet'!$B$18,Paramètres!$A$1:$I$89,3,0)*0.475*44/12</f>
        <v>2.4353529982643032</v>
      </c>
      <c r="HI197" s="21">
        <f>EXP(-LN(2)/2)*HI196+(1-EXP(-LN(2)/2))/(LN(2)/2)*HC197*HF197*VLOOKUP('Données projet'!$B$18,Paramètres!$A$1:$I$89,3,0)*0.475*44/12</f>
        <v>1.7744236353867028E-13</v>
      </c>
      <c r="HJ197" s="22">
        <f t="shared" si="190"/>
        <v>34.144626365782138</v>
      </c>
    </row>
    <row r="198" spans="1:218" x14ac:dyDescent="0.2">
      <c r="A198" s="10">
        <f t="shared" si="161"/>
        <v>195</v>
      </c>
      <c r="B198" s="71">
        <f>'Scénario référence'!$B$16*5+'Scénario référence'!$B$17*0+'Scénario référence'!$B$18*5</f>
        <v>3.3000000000000003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12.100000000000001</v>
      </c>
      <c r="H198" s="65">
        <f t="shared" si="192"/>
        <v>208.26666666666665</v>
      </c>
      <c r="I198" s="6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69.456181441045331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-1.1527845344971866E-13</v>
      </c>
      <c r="P198" s="13" t="e">
        <f t="shared" si="203"/>
        <v>#NUM!</v>
      </c>
      <c r="Q198" s="20" t="e">
        <f t="shared" si="162"/>
        <v>#NUM!</v>
      </c>
      <c r="R198" s="57" t="e">
        <f t="shared" si="191"/>
        <v>#NUM!</v>
      </c>
      <c r="S198" s="57">
        <f ca="1">AVERAGE(OFFSET($R$3,0,0,'Données projet'!$E$9+1,1))-AVERAGE(OFFSET($H$3,0,0,'Données projet'!$E$9+1,1))</f>
        <v>332.70145542047612</v>
      </c>
      <c r="T198" s="57">
        <f t="shared" si="204"/>
        <v>172.22433737900428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25.707926268667755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25.707926268667755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69.456181441045331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-2.9842794901924208E-13</v>
      </c>
      <c r="AJ198" s="13">
        <f>AI198*VLOOKUP('Données projet'!$B$10,Paramètres!$A$1:$I$89,3,0)*VLOOKUP('Données projet'!$B$10,Paramètres!$A$1:$I$89,5,0)</f>
        <v>-2.7001760827261026E-13</v>
      </c>
      <c r="AK198" s="13" t="e">
        <f t="shared" si="164"/>
        <v>#NUM!</v>
      </c>
      <c r="AL198" s="20" t="e">
        <f t="shared" si="165"/>
        <v>#NUM!</v>
      </c>
      <c r="AM198" s="57" t="e">
        <f t="shared" si="193"/>
        <v>#NUM!</v>
      </c>
      <c r="AN198" s="57">
        <f ca="1">AVERAGE(OFFSET($AM$3,0,0,'Données projet'!$E$10+1,1))-AVERAGE(OFFSET($H$3,0,0,'Données projet'!$E$10+1,1))</f>
        <v>469.4210143164521</v>
      </c>
      <c r="AO198" s="57">
        <f t="shared" si="205"/>
        <v>308.4508386530556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75.924720461904627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75.924720461904627</v>
      </c>
      <c r="AY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69.456181441045331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7" t="e">
        <f t="shared" si="194"/>
        <v>#NUM!</v>
      </c>
      <c r="BI198" s="57">
        <f ca="1">AVERAGE(OFFSET($BH$3,0,0,'Données projet'!$E$11+1,1))-AVERAGE(OFFSET($H$3,0,0,'Données projet'!$E$11+1,1))</f>
        <v>344.32981377462971</v>
      </c>
      <c r="BJ198" s="57">
        <f t="shared" si="206"/>
        <v>334.42512656625763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11.904069400682594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11.904069400682594</v>
      </c>
      <c r="BT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69.456181441045331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4.5474735088646412E-13</v>
      </c>
      <c r="BZ198" s="13">
        <f>BY198*VLOOKUP('Données projet'!$B$12,Paramètres!$A$1:$I$89,3,0)*VLOOKUP('Données projet'!$B$12,Paramètres!$A$1:$I$89,5,0)</f>
        <v>4.3273757910355926E-13</v>
      </c>
      <c r="CA198" s="13">
        <f t="shared" si="170"/>
        <v>5.4817614357080839E-12</v>
      </c>
      <c r="CB198" s="20">
        <f t="shared" si="171"/>
        <v>1.0301085784130276E-11</v>
      </c>
      <c r="CC198" s="57">
        <f t="shared" si="195"/>
        <v>291.33933195050986</v>
      </c>
      <c r="CD198" s="57">
        <f ca="1">AVERAGE(OFFSET($CC$3,0,0,'Données projet'!$E$12+1,1))-AVERAGE(OFFSET($H$3,0,0,'Données projet'!$E$12+1,1))</f>
        <v>498.77732039282807</v>
      </c>
      <c r="CE198" s="57">
        <f t="shared" si="207"/>
        <v>384.57317421826531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41.904582094406976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41.904582094406976</v>
      </c>
      <c r="CO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69.456181441045331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-2.9842794901924208E-13</v>
      </c>
      <c r="CU198" s="17">
        <f>CT198*VLOOKUP('Données projet'!$B$13,Paramètres!$A$1:$I$89,3,0)*VLOOKUP('Données projet'!$B$13,Paramètres!$A$1:$I$89,5,0)</f>
        <v>-2.0018546820210759E-13</v>
      </c>
      <c r="CV198" s="13" t="e">
        <f t="shared" si="173"/>
        <v>#NUM!</v>
      </c>
      <c r="CW198" s="20" t="e">
        <f t="shared" si="174"/>
        <v>#NUM!</v>
      </c>
      <c r="CX198" s="57" t="e">
        <f t="shared" si="196"/>
        <v>#NUM!</v>
      </c>
      <c r="CY198" s="57">
        <f ca="1">AVERAGE(OFFSET($CX$3,0,0,'Données projet'!$E$13+1,1))-AVERAGE(OFFSET($H$3,0,0,'Données projet'!$E$13+1,1))</f>
        <v>365.99625753737246</v>
      </c>
      <c r="CZ198" s="57">
        <f t="shared" si="208"/>
        <v>242.84814712692287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69.379485939326614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69.379485939326614</v>
      </c>
      <c r="DJ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69.456181441045331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2.2737367544323206E-13</v>
      </c>
      <c r="DP198" s="17">
        <f>DO198*VLOOKUP('Données projet'!$B$14,Paramètres!$A$1:$I$89,3,0)*VLOOKUP('Données projet'!$B$14,Paramètres!$A$1:$I$89,5,0)</f>
        <v>1.4897523215040565E-13</v>
      </c>
      <c r="DQ198" s="13">
        <f t="shared" si="176"/>
        <v>2.136562777003313E-12</v>
      </c>
      <c r="DR198" s="20">
        <f t="shared" si="177"/>
        <v>3.9806453659427267E-12</v>
      </c>
      <c r="DS198" s="57">
        <f t="shared" si="197"/>
        <v>291.33933195050355</v>
      </c>
      <c r="DT198" s="57">
        <f ca="1">AVERAGE(OFFSET($DS$3,0,0,'Données projet'!$E$14+1,1))-AVERAGE(OFFSET($H$3,0,0,'Données projet'!$E$14+1,1))</f>
        <v>313.79279628660527</v>
      </c>
      <c r="DU198" s="57">
        <f t="shared" si="209"/>
        <v>317.45469955216254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11.565907127002529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11.565907127002529</v>
      </c>
      <c r="EE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69.456181441045331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-1.1368683772161603E-13</v>
      </c>
      <c r="EK198" s="17">
        <f>EJ198*VLOOKUP('Données projet'!$B$15,Paramètres!$A$1:$I$89,3,0)*VLOOKUP('Données projet'!$B$15,Paramètres!$A$1:$I$89,5,0)</f>
        <v>-9.7543306765146564E-14</v>
      </c>
      <c r="EL198" s="13" t="e">
        <f t="shared" si="179"/>
        <v>#NUM!</v>
      </c>
      <c r="EM198" s="20" t="e">
        <f t="shared" si="180"/>
        <v>#NUM!</v>
      </c>
      <c r="EN198" s="57" t="e">
        <f t="shared" si="198"/>
        <v>#NUM!</v>
      </c>
      <c r="EO198" s="57">
        <f ca="1">AVERAGE(OFFSET($EN$3,0,0,'Données projet'!$E$15+1,1))-AVERAGE(OFFSET($H$3,0,0,'Données projet'!$E$15+1,1))</f>
        <v>643.04899298561475</v>
      </c>
      <c r="EP198" s="57">
        <f t="shared" si="210"/>
        <v>474.94999304483031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42.87058125187567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42.87058125187567</v>
      </c>
      <c r="EZ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69.456181441045331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>
        <f>FE198*VLOOKUP('Données projet'!$B$16,Paramètres!$A$1:$I$89,3,0)*VLOOKUP('Données projet'!$B$16,Paramètres!$A$1:$I$89,5,0)</f>
        <v>0</v>
      </c>
      <c r="FG198" s="13" t="e">
        <f t="shared" si="182"/>
        <v>#NUM!</v>
      </c>
      <c r="FH198" s="20" t="e">
        <f t="shared" si="183"/>
        <v>#NUM!</v>
      </c>
      <c r="FI198" s="57" t="e">
        <f t="shared" si="199"/>
        <v>#NUM!</v>
      </c>
      <c r="FJ198" s="57">
        <f ca="1">AVERAGE(OFFSET($FI$3,0,0,'Données projet'!$E$16+1,1))-AVERAGE(OFFSET($H$3,0,0,'Données projet'!$E$16+1,1))</f>
        <v>375.34603719604439</v>
      </c>
      <c r="FK198" s="57">
        <f t="shared" si="211"/>
        <v>363.99476973672211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16.233357381633461</v>
      </c>
      <c r="FR198" s="21">
        <f>EXP(-LN(2)/25)*FR197+(1-EXP(-LN(2)/25))/(LN(2)/25)*Calculateur!FM198*Calculateur!FO198*VLOOKUP('Données projet'!$B$16,Paramètres!$A$1:$I$89,3,0)*0.475*44/12</f>
        <v>0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16.233357381633461</v>
      </c>
      <c r="FU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69.456181441045331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-1.1368683772161603E-13</v>
      </c>
      <c r="GA198" s="17">
        <f>FZ198*VLOOKUP('Données projet'!$B$17,Paramètres!$A$1:$I$89,3,0)*VLOOKUP('Données projet'!$B$17,Paramètres!$A$1:$I$89,5,0)</f>
        <v>-6.3550942286383367E-14</v>
      </c>
      <c r="GB198" s="13" t="e">
        <f t="shared" si="185"/>
        <v>#NUM!</v>
      </c>
      <c r="GC198" s="20" t="e">
        <f t="shared" si="186"/>
        <v>#NUM!</v>
      </c>
      <c r="GD198" s="57" t="e">
        <f t="shared" si="200"/>
        <v>#NUM!</v>
      </c>
      <c r="GE198" s="57">
        <f ca="1">AVERAGE(OFFSET($GD$3,0,0,'Données projet'!$E$17+1,1))-AVERAGE(OFFSET($H$3,0,0,'Données projet'!$E$17+1,1))</f>
        <v>414.47327143450701</v>
      </c>
      <c r="GF198" s="57">
        <f t="shared" si="212"/>
        <v>546.83385887302961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18.453415523217515</v>
      </c>
      <c r="GM198" s="21">
        <f>EXP(-LN(2)/25)*GM197+(1-EXP(-LN(2)/25))/(LN(2)/25)*Calculateur!GH198*Calculateur!GJ198*VLOOKUP('Données projet'!$B$17,Paramètres!$A$1:$I$89,3,0)*0.475*44/12</f>
        <v>1.2767214421320878</v>
      </c>
      <c r="GN198" s="21">
        <f>EXP(-LN(2)/2)*GN197+(1-EXP(-LN(2)/2))/(LN(2)/2)*GH198*GK198*VLOOKUP('Données projet'!$B$17,Paramètres!$A$1:$I$89,3,0)*0.475*44/12</f>
        <v>2.4884256300435138E-20</v>
      </c>
      <c r="GO198" s="21">
        <f t="shared" si="187"/>
        <v>19.730136965349605</v>
      </c>
      <c r="GP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69.456181441045331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-2.2737367544323206E-13</v>
      </c>
      <c r="GV198" s="17">
        <f>GU198*VLOOKUP('Données projet'!$B$18,Paramètres!$A$1:$I$89,3,0)*VLOOKUP('Données projet'!$B$18,Paramètres!$A$1:$I$89,5,0)</f>
        <v>-1.2414602679200471E-13</v>
      </c>
      <c r="GW198" s="13" t="e">
        <f t="shared" si="188"/>
        <v>#NUM!</v>
      </c>
      <c r="GX198" s="20" t="e">
        <f t="shared" si="189"/>
        <v>#NUM!</v>
      </c>
      <c r="GY198" s="57" t="e">
        <f t="shared" si="201"/>
        <v>#NUM!</v>
      </c>
      <c r="GZ198" s="57">
        <f ca="1">AVERAGE(OFFSET($GY$3,0,0,'Données projet'!$E$18+1,1))-AVERAGE(OFFSET($H$3,0,0,'Données projet'!$E$18+1,1))</f>
        <v>381.00532469288714</v>
      </c>
      <c r="HA198" s="57">
        <f t="shared" si="213"/>
        <v>314.875259641757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>
        <f>EXP(-LN(2)/35)*HG197+(1-EXP(-LN(2)/35))/(LN(2)/35)*HC198*HD198*VLOOKUP('Données projet'!$B$18,Paramètres!$A$1:$I$89,3,0)*0.475*44/12</f>
        <v>31.087473857527648</v>
      </c>
      <c r="HH198" s="21">
        <f>EXP(-LN(2)/25)*HH197+(1-EXP(-LN(2)/25))/(LN(2)/25)*Calculateur!HC198*Calculateur!HE198*VLOOKUP('Données projet'!$B$18,Paramètres!$A$1:$I$89,3,0)*0.475*44/12</f>
        <v>2.3687581424571178</v>
      </c>
      <c r="HI198" s="21">
        <f>EXP(-LN(2)/2)*HI197+(1-EXP(-LN(2)/2))/(LN(2)/2)*HC198*HF198*VLOOKUP('Données projet'!$B$18,Paramètres!$A$1:$I$89,3,0)*0.475*44/12</f>
        <v>1.2547069852796235E-13</v>
      </c>
      <c r="HJ198" s="22">
        <f t="shared" si="190"/>
        <v>33.456231999984894</v>
      </c>
    </row>
    <row r="199" spans="1:218" x14ac:dyDescent="0.2">
      <c r="A199" s="10">
        <f t="shared" si="161"/>
        <v>196</v>
      </c>
      <c r="B199" s="71">
        <f>'Scénario référence'!$B$16*5+'Scénario référence'!$B$17*0+'Scénario référence'!$B$18*5</f>
        <v>3.3000000000000003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12.100000000000001</v>
      </c>
      <c r="H199" s="65">
        <f t="shared" si="192"/>
        <v>208.26666666666665</v>
      </c>
      <c r="I199" s="6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69.465615477247042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-1.1527845344971866E-13</v>
      </c>
      <c r="P199" s="13" t="e">
        <f t="shared" si="203"/>
        <v>#NUM!</v>
      </c>
      <c r="Q199" s="20" t="e">
        <f t="shared" si="162"/>
        <v>#NUM!</v>
      </c>
      <c r="R199" s="57" t="e">
        <f t="shared" si="191"/>
        <v>#NUM!</v>
      </c>
      <c r="S199" s="57">
        <f ca="1">AVERAGE(OFFSET($R$3,0,0,'Données projet'!$E$9+1,1))-AVERAGE(OFFSET($H$3,0,0,'Données projet'!$E$9+1,1))</f>
        <v>332.70145542047612</v>
      </c>
      <c r="T199" s="57">
        <f t="shared" si="204"/>
        <v>172.22433737900428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25.203809514825906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25.203809514825906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69.465615477247042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-2.9842794901924208E-13</v>
      </c>
      <c r="AJ199" s="13">
        <f>AI199*VLOOKUP('Données projet'!$B$10,Paramètres!$A$1:$I$89,3,0)*VLOOKUP('Données projet'!$B$10,Paramètres!$A$1:$I$89,5,0)</f>
        <v>-2.7001760827261026E-13</v>
      </c>
      <c r="AK199" s="13" t="e">
        <f t="shared" si="164"/>
        <v>#NUM!</v>
      </c>
      <c r="AL199" s="20" t="e">
        <f t="shared" si="165"/>
        <v>#NUM!</v>
      </c>
      <c r="AM199" s="57" t="e">
        <f t="shared" si="193"/>
        <v>#NUM!</v>
      </c>
      <c r="AN199" s="57">
        <f ca="1">AVERAGE(OFFSET($AM$3,0,0,'Données projet'!$E$10+1,1))-AVERAGE(OFFSET($H$3,0,0,'Données projet'!$E$10+1,1))</f>
        <v>469.4210143164521</v>
      </c>
      <c r="AO199" s="57">
        <f t="shared" si="205"/>
        <v>308.4508386530556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74.435883003153478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74.435883003153478</v>
      </c>
      <c r="AY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69.465615477247042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7" t="e">
        <f t="shared" si="194"/>
        <v>#NUM!</v>
      </c>
      <c r="BI199" s="57">
        <f ca="1">AVERAGE(OFFSET($BH$3,0,0,'Données projet'!$E$11+1,1))-AVERAGE(OFFSET($H$3,0,0,'Données projet'!$E$11+1,1))</f>
        <v>344.32981377462971</v>
      </c>
      <c r="BJ199" s="57">
        <f t="shared" si="206"/>
        <v>334.42512656625763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11.670637860500602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11.670637860500602</v>
      </c>
      <c r="BT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69.465615477247042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4.5474735088646412E-13</v>
      </c>
      <c r="BZ199" s="13">
        <f>BY199*VLOOKUP('Données projet'!$B$12,Paramètres!$A$1:$I$89,3,0)*VLOOKUP('Données projet'!$B$12,Paramètres!$A$1:$I$89,5,0)</f>
        <v>4.3273757910355926E-13</v>
      </c>
      <c r="CA199" s="13">
        <f t="shared" si="170"/>
        <v>5.4817614357080839E-12</v>
      </c>
      <c r="CB199" s="20">
        <f t="shared" si="171"/>
        <v>1.0301085784130276E-11</v>
      </c>
      <c r="CC199" s="57">
        <f t="shared" si="195"/>
        <v>291.37392341658278</v>
      </c>
      <c r="CD199" s="57">
        <f ca="1">AVERAGE(OFFSET($CC$3,0,0,'Données projet'!$E$12+1,1))-AVERAGE(OFFSET($H$3,0,0,'Données projet'!$E$12+1,1))</f>
        <v>498.77732039282807</v>
      </c>
      <c r="CE199" s="57">
        <f t="shared" si="207"/>
        <v>384.57317421826531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41.082858798806967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41.082858798806967</v>
      </c>
      <c r="CO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69.465615477247042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-2.9842794901924208E-13</v>
      </c>
      <c r="CU199" s="17">
        <f>CT199*VLOOKUP('Données projet'!$B$13,Paramètres!$A$1:$I$89,3,0)*VLOOKUP('Données projet'!$B$13,Paramètres!$A$1:$I$89,5,0)</f>
        <v>-2.0018546820210759E-13</v>
      </c>
      <c r="CV199" s="13" t="e">
        <f t="shared" si="173"/>
        <v>#NUM!</v>
      </c>
      <c r="CW199" s="20" t="e">
        <f t="shared" si="174"/>
        <v>#NUM!</v>
      </c>
      <c r="CX199" s="57" t="e">
        <f t="shared" si="196"/>
        <v>#NUM!</v>
      </c>
      <c r="CY199" s="57">
        <f ca="1">AVERAGE(OFFSET($CX$3,0,0,'Données projet'!$E$13+1,1))-AVERAGE(OFFSET($H$3,0,0,'Données projet'!$E$13+1,1))</f>
        <v>365.99625753737246</v>
      </c>
      <c r="CZ199" s="57">
        <f t="shared" si="208"/>
        <v>242.84814712692287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68.018996537364359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68.018996537364359</v>
      </c>
      <c r="DJ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69.465615477247042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2.2737367544323206E-13</v>
      </c>
      <c r="DP199" s="17">
        <f>DO199*VLOOKUP('Données projet'!$B$14,Paramètres!$A$1:$I$89,3,0)*VLOOKUP('Données projet'!$B$14,Paramètres!$A$1:$I$89,5,0)</f>
        <v>1.4897523215040565E-13</v>
      </c>
      <c r="DQ199" s="13">
        <f t="shared" si="176"/>
        <v>2.136562777003313E-12</v>
      </c>
      <c r="DR199" s="20">
        <f t="shared" si="177"/>
        <v>3.9806453659427267E-12</v>
      </c>
      <c r="DS199" s="57">
        <f t="shared" si="197"/>
        <v>291.37392341657647</v>
      </c>
      <c r="DT199" s="57">
        <f ca="1">AVERAGE(OFFSET($DS$3,0,0,'Données projet'!$E$14+1,1))-AVERAGE(OFFSET($H$3,0,0,'Données projet'!$E$14+1,1))</f>
        <v>313.79279628660527</v>
      </c>
      <c r="DU199" s="57">
        <f t="shared" si="209"/>
        <v>317.45469955216254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11.339106742748783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11.339106742748783</v>
      </c>
      <c r="EE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69.465615477247042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-1.1368683772161603E-13</v>
      </c>
      <c r="EK199" s="17">
        <f>EJ199*VLOOKUP('Données projet'!$B$15,Paramètres!$A$1:$I$89,3,0)*VLOOKUP('Données projet'!$B$15,Paramètres!$A$1:$I$89,5,0)</f>
        <v>-9.7543306765146564E-14</v>
      </c>
      <c r="EL199" s="13" t="e">
        <f t="shared" si="179"/>
        <v>#NUM!</v>
      </c>
      <c r="EM199" s="20" t="e">
        <f t="shared" si="180"/>
        <v>#NUM!</v>
      </c>
      <c r="EN199" s="57" t="e">
        <f t="shared" si="198"/>
        <v>#NUM!</v>
      </c>
      <c r="EO199" s="57">
        <f ca="1">AVERAGE(OFFSET($EN$3,0,0,'Données projet'!$E$15+1,1))-AVERAGE(OFFSET($H$3,0,0,'Données projet'!$E$15+1,1))</f>
        <v>643.04899298561475</v>
      </c>
      <c r="EP199" s="57">
        <f t="shared" si="210"/>
        <v>474.94999304483031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42.029915301999004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42.029915301999004</v>
      </c>
      <c r="EZ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69.465615477247042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>
        <f>FE199*VLOOKUP('Données projet'!$B$16,Paramètres!$A$1:$I$89,3,0)*VLOOKUP('Données projet'!$B$16,Paramètres!$A$1:$I$89,5,0)</f>
        <v>0</v>
      </c>
      <c r="FG199" s="13" t="e">
        <f t="shared" si="182"/>
        <v>#NUM!</v>
      </c>
      <c r="FH199" s="20" t="e">
        <f t="shared" si="183"/>
        <v>#NUM!</v>
      </c>
      <c r="FI199" s="57" t="e">
        <f t="shared" si="199"/>
        <v>#NUM!</v>
      </c>
      <c r="FJ199" s="57">
        <f ca="1">AVERAGE(OFFSET($FI$3,0,0,'Données projet'!$E$16+1,1))-AVERAGE(OFFSET($H$3,0,0,'Données projet'!$E$16+1,1))</f>
        <v>375.34603719604439</v>
      </c>
      <c r="FK199" s="57">
        <f t="shared" si="211"/>
        <v>363.99476973672211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15.915031144749952</v>
      </c>
      <c r="FR199" s="21">
        <f>EXP(-LN(2)/25)*FR198+(1-EXP(-LN(2)/25))/(LN(2)/25)*Calculateur!FM199*Calculateur!FO199*VLOOKUP('Données projet'!$B$16,Paramètres!$A$1:$I$89,3,0)*0.475*44/12</f>
        <v>0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15.915031144749952</v>
      </c>
      <c r="FU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69.465615477247042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-1.1368683772161603E-13</v>
      </c>
      <c r="GA199" s="17">
        <f>FZ199*VLOOKUP('Données projet'!$B$17,Paramètres!$A$1:$I$89,3,0)*VLOOKUP('Données projet'!$B$17,Paramètres!$A$1:$I$89,5,0)</f>
        <v>-6.3550942286383367E-14</v>
      </c>
      <c r="GB199" s="13" t="e">
        <f t="shared" si="185"/>
        <v>#NUM!</v>
      </c>
      <c r="GC199" s="20" t="e">
        <f t="shared" si="186"/>
        <v>#NUM!</v>
      </c>
      <c r="GD199" s="57" t="e">
        <f t="shared" si="200"/>
        <v>#NUM!</v>
      </c>
      <c r="GE199" s="57">
        <f ca="1">AVERAGE(OFFSET($GD$3,0,0,'Données projet'!$E$17+1,1))-AVERAGE(OFFSET($H$3,0,0,'Données projet'!$E$17+1,1))</f>
        <v>414.47327143450701</v>
      </c>
      <c r="GF199" s="57">
        <f t="shared" si="212"/>
        <v>546.83385887302961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18.091555300279303</v>
      </c>
      <c r="GM199" s="21">
        <f>EXP(-LN(2)/25)*GM198+(1-EXP(-LN(2)/25))/(LN(2)/25)*Calculateur!GH199*Calculateur!GJ199*VLOOKUP('Données projet'!$B$17,Paramètres!$A$1:$I$89,3,0)*0.475*44/12</f>
        <v>1.2418094271571232</v>
      </c>
      <c r="GN199" s="21">
        <f>EXP(-LN(2)/2)*GN198+(1-EXP(-LN(2)/2))/(LN(2)/2)*GH199*GK199*VLOOKUP('Données projet'!$B$17,Paramètres!$A$1:$I$89,3,0)*0.475*44/12</f>
        <v>1.7595826374821756E-20</v>
      </c>
      <c r="GO199" s="21">
        <f t="shared" si="187"/>
        <v>19.333364727436425</v>
      </c>
      <c r="GP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69.465615477247042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-2.2737367544323206E-13</v>
      </c>
      <c r="GV199" s="17">
        <f>GU199*VLOOKUP('Données projet'!$B$18,Paramètres!$A$1:$I$89,3,0)*VLOOKUP('Données projet'!$B$18,Paramètres!$A$1:$I$89,5,0)</f>
        <v>-1.2414602679200471E-13</v>
      </c>
      <c r="GW199" s="13" t="e">
        <f t="shared" si="188"/>
        <v>#NUM!</v>
      </c>
      <c r="GX199" s="20" t="e">
        <f t="shared" si="189"/>
        <v>#NUM!</v>
      </c>
      <c r="GY199" s="57" t="e">
        <f t="shared" si="201"/>
        <v>#NUM!</v>
      </c>
      <c r="GZ199" s="57">
        <f ca="1">AVERAGE(OFFSET($GY$3,0,0,'Données projet'!$E$18+1,1))-AVERAGE(OFFSET($H$3,0,0,'Données projet'!$E$18+1,1))</f>
        <v>381.00532469288714</v>
      </c>
      <c r="HA199" s="57">
        <f t="shared" si="213"/>
        <v>314.875259641757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>
        <f>EXP(-LN(2)/35)*HG198+(1-EXP(-LN(2)/35))/(LN(2)/35)*HC199*HD199*VLOOKUP('Données projet'!$B$18,Paramètres!$A$1:$I$89,3,0)*0.475*44/12</f>
        <v>30.477867456668292</v>
      </c>
      <c r="HH199" s="21">
        <f>EXP(-LN(2)/25)*HH198+(1-EXP(-LN(2)/25))/(LN(2)/25)*Calculateur!HC199*Calculateur!HE199*VLOOKUP('Données projet'!$B$18,Paramètres!$A$1:$I$89,3,0)*0.475*44/12</f>
        <v>2.3039843264840512</v>
      </c>
      <c r="HI199" s="21">
        <f>EXP(-LN(2)/2)*HI198+(1-EXP(-LN(2)/2))/(LN(2)/2)*HC199*HF199*VLOOKUP('Données projet'!$B$18,Paramètres!$A$1:$I$89,3,0)*0.475*44/12</f>
        <v>8.8721181769335142E-14</v>
      </c>
      <c r="HJ199" s="22">
        <f t="shared" si="190"/>
        <v>32.781851783152426</v>
      </c>
    </row>
    <row r="200" spans="1:218" x14ac:dyDescent="0.2">
      <c r="A200" s="10">
        <f t="shared" si="161"/>
        <v>197</v>
      </c>
      <c r="B200" s="71">
        <f>'Scénario référence'!$B$16*5+'Scénario référence'!$B$17*0+'Scénario référence'!$B$18*5</f>
        <v>3.3000000000000003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12.100000000000001</v>
      </c>
      <c r="H200" s="65">
        <f t="shared" si="192"/>
        <v>208.26666666666665</v>
      </c>
      <c r="I200" s="6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69.474885854011987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-1.1527845344971866E-13</v>
      </c>
      <c r="P200" s="13" t="e">
        <f t="shared" si="203"/>
        <v>#NUM!</v>
      </c>
      <c r="Q200" s="20" t="e">
        <f t="shared" si="162"/>
        <v>#NUM!</v>
      </c>
      <c r="R200" s="57" t="e">
        <f t="shared" si="191"/>
        <v>#NUM!</v>
      </c>
      <c r="S200" s="57">
        <f ca="1">AVERAGE(OFFSET($R$3,0,0,'Données projet'!$E$9+1,1))-AVERAGE(OFFSET($H$3,0,0,'Données projet'!$E$9+1,1))</f>
        <v>332.70145542047612</v>
      </c>
      <c r="T200" s="57">
        <f t="shared" si="204"/>
        <v>172.22433737900428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24.709578183046034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24.709578183046034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69.474885854011987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-2.9842794901924208E-13</v>
      </c>
      <c r="AJ200" s="13">
        <f>AI200*VLOOKUP('Données projet'!$B$10,Paramètres!$A$1:$I$89,3,0)*VLOOKUP('Données projet'!$B$10,Paramètres!$A$1:$I$89,5,0)</f>
        <v>-2.7001760827261026E-13</v>
      </c>
      <c r="AK200" s="13" t="e">
        <f t="shared" si="164"/>
        <v>#NUM!</v>
      </c>
      <c r="AL200" s="20" t="e">
        <f t="shared" si="165"/>
        <v>#NUM!</v>
      </c>
      <c r="AM200" s="57" t="e">
        <f t="shared" si="193"/>
        <v>#NUM!</v>
      </c>
      <c r="AN200" s="57">
        <f ca="1">AVERAGE(OFFSET($AM$3,0,0,'Données projet'!$E$10+1,1))-AVERAGE(OFFSET($H$3,0,0,'Données projet'!$E$10+1,1))</f>
        <v>469.4210143164521</v>
      </c>
      <c r="AO200" s="57">
        <f t="shared" si="205"/>
        <v>308.4508386530556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72.976240738867247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72.976240738867247</v>
      </c>
      <c r="AY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69.474885854011987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7" t="e">
        <f t="shared" si="194"/>
        <v>#NUM!</v>
      </c>
      <c r="BI200" s="57">
        <f ca="1">AVERAGE(OFFSET($BH$3,0,0,'Données projet'!$E$11+1,1))-AVERAGE(OFFSET($H$3,0,0,'Données projet'!$E$11+1,1))</f>
        <v>344.32981377462971</v>
      </c>
      <c r="BJ200" s="57">
        <f t="shared" si="206"/>
        <v>334.42512656625763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11.441783770442397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11.441783770442397</v>
      </c>
      <c r="BT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69.474885854011987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4.5474735088646412E-13</v>
      </c>
      <c r="BZ200" s="13">
        <f>BY200*VLOOKUP('Données projet'!$B$12,Paramètres!$A$1:$I$89,3,0)*VLOOKUP('Données projet'!$B$12,Paramètres!$A$1:$I$89,5,0)</f>
        <v>4.3273757910355926E-13</v>
      </c>
      <c r="CA200" s="13">
        <f t="shared" si="170"/>
        <v>5.4817614357080839E-12</v>
      </c>
      <c r="CB200" s="20">
        <f t="shared" si="171"/>
        <v>1.0301085784130276E-11</v>
      </c>
      <c r="CC200" s="57">
        <f t="shared" si="195"/>
        <v>291.40791479805421</v>
      </c>
      <c r="CD200" s="57">
        <f ca="1">AVERAGE(OFFSET($CC$3,0,0,'Données projet'!$E$12+1,1))-AVERAGE(OFFSET($H$3,0,0,'Données projet'!$E$12+1,1))</f>
        <v>498.77732039282807</v>
      </c>
      <c r="CE200" s="57">
        <f t="shared" si="207"/>
        <v>384.57317421826531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40.277248995831954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40.277248995831954</v>
      </c>
      <c r="CO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69.474885854011987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-2.9842794901924208E-13</v>
      </c>
      <c r="CU200" s="17">
        <f>CT200*VLOOKUP('Données projet'!$B$13,Paramètres!$A$1:$I$89,3,0)*VLOOKUP('Données projet'!$B$13,Paramètres!$A$1:$I$89,5,0)</f>
        <v>-2.0018546820210759E-13</v>
      </c>
      <c r="CV200" s="13" t="e">
        <f t="shared" si="173"/>
        <v>#NUM!</v>
      </c>
      <c r="CW200" s="20" t="e">
        <f t="shared" si="174"/>
        <v>#NUM!</v>
      </c>
      <c r="CX200" s="57" t="e">
        <f t="shared" si="196"/>
        <v>#NUM!</v>
      </c>
      <c r="CY200" s="57">
        <f ca="1">AVERAGE(OFFSET($CX$3,0,0,'Données projet'!$E$13+1,1))-AVERAGE(OFFSET($H$3,0,0,'Données projet'!$E$13+1,1))</f>
        <v>365.99625753737246</v>
      </c>
      <c r="CZ200" s="57">
        <f t="shared" si="208"/>
        <v>242.84814712692287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66.685185502757989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66.685185502757989</v>
      </c>
      <c r="DJ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69.474885854011987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2.2737367544323206E-13</v>
      </c>
      <c r="DP200" s="17">
        <f>DO200*VLOOKUP('Données projet'!$B$14,Paramètres!$A$1:$I$89,3,0)*VLOOKUP('Données projet'!$B$14,Paramètres!$A$1:$I$89,5,0)</f>
        <v>1.4897523215040565E-13</v>
      </c>
      <c r="DQ200" s="13">
        <f t="shared" si="176"/>
        <v>2.136562777003313E-12</v>
      </c>
      <c r="DR200" s="20">
        <f t="shared" si="177"/>
        <v>3.9806453659427267E-12</v>
      </c>
      <c r="DS200" s="57">
        <f t="shared" si="197"/>
        <v>291.4079147980479</v>
      </c>
      <c r="DT200" s="57">
        <f ca="1">AVERAGE(OFFSET($DS$3,0,0,'Données projet'!$E$14+1,1))-AVERAGE(OFFSET($H$3,0,0,'Données projet'!$E$14+1,1))</f>
        <v>313.79279628660527</v>
      </c>
      <c r="DU200" s="57">
        <f t="shared" si="209"/>
        <v>317.45469955216254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11.116753775695678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11.116753775695678</v>
      </c>
      <c r="EE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69.474885854011987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-1.1368683772161603E-13</v>
      </c>
      <c r="EK200" s="17">
        <f>EJ200*VLOOKUP('Données projet'!$B$15,Paramètres!$A$1:$I$89,3,0)*VLOOKUP('Données projet'!$B$15,Paramètres!$A$1:$I$89,5,0)</f>
        <v>-9.7543306765146564E-14</v>
      </c>
      <c r="EL200" s="13" t="e">
        <f t="shared" si="179"/>
        <v>#NUM!</v>
      </c>
      <c r="EM200" s="20" t="e">
        <f t="shared" si="180"/>
        <v>#NUM!</v>
      </c>
      <c r="EN200" s="57" t="e">
        <f t="shared" si="198"/>
        <v>#NUM!</v>
      </c>
      <c r="EO200" s="57">
        <f ca="1">AVERAGE(OFFSET($EN$3,0,0,'Données projet'!$E$15+1,1))-AVERAGE(OFFSET($H$3,0,0,'Données projet'!$E$15+1,1))</f>
        <v>643.04899298561475</v>
      </c>
      <c r="EP200" s="57">
        <f t="shared" si="210"/>
        <v>474.94999304483031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41.205734298643819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41.205734298643819</v>
      </c>
      <c r="EZ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69.474885854011987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>
        <f>FE200*VLOOKUP('Données projet'!$B$16,Paramètres!$A$1:$I$89,3,0)*VLOOKUP('Données projet'!$B$16,Paramètres!$A$1:$I$89,5,0)</f>
        <v>0</v>
      </c>
      <c r="FG200" s="13" t="e">
        <f t="shared" si="182"/>
        <v>#NUM!</v>
      </c>
      <c r="FH200" s="20" t="e">
        <f t="shared" si="183"/>
        <v>#NUM!</v>
      </c>
      <c r="FI200" s="57" t="e">
        <f t="shared" si="199"/>
        <v>#NUM!</v>
      </c>
      <c r="FJ200" s="57">
        <f ca="1">AVERAGE(OFFSET($FI$3,0,0,'Données projet'!$E$16+1,1))-AVERAGE(OFFSET($H$3,0,0,'Données projet'!$E$16+1,1))</f>
        <v>375.34603719604439</v>
      </c>
      <c r="FK200" s="57">
        <f t="shared" si="211"/>
        <v>363.99476973672211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15.602947091211895</v>
      </c>
      <c r="FR200" s="21">
        <f>EXP(-LN(2)/25)*FR199+(1-EXP(-LN(2)/25))/(LN(2)/25)*Calculateur!FM200*Calculateur!FO200*VLOOKUP('Données projet'!$B$16,Paramètres!$A$1:$I$89,3,0)*0.475*44/12</f>
        <v>0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15.602947091211895</v>
      </c>
      <c r="FU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69.474885854011987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-1.1368683772161603E-13</v>
      </c>
      <c r="GA200" s="17">
        <f>FZ200*VLOOKUP('Données projet'!$B$17,Paramètres!$A$1:$I$89,3,0)*VLOOKUP('Données projet'!$B$17,Paramètres!$A$1:$I$89,5,0)</f>
        <v>-6.3550942286383367E-14</v>
      </c>
      <c r="GB200" s="13" t="e">
        <f t="shared" si="185"/>
        <v>#NUM!</v>
      </c>
      <c r="GC200" s="20" t="e">
        <f t="shared" si="186"/>
        <v>#NUM!</v>
      </c>
      <c r="GD200" s="57" t="e">
        <f t="shared" si="200"/>
        <v>#NUM!</v>
      </c>
      <c r="GE200" s="57">
        <f ca="1">AVERAGE(OFFSET($GD$3,0,0,'Données projet'!$E$17+1,1))-AVERAGE(OFFSET($H$3,0,0,'Données projet'!$E$17+1,1))</f>
        <v>414.47327143450701</v>
      </c>
      <c r="GF200" s="57">
        <f t="shared" si="212"/>
        <v>546.83385887302961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17.736790935599966</v>
      </c>
      <c r="GM200" s="21">
        <f>EXP(-LN(2)/25)*GM199+(1-EXP(-LN(2)/25))/(LN(2)/25)*Calculateur!GH200*Calculateur!GJ200*VLOOKUP('Données projet'!$B$17,Paramètres!$A$1:$I$89,3,0)*0.475*44/12</f>
        <v>1.2078520830675921</v>
      </c>
      <c r="GN200" s="21">
        <f>EXP(-LN(2)/2)*GN199+(1-EXP(-LN(2)/2))/(LN(2)/2)*GH200*GK200*VLOOKUP('Données projet'!$B$17,Paramètres!$A$1:$I$89,3,0)*0.475*44/12</f>
        <v>1.2442128150217569E-20</v>
      </c>
      <c r="GO200" s="21">
        <f t="shared" si="187"/>
        <v>18.944643018667559</v>
      </c>
      <c r="GP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69.474885854011987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-2.2737367544323206E-13</v>
      </c>
      <c r="GV200" s="17">
        <f>GU200*VLOOKUP('Données projet'!$B$18,Paramètres!$A$1:$I$89,3,0)*VLOOKUP('Données projet'!$B$18,Paramètres!$A$1:$I$89,5,0)</f>
        <v>-1.2414602679200471E-13</v>
      </c>
      <c r="GW200" s="13" t="e">
        <f t="shared" si="188"/>
        <v>#NUM!</v>
      </c>
      <c r="GX200" s="20" t="e">
        <f t="shared" si="189"/>
        <v>#NUM!</v>
      </c>
      <c r="GY200" s="57" t="e">
        <f t="shared" si="201"/>
        <v>#NUM!</v>
      </c>
      <c r="GZ200" s="57">
        <f ca="1">AVERAGE(OFFSET($GY$3,0,0,'Données projet'!$E$18+1,1))-AVERAGE(OFFSET($H$3,0,0,'Données projet'!$E$18+1,1))</f>
        <v>381.00532469288714</v>
      </c>
      <c r="HA200" s="57">
        <f t="shared" si="213"/>
        <v>314.875259641757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>
        <f>EXP(-LN(2)/35)*HG199+(1-EXP(-LN(2)/35))/(LN(2)/35)*HC200*HD200*VLOOKUP('Données projet'!$B$18,Paramètres!$A$1:$I$89,3,0)*0.475*44/12</f>
        <v>29.880215065506597</v>
      </c>
      <c r="HH200" s="21">
        <f>EXP(-LN(2)/25)*HH199+(1-EXP(-LN(2)/25))/(LN(2)/25)*Calculateur!HC200*Calculateur!HE200*VLOOKUP('Données projet'!$B$18,Paramètres!$A$1:$I$89,3,0)*0.475*44/12</f>
        <v>2.2409817539150749</v>
      </c>
      <c r="HI200" s="21">
        <f>EXP(-LN(2)/2)*HI199+(1-EXP(-LN(2)/2))/(LN(2)/2)*HC200*HF200*VLOOKUP('Données projet'!$B$18,Paramètres!$A$1:$I$89,3,0)*0.475*44/12</f>
        <v>6.2735349263981173E-14</v>
      </c>
      <c r="HJ200" s="22">
        <f t="shared" si="190"/>
        <v>32.121196819421733</v>
      </c>
    </row>
    <row r="201" spans="1:218" x14ac:dyDescent="0.2">
      <c r="A201" s="10">
        <f>A200+1</f>
        <v>198</v>
      </c>
      <c r="B201" s="71">
        <f>'Scénario référence'!$B$16*5+'Scénario référence'!$B$17*0+'Scénario référence'!$B$18*5</f>
        <v>3.3000000000000003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12.100000000000001</v>
      </c>
      <c r="H201" s="65">
        <f t="shared" si="192"/>
        <v>208.26666666666665</v>
      </c>
      <c r="I201" s="6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69.483995410465525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-1.1527845344971866E-13</v>
      </c>
      <c r="P201" s="13" t="e">
        <f t="shared" si="203"/>
        <v>#NUM!</v>
      </c>
      <c r="Q201" s="20" t="e">
        <f t="shared" si="162"/>
        <v>#NUM!</v>
      </c>
      <c r="R201" s="57" t="e">
        <f t="shared" si="191"/>
        <v>#NUM!</v>
      </c>
      <c r="S201" s="57">
        <f ca="1">AVERAGE(OFFSET($R$3,0,0,'Données projet'!$E$9+1,1))-AVERAGE(OFFSET($H$3,0,0,'Données projet'!$E$9+1,1))</f>
        <v>332.70145542047612</v>
      </c>
      <c r="T201" s="57">
        <f t="shared" si="204"/>
        <v>172.22433737900428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24.22503842623102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24.22503842623102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69.483995410465525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-2.9842794901924208E-13</v>
      </c>
      <c r="AJ201" s="13">
        <f>AI201*VLOOKUP('Données projet'!$B$10,Paramètres!$A$1:$I$89,3,0)*VLOOKUP('Données projet'!$B$10,Paramètres!$A$1:$I$89,5,0)</f>
        <v>-2.7001760827261026E-13</v>
      </c>
      <c r="AK201" s="13" t="e">
        <f t="shared" si="164"/>
        <v>#NUM!</v>
      </c>
      <c r="AL201" s="20" t="e">
        <f t="shared" si="165"/>
        <v>#NUM!</v>
      </c>
      <c r="AM201" s="57" t="e">
        <f t="shared" si="193"/>
        <v>#NUM!</v>
      </c>
      <c r="AN201" s="57">
        <f ca="1">AVERAGE(OFFSET($AM$3,0,0,'Données projet'!$E$10+1,1))-AVERAGE(OFFSET($H$3,0,0,'Données projet'!$E$10+1,1))</f>
        <v>469.4210143164521</v>
      </c>
      <c r="AO201" s="57">
        <f t="shared" si="205"/>
        <v>308.4508386530556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71.5452211690898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71.5452211690898</v>
      </c>
      <c r="AY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69.483995410465525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7" t="e">
        <f t="shared" si="194"/>
        <v>#NUM!</v>
      </c>
      <c r="BI201" s="57">
        <f ca="1">AVERAGE(OFFSET($BH$3,0,0,'Données projet'!$E$11+1,1))-AVERAGE(OFFSET($H$3,0,0,'Données projet'!$E$11+1,1))</f>
        <v>344.32981377462971</v>
      </c>
      <c r="BJ201" s="57">
        <f t="shared" si="206"/>
        <v>334.42512656625763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11.217417369503023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11.217417369503023</v>
      </c>
      <c r="BT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69.483995410465525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4.5474735088646412E-13</v>
      </c>
      <c r="BZ201" s="13">
        <f>BY201*VLOOKUP('Données projet'!$B$12,Paramètres!$A$1:$I$89,3,0)*VLOOKUP('Données projet'!$B$12,Paramètres!$A$1:$I$89,5,0)</f>
        <v>4.3273757910355926E-13</v>
      </c>
      <c r="CA201" s="13">
        <f t="shared" si="170"/>
        <v>5.4817614357080839E-12</v>
      </c>
      <c r="CB201" s="20">
        <f t="shared" si="171"/>
        <v>1.0301085784130276E-11</v>
      </c>
      <c r="CC201" s="57">
        <f t="shared" si="195"/>
        <v>291.44131650505057</v>
      </c>
      <c r="CD201" s="57">
        <f ca="1">AVERAGE(OFFSET($CC$3,0,0,'Données projet'!$E$12+1,1))-AVERAGE(OFFSET($H$3,0,0,'Données projet'!$E$12+1,1))</f>
        <v>498.77732039282807</v>
      </c>
      <c r="CE201" s="57">
        <f t="shared" si="207"/>
        <v>384.57317421826531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39.487436709719816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39.487436709719816</v>
      </c>
      <c r="CO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69.483995410465525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-2.9842794901924208E-13</v>
      </c>
      <c r="CU201" s="17">
        <f>CT201*VLOOKUP('Données projet'!$B$13,Paramètres!$A$1:$I$89,3,0)*VLOOKUP('Données projet'!$B$13,Paramètres!$A$1:$I$89,5,0)</f>
        <v>-2.0018546820210759E-13</v>
      </c>
      <c r="CV201" s="13" t="e">
        <f t="shared" si="173"/>
        <v>#NUM!</v>
      </c>
      <c r="CW201" s="20" t="e">
        <f t="shared" si="174"/>
        <v>#NUM!</v>
      </c>
      <c r="CX201" s="57" t="e">
        <f t="shared" si="196"/>
        <v>#NUM!</v>
      </c>
      <c r="CY201" s="57">
        <f ca="1">AVERAGE(OFFSET($CX$3,0,0,'Données projet'!$E$13+1,1))-AVERAGE(OFFSET($H$3,0,0,'Données projet'!$E$13+1,1))</f>
        <v>365.99625753737246</v>
      </c>
      <c r="CZ201" s="57">
        <f t="shared" si="208"/>
        <v>242.84814712692287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65.377529688995835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65.377529688995835</v>
      </c>
      <c r="DJ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69.483995410465525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2.2737367544323206E-13</v>
      </c>
      <c r="DP201" s="17">
        <f>DO201*VLOOKUP('Données projet'!$B$14,Paramètres!$A$1:$I$89,3,0)*VLOOKUP('Données projet'!$B$14,Paramètres!$A$1:$I$89,5,0)</f>
        <v>1.4897523215040565E-13</v>
      </c>
      <c r="DQ201" s="13">
        <f t="shared" si="176"/>
        <v>2.136562777003313E-12</v>
      </c>
      <c r="DR201" s="20">
        <f t="shared" si="177"/>
        <v>3.9806453659427267E-12</v>
      </c>
      <c r="DS201" s="57">
        <f t="shared" si="197"/>
        <v>291.44131650504426</v>
      </c>
      <c r="DT201" s="57">
        <f ca="1">AVERAGE(OFFSET($DS$3,0,0,'Données projet'!$E$14+1,1))-AVERAGE(OFFSET($H$3,0,0,'Données projet'!$E$14+1,1))</f>
        <v>313.79279628660527</v>
      </c>
      <c r="DU201" s="57">
        <f t="shared" si="209"/>
        <v>317.45469955216254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10.898761014704565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10.898761014704565</v>
      </c>
      <c r="EE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69.483995410465525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-1.1368683772161603E-13</v>
      </c>
      <c r="EK201" s="17">
        <f>EJ201*VLOOKUP('Données projet'!$B$15,Paramètres!$A$1:$I$89,3,0)*VLOOKUP('Données projet'!$B$15,Paramètres!$A$1:$I$89,5,0)</f>
        <v>-9.7543306765146564E-14</v>
      </c>
      <c r="EL201" s="13" t="e">
        <f t="shared" si="179"/>
        <v>#NUM!</v>
      </c>
      <c r="EM201" s="20" t="e">
        <f t="shared" si="180"/>
        <v>#NUM!</v>
      </c>
      <c r="EN201" s="57" t="e">
        <f t="shared" si="198"/>
        <v>#NUM!</v>
      </c>
      <c r="EO201" s="57">
        <f ca="1">AVERAGE(OFFSET($EN$3,0,0,'Données projet'!$E$15+1,1))-AVERAGE(OFFSET($H$3,0,0,'Données projet'!$E$15+1,1))</f>
        <v>643.04899298561475</v>
      </c>
      <c r="EP201" s="57">
        <f t="shared" si="210"/>
        <v>474.94999304483031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40.397714982063654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40.397714982063654</v>
      </c>
      <c r="EZ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69.483995410465525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>
        <f>FE201*VLOOKUP('Données projet'!$B$16,Paramètres!$A$1:$I$89,3,0)*VLOOKUP('Données projet'!$B$16,Paramètres!$A$1:$I$89,5,0)</f>
        <v>0</v>
      </c>
      <c r="FG201" s="13" t="e">
        <f t="shared" si="182"/>
        <v>#NUM!</v>
      </c>
      <c r="FH201" s="20" t="e">
        <f t="shared" si="183"/>
        <v>#NUM!</v>
      </c>
      <c r="FI201" s="57" t="e">
        <f t="shared" si="199"/>
        <v>#NUM!</v>
      </c>
      <c r="FJ201" s="57">
        <f ca="1">AVERAGE(OFFSET($FI$3,0,0,'Données projet'!$E$16+1,1))-AVERAGE(OFFSET($H$3,0,0,'Données projet'!$E$16+1,1))</f>
        <v>375.34603719604439</v>
      </c>
      <c r="FK201" s="57">
        <f t="shared" si="211"/>
        <v>363.99476973672211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15.296982815611244</v>
      </c>
      <c r="FR201" s="21">
        <f>EXP(-LN(2)/25)*FR200+(1-EXP(-LN(2)/25))/(LN(2)/25)*Calculateur!FM201*Calculateur!FO201*VLOOKUP('Données projet'!$B$16,Paramètres!$A$1:$I$89,3,0)*0.475*44/12</f>
        <v>0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15.296982815611244</v>
      </c>
      <c r="FU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69.483995410465525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-1.1368683772161603E-13</v>
      </c>
      <c r="GA201" s="17">
        <f>FZ201*VLOOKUP('Données projet'!$B$17,Paramètres!$A$1:$I$89,3,0)*VLOOKUP('Données projet'!$B$17,Paramètres!$A$1:$I$89,5,0)</f>
        <v>-6.3550942286383367E-14</v>
      </c>
      <c r="GB201" s="13" t="e">
        <f t="shared" si="185"/>
        <v>#NUM!</v>
      </c>
      <c r="GC201" s="20" t="e">
        <f t="shared" si="186"/>
        <v>#NUM!</v>
      </c>
      <c r="GD201" s="57" t="e">
        <f t="shared" si="200"/>
        <v>#NUM!</v>
      </c>
      <c r="GE201" s="57">
        <f ca="1">AVERAGE(OFFSET($GD$3,0,0,'Données projet'!$E$17+1,1))-AVERAGE(OFFSET($H$3,0,0,'Données projet'!$E$17+1,1))</f>
        <v>414.47327143450701</v>
      </c>
      <c r="GF201" s="57">
        <f t="shared" si="212"/>
        <v>546.83385887302961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17.388983283727097</v>
      </c>
      <c r="GM201" s="21">
        <f>EXP(-LN(2)/25)*GM200+(1-EXP(-LN(2)/25))/(LN(2)/25)*Calculateur!GH201*Calculateur!GJ201*VLOOKUP('Données projet'!$B$17,Paramètres!$A$1:$I$89,3,0)*0.475*44/12</f>
        <v>1.1748233043379284</v>
      </c>
      <c r="GN201" s="21">
        <f>EXP(-LN(2)/2)*GN200+(1-EXP(-LN(2)/2))/(LN(2)/2)*GH201*GK201*VLOOKUP('Données projet'!$B$17,Paramètres!$A$1:$I$89,3,0)*0.475*44/12</f>
        <v>8.7979131874108778E-21</v>
      </c>
      <c r="GO201" s="21">
        <f t="shared" si="187"/>
        <v>18.563806588065024</v>
      </c>
      <c r="GP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69.483995410465525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-2.2737367544323206E-13</v>
      </c>
      <c r="GV201" s="17">
        <f>GU201*VLOOKUP('Données projet'!$B$18,Paramètres!$A$1:$I$89,3,0)*VLOOKUP('Données projet'!$B$18,Paramètres!$A$1:$I$89,5,0)</f>
        <v>-1.2414602679200471E-13</v>
      </c>
      <c r="GW201" s="13" t="e">
        <f t="shared" si="188"/>
        <v>#NUM!</v>
      </c>
      <c r="GX201" s="20" t="e">
        <f t="shared" si="189"/>
        <v>#NUM!</v>
      </c>
      <c r="GY201" s="57" t="e">
        <f t="shared" si="201"/>
        <v>#NUM!</v>
      </c>
      <c r="GZ201" s="57">
        <f ca="1">AVERAGE(OFFSET($GY$3,0,0,'Données projet'!$E$18+1,1))-AVERAGE(OFFSET($H$3,0,0,'Données projet'!$E$18+1,1))</f>
        <v>381.00532469288714</v>
      </c>
      <c r="HA201" s="57">
        <f t="shared" si="213"/>
        <v>314.875259641757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>
        <f>EXP(-LN(2)/35)*HG200+(1-EXP(-LN(2)/35))/(LN(2)/35)*HC201*HD201*VLOOKUP('Données projet'!$B$18,Paramètres!$A$1:$I$89,3,0)*0.475*44/12</f>
        <v>29.294282273203621</v>
      </c>
      <c r="HH201" s="21">
        <f>EXP(-LN(2)/25)*HH200+(1-EXP(-LN(2)/25))/(LN(2)/25)*Calculateur!HC201*Calculateur!HE201*VLOOKUP('Données projet'!$B$18,Paramètres!$A$1:$I$89,3,0)*0.475*44/12</f>
        <v>2.1797019900061585</v>
      </c>
      <c r="HI201" s="21">
        <f>EXP(-LN(2)/2)*HI200+(1-EXP(-LN(2)/2))/(LN(2)/2)*HC201*HF201*VLOOKUP('Données projet'!$B$18,Paramètres!$A$1:$I$89,3,0)*0.475*44/12</f>
        <v>4.4360590884667571E-14</v>
      </c>
      <c r="HJ201" s="22">
        <f t="shared" si="190"/>
        <v>31.473984263209822</v>
      </c>
    </row>
    <row r="202" spans="1:218" x14ac:dyDescent="0.2">
      <c r="A202" s="10">
        <f t="shared" si="161"/>
        <v>199</v>
      </c>
      <c r="B202" s="71">
        <f>'Scénario référence'!$B$16*5+'Scénario référence'!$B$17*0+'Scénario référence'!$B$18*5</f>
        <v>3.3000000000000003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12.100000000000001</v>
      </c>
      <c r="H202" s="65">
        <f t="shared" si="192"/>
        <v>208.26666666666665</v>
      </c>
      <c r="I202" s="6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69.492946936480507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-1.1527845344971866E-13</v>
      </c>
      <c r="P202" s="13" t="e">
        <f t="shared" si="203"/>
        <v>#NUM!</v>
      </c>
      <c r="Q202" s="20" t="e">
        <f t="shared" si="162"/>
        <v>#NUM!</v>
      </c>
      <c r="R202" s="57" t="e">
        <f t="shared" si="191"/>
        <v>#NUM!</v>
      </c>
      <c r="S202" s="57">
        <f ca="1">AVERAGE(OFFSET($R$3,0,0,'Données projet'!$E$9+1,1))-AVERAGE(OFFSET($H$3,0,0,'Données projet'!$E$9+1,1))</f>
        <v>332.70145542047612</v>
      </c>
      <c r="T202" s="57">
        <f t="shared" si="204"/>
        <v>172.22433737900428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23.750000198507077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23.750000198507077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69.492946936480507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-2.9842794901924208E-13</v>
      </c>
      <c r="AJ202" s="13">
        <f>AI202*VLOOKUP('Données projet'!$B$10,Paramètres!$A$1:$I$89,3,0)*VLOOKUP('Données projet'!$B$10,Paramètres!$A$1:$I$89,5,0)</f>
        <v>-2.7001760827261026E-13</v>
      </c>
      <c r="AK202" s="13" t="e">
        <f t="shared" si="164"/>
        <v>#NUM!</v>
      </c>
      <c r="AL202" s="20" t="e">
        <f t="shared" si="165"/>
        <v>#NUM!</v>
      </c>
      <c r="AM202" s="57" t="e">
        <f t="shared" si="193"/>
        <v>#NUM!</v>
      </c>
      <c r="AN202" s="57">
        <f ca="1">AVERAGE(OFFSET($AM$3,0,0,'Données projet'!$E$10+1,1))-AVERAGE(OFFSET($H$3,0,0,'Données projet'!$E$10+1,1))</f>
        <v>469.4210143164521</v>
      </c>
      <c r="AO202" s="57">
        <f t="shared" si="205"/>
        <v>308.4508386530556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70.142263020239938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70.142263020239938</v>
      </c>
      <c r="AY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69.492946936480507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7" t="e">
        <f t="shared" si="194"/>
        <v>#NUM!</v>
      </c>
      <c r="BI202" s="57">
        <f ca="1">AVERAGE(OFFSET($BH$3,0,0,'Données projet'!$E$11+1,1))-AVERAGE(OFFSET($H$3,0,0,'Données projet'!$E$11+1,1))</f>
        <v>344.32981377462971</v>
      </c>
      <c r="BJ202" s="57">
        <f t="shared" si="206"/>
        <v>334.42512656625763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10.997450656836078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10.997450656836078</v>
      </c>
      <c r="BT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69.492946936480507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4.5474735088646412E-13</v>
      </c>
      <c r="BZ202" s="13">
        <f>BY202*VLOOKUP('Données projet'!$B$12,Paramètres!$A$1:$I$89,3,0)*VLOOKUP('Données projet'!$B$12,Paramètres!$A$1:$I$89,5,0)</f>
        <v>4.3273757910355926E-13</v>
      </c>
      <c r="CA202" s="13">
        <f t="shared" si="170"/>
        <v>5.4817614357080839E-12</v>
      </c>
      <c r="CB202" s="20">
        <f t="shared" si="171"/>
        <v>1.0301085784130276E-11</v>
      </c>
      <c r="CC202" s="57">
        <f t="shared" si="195"/>
        <v>291.4741387671055</v>
      </c>
      <c r="CD202" s="57">
        <f ca="1">AVERAGE(OFFSET($CC$3,0,0,'Données projet'!$E$12+1,1))-AVERAGE(OFFSET($H$3,0,0,'Données projet'!$E$12+1,1))</f>
        <v>498.77732039282807</v>
      </c>
      <c r="CE202" s="57">
        <f t="shared" si="207"/>
        <v>384.57317421826531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38.713112160800414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38.713112160800414</v>
      </c>
      <c r="CO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69.492946936480507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-2.9842794901924208E-13</v>
      </c>
      <c r="CU202" s="17">
        <f>CT202*VLOOKUP('Données projet'!$B$13,Paramètres!$A$1:$I$89,3,0)*VLOOKUP('Données projet'!$B$13,Paramètres!$A$1:$I$89,5,0)</f>
        <v>-2.0018546820210759E-13</v>
      </c>
      <c r="CV202" s="13" t="e">
        <f t="shared" si="173"/>
        <v>#NUM!</v>
      </c>
      <c r="CW202" s="20" t="e">
        <f t="shared" si="174"/>
        <v>#NUM!</v>
      </c>
      <c r="CX202" s="57" t="e">
        <f t="shared" si="196"/>
        <v>#NUM!</v>
      </c>
      <c r="CY202" s="57">
        <f ca="1">AVERAGE(OFFSET($CX$3,0,0,'Données projet'!$E$13+1,1))-AVERAGE(OFFSET($H$3,0,0,'Données projet'!$E$13+1,1))</f>
        <v>365.99625753737246</v>
      </c>
      <c r="CZ202" s="57">
        <f t="shared" si="208"/>
        <v>242.84814712692287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64.095516208150272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64.095516208150272</v>
      </c>
      <c r="DJ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69.492946936480507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2.2737367544323206E-13</v>
      </c>
      <c r="DP202" s="17">
        <f>DO202*VLOOKUP('Données projet'!$B$14,Paramètres!$A$1:$I$89,3,0)*VLOOKUP('Données projet'!$B$14,Paramètres!$A$1:$I$89,5,0)</f>
        <v>1.4897523215040565E-13</v>
      </c>
      <c r="DQ202" s="13">
        <f t="shared" si="176"/>
        <v>2.136562777003313E-12</v>
      </c>
      <c r="DR202" s="20">
        <f t="shared" si="177"/>
        <v>3.9806453659427267E-12</v>
      </c>
      <c r="DS202" s="57">
        <f t="shared" si="197"/>
        <v>291.47413876709919</v>
      </c>
      <c r="DT202" s="57">
        <f ca="1">AVERAGE(OFFSET($DS$3,0,0,'Données projet'!$E$14+1,1))-AVERAGE(OFFSET($H$3,0,0,'Données projet'!$E$14+1,1))</f>
        <v>313.79279628660527</v>
      </c>
      <c r="DU202" s="57">
        <f t="shared" si="209"/>
        <v>317.45469955216254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10.685042958794032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10.685042958794032</v>
      </c>
      <c r="EE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69.492946936480507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-1.1368683772161603E-13</v>
      </c>
      <c r="EK202" s="17">
        <f>EJ202*VLOOKUP('Données projet'!$B$15,Paramètres!$A$1:$I$89,3,0)*VLOOKUP('Données projet'!$B$15,Paramètres!$A$1:$I$89,5,0)</f>
        <v>-9.7543306765146564E-14</v>
      </c>
      <c r="EL202" s="13" t="e">
        <f t="shared" si="179"/>
        <v>#NUM!</v>
      </c>
      <c r="EM202" s="20" t="e">
        <f t="shared" si="180"/>
        <v>#NUM!</v>
      </c>
      <c r="EN202" s="57" t="e">
        <f t="shared" si="198"/>
        <v>#NUM!</v>
      </c>
      <c r="EO202" s="57">
        <f ca="1">AVERAGE(OFFSET($EN$3,0,0,'Données projet'!$E$15+1,1))-AVERAGE(OFFSET($H$3,0,0,'Données projet'!$E$15+1,1))</f>
        <v>643.04899298561475</v>
      </c>
      <c r="EP202" s="57">
        <f t="shared" si="210"/>
        <v>474.94999304483031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39.605540431438513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39.605540431438513</v>
      </c>
      <c r="EZ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69.492946936480507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>
        <f>FE202*VLOOKUP('Données projet'!$B$16,Paramètres!$A$1:$I$89,3,0)*VLOOKUP('Données projet'!$B$16,Paramètres!$A$1:$I$89,5,0)</f>
        <v>0</v>
      </c>
      <c r="FG202" s="13" t="e">
        <f t="shared" si="182"/>
        <v>#NUM!</v>
      </c>
      <c r="FH202" s="20" t="e">
        <f t="shared" si="183"/>
        <v>#NUM!</v>
      </c>
      <c r="FI202" s="57" t="e">
        <f t="shared" si="199"/>
        <v>#NUM!</v>
      </c>
      <c r="FJ202" s="57">
        <f ca="1">AVERAGE(OFFSET($FI$3,0,0,'Données projet'!$E$16+1,1))-AVERAGE(OFFSET($H$3,0,0,'Données projet'!$E$16+1,1))</f>
        <v>375.34603719604439</v>
      </c>
      <c r="FK202" s="57">
        <f t="shared" si="211"/>
        <v>363.99476973672211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14.99701831283534</v>
      </c>
      <c r="FR202" s="21">
        <f>EXP(-LN(2)/25)*FR201+(1-EXP(-LN(2)/25))/(LN(2)/25)*Calculateur!FM202*Calculateur!FO202*VLOOKUP('Données projet'!$B$16,Paramètres!$A$1:$I$89,3,0)*0.475*44/12</f>
        <v>0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14.99701831283534</v>
      </c>
      <c r="FU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69.492946936480507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-1.1368683772161603E-13</v>
      </c>
      <c r="GA202" s="17">
        <f>FZ202*VLOOKUP('Données projet'!$B$17,Paramètres!$A$1:$I$89,3,0)*VLOOKUP('Données projet'!$B$17,Paramètres!$A$1:$I$89,5,0)</f>
        <v>-6.3550942286383367E-14</v>
      </c>
      <c r="GB202" s="13" t="e">
        <f t="shared" si="185"/>
        <v>#NUM!</v>
      </c>
      <c r="GC202" s="20" t="e">
        <f t="shared" si="186"/>
        <v>#NUM!</v>
      </c>
      <c r="GD202" s="57" t="e">
        <f t="shared" si="200"/>
        <v>#NUM!</v>
      </c>
      <c r="GE202" s="57">
        <f ca="1">AVERAGE(OFFSET($GD$3,0,0,'Données projet'!$E$17+1,1))-AVERAGE(OFFSET($H$3,0,0,'Données projet'!$E$17+1,1))</f>
        <v>414.47327143450701</v>
      </c>
      <c r="GF202" s="57">
        <f t="shared" si="212"/>
        <v>546.83385887302961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17.047995927765733</v>
      </c>
      <c r="GM202" s="21">
        <f>EXP(-LN(2)/25)*GM201+(1-EXP(-LN(2)/25))/(LN(2)/25)*Calculateur!GH202*Calculateur!GJ202*VLOOKUP('Données projet'!$B$17,Paramètres!$A$1:$I$89,3,0)*0.475*44/12</f>
        <v>1.1426976992995352</v>
      </c>
      <c r="GN202" s="21">
        <f>EXP(-LN(2)/2)*GN201+(1-EXP(-LN(2)/2))/(LN(2)/2)*GH202*GK202*VLOOKUP('Données projet'!$B$17,Paramètres!$A$1:$I$89,3,0)*0.475*44/12</f>
        <v>6.2210640751087845E-21</v>
      </c>
      <c r="GO202" s="21">
        <f t="shared" si="187"/>
        <v>18.190693627065269</v>
      </c>
      <c r="GP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69.492946936480507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-2.2737367544323206E-13</v>
      </c>
      <c r="GV202" s="17">
        <f>GU202*VLOOKUP('Données projet'!$B$18,Paramètres!$A$1:$I$89,3,0)*VLOOKUP('Données projet'!$B$18,Paramètres!$A$1:$I$89,5,0)</f>
        <v>-1.2414602679200471E-13</v>
      </c>
      <c r="GW202" s="13" t="e">
        <f t="shared" si="188"/>
        <v>#NUM!</v>
      </c>
      <c r="GX202" s="20" t="e">
        <f t="shared" si="189"/>
        <v>#NUM!</v>
      </c>
      <c r="GY202" s="57" t="e">
        <f t="shared" si="201"/>
        <v>#NUM!</v>
      </c>
      <c r="GZ202" s="57">
        <f ca="1">AVERAGE(OFFSET($GY$3,0,0,'Données projet'!$E$18+1,1))-AVERAGE(OFFSET($H$3,0,0,'Données projet'!$E$18+1,1))</f>
        <v>381.00532469288714</v>
      </c>
      <c r="HA202" s="57">
        <f t="shared" si="213"/>
        <v>314.875259641757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>
        <f>EXP(-LN(2)/35)*HG201+(1-EXP(-LN(2)/35))/(LN(2)/35)*HC202*HD202*VLOOKUP('Données projet'!$B$18,Paramètres!$A$1:$I$89,3,0)*0.475*44/12</f>
        <v>28.719839265573992</v>
      </c>
      <c r="HH202" s="21">
        <f>EXP(-LN(2)/25)*HH201+(1-EXP(-LN(2)/25))/(LN(2)/25)*Calculateur!HC202*Calculateur!HE202*VLOOKUP('Données projet'!$B$18,Paramètres!$A$1:$I$89,3,0)*0.475*44/12</f>
        <v>2.1200979244638942</v>
      </c>
      <c r="HI202" s="21">
        <f>EXP(-LN(2)/2)*HI201+(1-EXP(-LN(2)/2))/(LN(2)/2)*HC202*HF202*VLOOKUP('Données projet'!$B$18,Paramètres!$A$1:$I$89,3,0)*0.475*44/12</f>
        <v>3.1367674631990587E-14</v>
      </c>
      <c r="HJ202" s="22">
        <f t="shared" si="190"/>
        <v>30.839937190037919</v>
      </c>
    </row>
    <row r="203" spans="1:218" ht="16" thickBot="1" x14ac:dyDescent="0.25">
      <c r="A203" s="10">
        <f>A202+1</f>
        <v>200</v>
      </c>
      <c r="B203" s="71">
        <f>'Scénario référence'!$B$16*5+'Scénario référence'!$B$17*0+'Scénario référence'!$B$18*5</f>
        <v>3.3000000000000003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12.100000000000001</v>
      </c>
      <c r="H203" s="65">
        <f t="shared" si="192"/>
        <v>208.26666666666665</v>
      </c>
      <c r="I203" s="6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69.50174317353175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-1.1527845344971866E-13</v>
      </c>
      <c r="P203" s="13" t="e">
        <f t="shared" si="203"/>
        <v>#NUM!</v>
      </c>
      <c r="Q203" s="20" t="e">
        <f t="shared" si="162"/>
        <v>#NUM!</v>
      </c>
      <c r="R203" s="57" t="e">
        <f t="shared" si="191"/>
        <v>#NUM!</v>
      </c>
      <c r="S203" s="57">
        <f ca="1">AVERAGE(OFFSET($R$3,0,0,'Données projet'!$E$9+1,1))-AVERAGE(OFFSET($H$3,0,0,'Données projet'!$E$9+1,1))</f>
        <v>332.70145542047612</v>
      </c>
      <c r="T203" s="57">
        <f t="shared" si="204"/>
        <v>172.22433737900428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23.284277180684093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23.284277180684093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69.50174317353175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-2.9842794901924208E-13</v>
      </c>
      <c r="AJ203" s="13">
        <f>AI203*VLOOKUP('Données projet'!$B$10,Paramètres!$A$1:$I$89,3,0)*VLOOKUP('Données projet'!$B$10,Paramètres!$A$1:$I$89,5,0)</f>
        <v>-2.7001760827261026E-13</v>
      </c>
      <c r="AK203" s="13" t="e">
        <f t="shared" si="164"/>
        <v>#NUM!</v>
      </c>
      <c r="AL203" s="20" t="e">
        <f t="shared" si="165"/>
        <v>#NUM!</v>
      </c>
      <c r="AM203" s="57" t="e">
        <f t="shared" si="193"/>
        <v>#NUM!</v>
      </c>
      <c r="AN203" s="57">
        <f ca="1">AVERAGE(OFFSET($AM$3,0,0,'Données projet'!$E$10+1,1))-AVERAGE(OFFSET($H$3,0,0,'Données projet'!$E$10+1,1))</f>
        <v>469.4210143164521</v>
      </c>
      <c r="AO203" s="57">
        <f t="shared" si="205"/>
        <v>308.4508386530556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68.766816024969046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68.766816024969046</v>
      </c>
      <c r="AY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69.50174317353175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7" t="e">
        <f t="shared" si="194"/>
        <v>#NUM!</v>
      </c>
      <c r="BI203" s="57">
        <f ca="1">AVERAGE(OFFSET($BH$3,0,0,'Données projet'!$E$11+1,1))-AVERAGE(OFFSET($H$3,0,0,'Données projet'!$E$11+1,1))</f>
        <v>344.32981377462971</v>
      </c>
      <c r="BJ203" s="57">
        <f t="shared" si="206"/>
        <v>334.42512656625763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10.781797357238084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10.781797357238084</v>
      </c>
      <c r="BT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69.50174317353175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4.5474735088646412E-13</v>
      </c>
      <c r="BZ203" s="13">
        <f>BY203*VLOOKUP('Données projet'!$B$12,Paramètres!$A$1:$I$89,3,0)*VLOOKUP('Données projet'!$B$12,Paramètres!$A$1:$I$89,5,0)</f>
        <v>4.3273757910355926E-13</v>
      </c>
      <c r="CA203" s="13">
        <f t="shared" si="170"/>
        <v>5.4817614357080839E-12</v>
      </c>
      <c r="CB203" s="20">
        <f t="shared" si="171"/>
        <v>1.0301085784130276E-11</v>
      </c>
      <c r="CC203" s="57">
        <f t="shared" si="195"/>
        <v>291.50639163629336</v>
      </c>
      <c r="CD203" s="57">
        <f ca="1">AVERAGE(OFFSET($CC$3,0,0,'Données projet'!$E$12+1,1))-AVERAGE(OFFSET($H$3,0,0,'Données projet'!$E$12+1,1))</f>
        <v>498.77732039282807</v>
      </c>
      <c r="CE203" s="57">
        <f t="shared" si="207"/>
        <v>384.57317421826531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37.953971643993981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37.953971643993981</v>
      </c>
      <c r="CO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69.50174317353175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-2.9842794901924208E-13</v>
      </c>
      <c r="CU203" s="17">
        <f>CT203*VLOOKUP('Données projet'!$B$13,Paramètres!$A$1:$I$89,3,0)*VLOOKUP('Données projet'!$B$13,Paramètres!$A$1:$I$89,5,0)</f>
        <v>-2.0018546820210759E-13</v>
      </c>
      <c r="CV203" s="13" t="e">
        <f t="shared" si="173"/>
        <v>#NUM!</v>
      </c>
      <c r="CW203" s="20" t="e">
        <f t="shared" si="174"/>
        <v>#NUM!</v>
      </c>
      <c r="CX203" s="57" t="e">
        <f t="shared" si="196"/>
        <v>#NUM!</v>
      </c>
      <c r="CY203" s="57">
        <f ca="1">AVERAGE(OFFSET($CX$3,0,0,'Données projet'!$E$13+1,1))-AVERAGE(OFFSET($H$3,0,0,'Données projet'!$E$13+1,1))</f>
        <v>365.99625753737246</v>
      </c>
      <c r="CZ203" s="57">
        <f t="shared" si="208"/>
        <v>242.84814712692287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62.838642229713081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62.838642229713081</v>
      </c>
      <c r="DJ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69.50174317353175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2.2737367544323206E-13</v>
      </c>
      <c r="DP203" s="17">
        <f>DO203*VLOOKUP('Données projet'!$B$14,Paramètres!$A$1:$I$89,3,0)*VLOOKUP('Données projet'!$B$14,Paramètres!$A$1:$I$89,5,0)</f>
        <v>1.4897523215040565E-13</v>
      </c>
      <c r="DQ203" s="13">
        <f t="shared" si="176"/>
        <v>2.136562777003313E-12</v>
      </c>
      <c r="DR203" s="20">
        <f t="shared" si="177"/>
        <v>3.9806453659427267E-12</v>
      </c>
      <c r="DS203" s="57">
        <f t="shared" si="197"/>
        <v>291.50639163628705</v>
      </c>
      <c r="DT203" s="57">
        <f ca="1">AVERAGE(OFFSET($DS$3,0,0,'Données projet'!$E$14+1,1))-AVERAGE(OFFSET($H$3,0,0,'Données projet'!$E$14+1,1))</f>
        <v>313.79279628660527</v>
      </c>
      <c r="DU203" s="57">
        <f t="shared" si="209"/>
        <v>317.45469955216254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10.475515783604763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10.475515783604763</v>
      </c>
      <c r="EE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69.50174317353175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-1.1368683772161603E-13</v>
      </c>
      <c r="EK203" s="17">
        <f>EJ203*VLOOKUP('Données projet'!$B$15,Paramètres!$A$1:$I$89,3,0)*VLOOKUP('Données projet'!$B$15,Paramètres!$A$1:$I$89,5,0)</f>
        <v>-9.7543306765146564E-14</v>
      </c>
      <c r="EL203" s="13" t="e">
        <f t="shared" si="179"/>
        <v>#NUM!</v>
      </c>
      <c r="EM203" s="20" t="e">
        <f t="shared" si="180"/>
        <v>#NUM!</v>
      </c>
      <c r="EN203" s="57" t="e">
        <f t="shared" si="198"/>
        <v>#NUM!</v>
      </c>
      <c r="EO203" s="57">
        <f ca="1">AVERAGE(OFFSET($EN$3,0,0,'Données projet'!$E$15+1,1))-AVERAGE(OFFSET($H$3,0,0,'Données projet'!$E$15+1,1))</f>
        <v>643.04899298561475</v>
      </c>
      <c r="EP203" s="57">
        <f t="shared" si="210"/>
        <v>474.94999304483031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38.828899940572363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38.828899940572363</v>
      </c>
      <c r="EZ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69.50174317353175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>
        <f>FE203*VLOOKUP('Données projet'!$B$16,Paramètres!$A$1:$I$89,3,0)*VLOOKUP('Données projet'!$B$16,Paramètres!$A$1:$I$89,5,0)</f>
        <v>0</v>
      </c>
      <c r="FG203" s="13" t="e">
        <f t="shared" si="182"/>
        <v>#NUM!</v>
      </c>
      <c r="FH203" s="20" t="e">
        <f t="shared" si="183"/>
        <v>#NUM!</v>
      </c>
      <c r="FI203" s="57" t="e">
        <f t="shared" si="199"/>
        <v>#NUM!</v>
      </c>
      <c r="FJ203" s="57">
        <f ca="1">AVERAGE(OFFSET($FI$3,0,0,'Données projet'!$E$16+1,1))-AVERAGE(OFFSET($H$3,0,0,'Données projet'!$E$16+1,1))</f>
        <v>375.34603719604439</v>
      </c>
      <c r="FK203" s="57">
        <f t="shared" si="211"/>
        <v>363.99476973672211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14.702935930998592</v>
      </c>
      <c r="FR203" s="21">
        <f>EXP(-LN(2)/25)*FR202+(1-EXP(-LN(2)/25))/(LN(2)/25)*Calculateur!FM203*Calculateur!FO203*VLOOKUP('Données projet'!$B$16,Paramètres!$A$1:$I$89,3,0)*0.475*44/12</f>
        <v>0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14.702935930998592</v>
      </c>
      <c r="FU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69.50174317353175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-1.1368683772161603E-13</v>
      </c>
      <c r="GA203" s="17">
        <f>FZ203*VLOOKUP('Données projet'!$B$17,Paramètres!$A$1:$I$89,3,0)*VLOOKUP('Données projet'!$B$17,Paramètres!$A$1:$I$89,5,0)</f>
        <v>-6.3550942286383367E-14</v>
      </c>
      <c r="GB203" s="13" t="e">
        <f t="shared" si="185"/>
        <v>#NUM!</v>
      </c>
      <c r="GC203" s="20" t="e">
        <f t="shared" si="186"/>
        <v>#NUM!</v>
      </c>
      <c r="GD203" s="57" t="e">
        <f t="shared" si="200"/>
        <v>#NUM!</v>
      </c>
      <c r="GE203" s="57">
        <f ca="1">AVERAGE(OFFSET($GD$3,0,0,'Données projet'!$E$17+1,1))-AVERAGE(OFFSET($H$3,0,0,'Données projet'!$E$17+1,1))</f>
        <v>414.47327143450701</v>
      </c>
      <c r="GF203" s="57">
        <f t="shared" si="212"/>
        <v>546.83385887302961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16.71369512587302</v>
      </c>
      <c r="GM203" s="21">
        <f>EXP(-LN(2)/25)*GM202+(1-EXP(-LN(2)/25))/(LN(2)/25)*Calculateur!GH203*Calculateur!GJ203*VLOOKUP('Données projet'!$B$17,Paramètres!$A$1:$I$89,3,0)*0.475*44/12</f>
        <v>1.111450570620329</v>
      </c>
      <c r="GN203" s="21">
        <f>EXP(-LN(2)/2)*GN202+(1-EXP(-LN(2)/2))/(LN(2)/2)*GH203*GK203*VLOOKUP('Données projet'!$B$17,Paramètres!$A$1:$I$89,3,0)*0.475*44/12</f>
        <v>4.3989565937054389E-21</v>
      </c>
      <c r="GO203" s="21">
        <f t="shared" si="187"/>
        <v>17.825145696493347</v>
      </c>
      <c r="GP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69.50174317353175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-2.2737367544323206E-13</v>
      </c>
      <c r="GV203" s="17">
        <f>GU203*VLOOKUP('Données projet'!$B$18,Paramètres!$A$1:$I$89,3,0)*VLOOKUP('Données projet'!$B$18,Paramètres!$A$1:$I$89,5,0)</f>
        <v>-1.2414602679200471E-13</v>
      </c>
      <c r="GW203" s="13" t="e">
        <f t="shared" si="188"/>
        <v>#NUM!</v>
      </c>
      <c r="GX203" s="20" t="e">
        <f t="shared" si="189"/>
        <v>#NUM!</v>
      </c>
      <c r="GY203" s="57" t="e">
        <f t="shared" si="201"/>
        <v>#NUM!</v>
      </c>
      <c r="GZ203" s="57">
        <f ca="1">AVERAGE(OFFSET($GY$3,0,0,'Données projet'!$E$18+1,1))-AVERAGE(OFFSET($H$3,0,0,'Données projet'!$E$18+1,1))</f>
        <v>381.00532469288714</v>
      </c>
      <c r="HA203" s="57">
        <f t="shared" si="213"/>
        <v>314.875259641757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>
        <f>EXP(-LN(2)/35)*HG202+(1-EXP(-LN(2)/35))/(LN(2)/35)*HC203*HD203*VLOOKUP('Données projet'!$B$18,Paramètres!$A$1:$I$89,3,0)*0.475*44/12</f>
        <v>28.156660734948339</v>
      </c>
      <c r="HH203" s="21">
        <f>EXP(-LN(2)/25)*HH202+(1-EXP(-LN(2)/25))/(LN(2)/25)*Calculateur!HC203*Calculateur!HE203*VLOOKUP('Données projet'!$B$18,Paramètres!$A$1:$I$89,3,0)*0.475*44/12</f>
        <v>2.0621237352283246</v>
      </c>
      <c r="HI203" s="21">
        <f>EXP(-LN(2)/2)*HI202+(1-EXP(-LN(2)/2))/(LN(2)/2)*HC203*HF203*VLOOKUP('Données projet'!$B$18,Paramètres!$A$1:$I$89,3,0)*0.475*44/12</f>
        <v>2.2180295442333785E-14</v>
      </c>
      <c r="HJ203" s="22">
        <f t="shared" si="190"/>
        <v>30.218784470176686</v>
      </c>
    </row>
    <row r="204" spans="1:218" ht="17" thickBot="1" x14ac:dyDescent="0.25">
      <c r="B204" s="10"/>
      <c r="C204" s="74"/>
      <c r="D204" s="75"/>
      <c r="E204" s="75"/>
      <c r="F204" s="75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4"/>
      <c r="I204" s="74"/>
      <c r="J204" s="74"/>
      <c r="K204" s="82" t="s">
        <v>293</v>
      </c>
      <c r="L204" s="76"/>
      <c r="M204" s="76"/>
      <c r="N204" s="76"/>
      <c r="O204" s="74"/>
      <c r="P204" s="74"/>
      <c r="Q204" s="75"/>
      <c r="R204" s="77"/>
      <c r="S204" s="77"/>
      <c r="T204" s="77"/>
      <c r="U204" s="76"/>
      <c r="V204" s="76"/>
      <c r="W204" s="78"/>
      <c r="X204" s="78"/>
      <c r="Y204" s="78"/>
      <c r="Z204" s="74"/>
      <c r="AA204" s="74"/>
      <c r="AB204" s="74"/>
      <c r="AC204" s="74"/>
      <c r="AD204" s="74"/>
      <c r="AE204" s="74"/>
      <c r="AF204" s="79" t="s">
        <v>293</v>
      </c>
      <c r="BA204" s="79" t="s">
        <v>293</v>
      </c>
      <c r="BV204" s="79" t="s">
        <v>293</v>
      </c>
      <c r="CQ204" s="79" t="s">
        <v>293</v>
      </c>
      <c r="DL204" s="79" t="s">
        <v>293</v>
      </c>
      <c r="EG204" s="79" t="s">
        <v>293</v>
      </c>
      <c r="FB204" s="79" t="s">
        <v>293</v>
      </c>
      <c r="FW204" s="79" t="s">
        <v>293</v>
      </c>
      <c r="GR204" s="79" t="s">
        <v>293</v>
      </c>
    </row>
    <row r="205" spans="1:218" ht="16" thickBot="1" x14ac:dyDescent="0.25">
      <c r="B205" s="10"/>
      <c r="C205" s="74"/>
      <c r="D205" s="75"/>
      <c r="E205" s="75"/>
      <c r="F205" s="75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4"/>
      <c r="I205" s="74"/>
      <c r="J205" s="74"/>
      <c r="K205" s="80">
        <f>EXP(LN('Données projet'!B36)/'Données projet'!A36)</f>
        <v>1.1457367676485573</v>
      </c>
      <c r="L205" s="76"/>
      <c r="M205" s="76"/>
      <c r="N205" s="76"/>
      <c r="O205" s="74"/>
      <c r="P205" s="74"/>
      <c r="Q205" s="75"/>
      <c r="R205" s="77"/>
      <c r="S205" s="77"/>
      <c r="T205" s="77"/>
      <c r="U205" s="76"/>
      <c r="V205" s="76"/>
      <c r="W205" s="78"/>
      <c r="X205" s="78"/>
      <c r="Y205" s="78"/>
      <c r="Z205" s="74"/>
      <c r="AA205" s="74"/>
      <c r="AB205" s="74"/>
      <c r="AC205" s="74"/>
      <c r="AD205" s="74"/>
      <c r="AE205" s="74"/>
      <c r="AF205" s="81">
        <f>EXP(LN('Données projet'!B62)/'Données projet'!A62)</f>
        <v>1.1267530431577886</v>
      </c>
      <c r="BA205" s="80">
        <f>EXP(LN('Données projet'!B88)/'Données projet'!A88)</f>
        <v>1.2709816152101407</v>
      </c>
      <c r="BV205" s="80">
        <f>EXP(LN('Données projet'!B114)/'Données projet'!A114)</f>
        <v>1.2027430470140261</v>
      </c>
      <c r="CQ205" s="80">
        <f>EXP(LN('Données projet'!B140)/'Données projet'!A140)</f>
        <v>1.1267530431577886</v>
      </c>
      <c r="DL205" s="80">
        <f>EXP(LN('Données projet'!B166)/'Données projet'!A166)</f>
        <v>1.3020054543174677</v>
      </c>
      <c r="EG205" s="80">
        <f>EXP(LN('Données projet'!B192)/'Données projet'!A192)</f>
        <v>1.1577536725165907</v>
      </c>
      <c r="FB205" s="80">
        <f>EXP(LN('Données projet'!B218)/'Données projet'!A218)</f>
        <v>1.2709816152101407</v>
      </c>
      <c r="FW205" s="80">
        <f>EXP(LN('Données projet'!B244)/'Données projet'!A244)</f>
        <v>1.3539956307764309</v>
      </c>
      <c r="GR205" s="80">
        <f>EXP(LN('Données projet'!B270)/'Données projet'!A270)</f>
        <v>1.3903891703159093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6"/>
      <c r="K1" s="76"/>
      <c r="L1" s="76"/>
      <c r="M1" s="76"/>
      <c r="N1" s="76"/>
    </row>
    <row r="2" spans="1:16" x14ac:dyDescent="0.2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6"/>
      <c r="K2" s="76"/>
      <c r="L2" s="76"/>
      <c r="M2" s="76"/>
      <c r="N2" s="76"/>
      <c r="O2" s="279" t="s">
        <v>238</v>
      </c>
      <c r="P2" s="119">
        <v>0</v>
      </c>
    </row>
    <row r="3" spans="1:16" ht="16" thickBot="1" x14ac:dyDescent="0.2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6"/>
      <c r="K3" s="76"/>
      <c r="L3" s="76"/>
      <c r="M3" s="76"/>
      <c r="N3" s="76"/>
      <c r="O3" s="280"/>
      <c r="P3" s="126">
        <v>0.2</v>
      </c>
    </row>
    <row r="4" spans="1:16" ht="16" thickBot="1" x14ac:dyDescent="0.2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6"/>
      <c r="K4" s="76"/>
      <c r="L4" s="76"/>
      <c r="M4" s="76"/>
      <c r="N4" s="76"/>
    </row>
    <row r="5" spans="1:16" x14ac:dyDescent="0.2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6"/>
      <c r="K5" s="76"/>
      <c r="L5" s="76"/>
      <c r="M5" s="76"/>
      <c r="N5" s="76"/>
      <c r="O5" s="279" t="s">
        <v>237</v>
      </c>
      <c r="P5" s="119">
        <v>0</v>
      </c>
    </row>
    <row r="6" spans="1:16" x14ac:dyDescent="0.2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6"/>
      <c r="K6" s="76"/>
      <c r="L6" s="76"/>
      <c r="M6" s="76"/>
      <c r="N6" s="76"/>
      <c r="O6" s="281"/>
      <c r="P6" s="127">
        <v>0.05</v>
      </c>
    </row>
    <row r="7" spans="1:16" x14ac:dyDescent="0.2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6"/>
      <c r="K7" s="76"/>
      <c r="L7" s="76"/>
      <c r="M7" s="76"/>
      <c r="N7" s="76"/>
      <c r="O7" s="281"/>
      <c r="P7" s="127">
        <v>0.1</v>
      </c>
    </row>
    <row r="8" spans="1:16" ht="16" thickBot="1" x14ac:dyDescent="0.2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6"/>
      <c r="K8" s="76"/>
      <c r="L8" s="76"/>
      <c r="M8" s="76"/>
      <c r="N8" s="76"/>
      <c r="O8" s="280"/>
      <c r="P8" s="126">
        <v>0.15</v>
      </c>
    </row>
    <row r="9" spans="1:16" ht="16" thickBot="1" x14ac:dyDescent="0.2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6"/>
      <c r="K9" s="76"/>
      <c r="L9" s="76"/>
      <c r="M9" s="76"/>
      <c r="N9" s="76"/>
    </row>
    <row r="10" spans="1:16" x14ac:dyDescent="0.2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6"/>
      <c r="K10" s="76"/>
      <c r="L10" s="76"/>
      <c r="M10" s="76"/>
      <c r="N10" s="76"/>
      <c r="O10" s="279" t="s">
        <v>236</v>
      </c>
      <c r="P10" s="119">
        <v>0</v>
      </c>
    </row>
    <row r="11" spans="1:16" ht="16" thickBot="1" x14ac:dyDescent="0.2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6"/>
      <c r="K11" s="76"/>
      <c r="L11" s="76"/>
      <c r="M11" s="76"/>
      <c r="N11" s="76"/>
      <c r="O11" s="280"/>
      <c r="P11" s="126">
        <v>0.1</v>
      </c>
    </row>
    <row r="12" spans="1:16" x14ac:dyDescent="0.2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6"/>
      <c r="K12" s="76"/>
      <c r="L12" s="76"/>
      <c r="M12" s="76"/>
      <c r="N12" s="76"/>
    </row>
    <row r="13" spans="1:16" x14ac:dyDescent="0.2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6"/>
      <c r="K13" s="76"/>
      <c r="L13" s="76"/>
      <c r="M13" s="76"/>
      <c r="N13" s="76"/>
    </row>
    <row r="14" spans="1:16" x14ac:dyDescent="0.2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6"/>
      <c r="K14" s="76"/>
      <c r="L14" s="76"/>
      <c r="M14" s="76"/>
      <c r="N14" s="76"/>
    </row>
    <row r="15" spans="1:16" x14ac:dyDescent="0.2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6"/>
      <c r="K15" s="76"/>
      <c r="L15" s="76"/>
      <c r="M15" s="76"/>
      <c r="N15" s="76"/>
    </row>
    <row r="16" spans="1:16" x14ac:dyDescent="0.2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6"/>
      <c r="K16" s="76"/>
      <c r="L16" s="76"/>
      <c r="M16" s="76"/>
      <c r="N16" s="76"/>
    </row>
    <row r="17" spans="1:14" x14ac:dyDescent="0.2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6"/>
      <c r="K17" s="76"/>
      <c r="L17" s="76"/>
      <c r="M17" s="76"/>
      <c r="N17" s="76"/>
    </row>
    <row r="18" spans="1:14" x14ac:dyDescent="0.2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6"/>
      <c r="K18" s="76"/>
      <c r="L18" s="76"/>
      <c r="M18" s="76"/>
      <c r="N18" s="76"/>
    </row>
    <row r="19" spans="1:14" x14ac:dyDescent="0.2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6"/>
      <c r="K19" s="76"/>
      <c r="L19" s="76"/>
      <c r="M19" s="76"/>
      <c r="N19" s="76"/>
    </row>
    <row r="20" spans="1:14" x14ac:dyDescent="0.2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6"/>
      <c r="K20" s="76"/>
      <c r="L20" s="76"/>
      <c r="M20" s="76"/>
      <c r="N20" s="76"/>
    </row>
    <row r="21" spans="1:14" x14ac:dyDescent="0.2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6"/>
      <c r="K21" s="76"/>
      <c r="L21" s="76"/>
      <c r="M21" s="76"/>
      <c r="N21" s="76"/>
    </row>
    <row r="22" spans="1:14" x14ac:dyDescent="0.2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6"/>
      <c r="K22" s="76"/>
      <c r="L22" s="76"/>
      <c r="M22" s="76"/>
      <c r="N22" s="76"/>
    </row>
    <row r="23" spans="1:14" x14ac:dyDescent="0.2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6"/>
      <c r="K23" s="76"/>
      <c r="L23" s="76"/>
      <c r="M23" s="76"/>
      <c r="N23" s="76"/>
    </row>
    <row r="24" spans="1:14" x14ac:dyDescent="0.2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6"/>
      <c r="K24" s="76"/>
      <c r="L24" s="76"/>
      <c r="M24" s="76"/>
      <c r="N24" s="76"/>
    </row>
    <row r="25" spans="1:14" x14ac:dyDescent="0.2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6"/>
      <c r="K25" s="76"/>
      <c r="L25" s="76"/>
      <c r="M25" s="76"/>
      <c r="N25" s="76"/>
    </row>
    <row r="26" spans="1:14" x14ac:dyDescent="0.2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6"/>
      <c r="K26" s="76"/>
      <c r="L26" s="76"/>
      <c r="M26" s="76"/>
      <c r="N26" s="76"/>
    </row>
    <row r="27" spans="1:14" x14ac:dyDescent="0.2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6"/>
      <c r="K27" s="76"/>
      <c r="L27" s="76"/>
      <c r="M27" s="76"/>
      <c r="N27" s="76"/>
    </row>
    <row r="28" spans="1:14" x14ac:dyDescent="0.2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6"/>
      <c r="K28" s="76"/>
      <c r="L28" s="76"/>
      <c r="M28" s="76"/>
      <c r="N28" s="76"/>
    </row>
    <row r="29" spans="1:14" x14ac:dyDescent="0.2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6"/>
      <c r="K29" s="76"/>
      <c r="L29" s="76"/>
      <c r="M29" s="76"/>
      <c r="N29" s="76"/>
    </row>
    <row r="30" spans="1:14" x14ac:dyDescent="0.2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6"/>
      <c r="K30" s="76"/>
      <c r="L30" s="76"/>
      <c r="M30" s="76"/>
      <c r="N30" s="76"/>
    </row>
    <row r="31" spans="1:14" x14ac:dyDescent="0.2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6"/>
      <c r="K31" s="76"/>
      <c r="L31" s="76"/>
      <c r="M31" s="76"/>
      <c r="N31" s="76"/>
    </row>
    <row r="32" spans="1:14" x14ac:dyDescent="0.2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6"/>
      <c r="K32" s="76"/>
      <c r="L32" s="76"/>
      <c r="M32" s="76"/>
      <c r="N32" s="76"/>
    </row>
    <row r="33" spans="1:14" x14ac:dyDescent="0.2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6"/>
      <c r="K33" s="76"/>
      <c r="L33" s="76"/>
      <c r="M33" s="76"/>
      <c r="N33" s="76"/>
    </row>
    <row r="34" spans="1:14" x14ac:dyDescent="0.2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6"/>
      <c r="K34" s="76"/>
      <c r="L34" s="76"/>
      <c r="M34" s="76"/>
      <c r="N34" s="76"/>
    </row>
    <row r="35" spans="1:14" x14ac:dyDescent="0.2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6"/>
      <c r="K35" s="76"/>
      <c r="L35" s="76"/>
      <c r="M35" s="76"/>
      <c r="N35" s="76"/>
    </row>
    <row r="36" spans="1:14" x14ac:dyDescent="0.2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6"/>
      <c r="K36" s="76"/>
      <c r="L36" s="76"/>
      <c r="M36" s="76"/>
      <c r="N36" s="76"/>
    </row>
    <row r="37" spans="1:14" x14ac:dyDescent="0.2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6"/>
      <c r="K37" s="76"/>
      <c r="L37" s="76"/>
      <c r="M37" s="76"/>
      <c r="N37" s="76"/>
    </row>
    <row r="38" spans="1:14" x14ac:dyDescent="0.2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6"/>
      <c r="K38" s="76"/>
      <c r="L38" s="76"/>
      <c r="M38" s="76"/>
      <c r="N38" s="76"/>
    </row>
    <row r="39" spans="1:14" x14ac:dyDescent="0.2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6"/>
      <c r="K39" s="76"/>
      <c r="L39" s="76"/>
      <c r="M39" s="76"/>
      <c r="N39" s="76"/>
    </row>
    <row r="40" spans="1:14" x14ac:dyDescent="0.2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6"/>
      <c r="K40" s="76"/>
      <c r="L40" s="76"/>
      <c r="M40" s="76"/>
      <c r="N40" s="76"/>
    </row>
    <row r="41" spans="1:14" x14ac:dyDescent="0.2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6"/>
      <c r="K41" s="76"/>
      <c r="L41" s="76"/>
      <c r="M41" s="76"/>
      <c r="N41" s="76"/>
    </row>
    <row r="42" spans="1:14" x14ac:dyDescent="0.2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6"/>
      <c r="K42" s="76"/>
      <c r="L42" s="76"/>
      <c r="M42" s="76"/>
      <c r="N42" s="76"/>
    </row>
    <row r="43" spans="1:14" x14ac:dyDescent="0.2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6"/>
      <c r="K43" s="76"/>
      <c r="L43" s="76"/>
      <c r="M43" s="76"/>
      <c r="N43" s="76"/>
    </row>
    <row r="44" spans="1:14" x14ac:dyDescent="0.2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6"/>
      <c r="K44" s="76"/>
      <c r="L44" s="76"/>
      <c r="M44" s="76"/>
      <c r="N44" s="76"/>
    </row>
    <row r="45" spans="1:14" x14ac:dyDescent="0.2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6"/>
      <c r="K45" s="76"/>
      <c r="L45" s="76"/>
      <c r="M45" s="76"/>
      <c r="N45" s="76"/>
    </row>
    <row r="46" spans="1:14" x14ac:dyDescent="0.2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6"/>
      <c r="K46" s="76"/>
      <c r="L46" s="76"/>
      <c r="M46" s="76"/>
      <c r="N46" s="76"/>
    </row>
    <row r="47" spans="1:14" x14ac:dyDescent="0.2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6"/>
      <c r="K47" s="76"/>
      <c r="L47" s="76"/>
      <c r="M47" s="76"/>
      <c r="N47" s="76"/>
    </row>
    <row r="48" spans="1:14" x14ac:dyDescent="0.2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6"/>
      <c r="K48" s="76"/>
      <c r="L48" s="76"/>
      <c r="M48" s="76"/>
      <c r="N48" s="76"/>
    </row>
    <row r="49" spans="1:14" x14ac:dyDescent="0.2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6"/>
      <c r="K49" s="76"/>
      <c r="L49" s="76"/>
      <c r="M49" s="76"/>
      <c r="N49" s="76"/>
    </row>
    <row r="50" spans="1:14" x14ac:dyDescent="0.2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6"/>
      <c r="K50" s="76"/>
      <c r="L50" s="76"/>
      <c r="M50" s="76"/>
      <c r="N50" s="76"/>
    </row>
    <row r="51" spans="1:14" x14ac:dyDescent="0.2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6"/>
      <c r="K51" s="76"/>
      <c r="L51" s="76"/>
      <c r="M51" s="76"/>
      <c r="N51" s="76"/>
    </row>
    <row r="52" spans="1:14" x14ac:dyDescent="0.2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6"/>
      <c r="K52" s="76"/>
      <c r="L52" s="76"/>
      <c r="M52" s="76"/>
      <c r="N52" s="76"/>
    </row>
    <row r="53" spans="1:14" x14ac:dyDescent="0.2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6"/>
      <c r="K53" s="76"/>
      <c r="L53" s="76"/>
      <c r="M53" s="76"/>
      <c r="N53" s="76"/>
    </row>
    <row r="54" spans="1:14" x14ac:dyDescent="0.2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6"/>
      <c r="K54" s="76"/>
      <c r="L54" s="76"/>
      <c r="M54" s="76"/>
      <c r="N54" s="76"/>
    </row>
    <row r="55" spans="1:14" x14ac:dyDescent="0.2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6"/>
      <c r="K55" s="76"/>
      <c r="L55" s="76"/>
      <c r="M55" s="76"/>
      <c r="N55" s="76"/>
    </row>
    <row r="56" spans="1:14" x14ac:dyDescent="0.2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6"/>
      <c r="K56" s="76"/>
      <c r="L56" s="76"/>
      <c r="M56" s="76"/>
      <c r="N56" s="76"/>
    </row>
    <row r="57" spans="1:14" x14ac:dyDescent="0.2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6"/>
      <c r="K57" s="76"/>
      <c r="L57" s="76"/>
      <c r="M57" s="76"/>
      <c r="N57" s="76"/>
    </row>
    <row r="58" spans="1:14" x14ac:dyDescent="0.2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6"/>
      <c r="K58" s="76"/>
      <c r="L58" s="76"/>
      <c r="M58" s="76"/>
      <c r="N58" s="76"/>
    </row>
    <row r="59" spans="1:14" x14ac:dyDescent="0.2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6"/>
      <c r="K59" s="76"/>
      <c r="L59" s="76"/>
      <c r="M59" s="76"/>
      <c r="N59" s="76"/>
    </row>
    <row r="60" spans="1:14" x14ac:dyDescent="0.2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6"/>
      <c r="K60" s="76"/>
      <c r="L60" s="76"/>
      <c r="M60" s="76"/>
      <c r="N60" s="76"/>
    </row>
    <row r="61" spans="1:14" x14ac:dyDescent="0.2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6"/>
      <c r="K61" s="76"/>
      <c r="L61" s="76"/>
      <c r="M61" s="76"/>
      <c r="N61" s="76"/>
    </row>
    <row r="62" spans="1:14" x14ac:dyDescent="0.2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6"/>
      <c r="K62" s="76"/>
      <c r="L62" s="76"/>
      <c r="M62" s="76"/>
      <c r="N62" s="76"/>
    </row>
    <row r="63" spans="1:14" x14ac:dyDescent="0.2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6"/>
      <c r="K63" s="76"/>
      <c r="L63" s="76"/>
      <c r="M63" s="76"/>
      <c r="N63" s="76"/>
    </row>
    <row r="64" spans="1:14" x14ac:dyDescent="0.2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6"/>
      <c r="K64" s="76"/>
      <c r="L64" s="76"/>
      <c r="M64" s="76"/>
      <c r="N64" s="76"/>
    </row>
    <row r="65" spans="1:14" x14ac:dyDescent="0.2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6"/>
      <c r="K65" s="76"/>
      <c r="L65" s="76"/>
      <c r="M65" s="76"/>
      <c r="N65" s="76"/>
    </row>
    <row r="66" spans="1:14" x14ac:dyDescent="0.2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6"/>
      <c r="K66" s="76"/>
      <c r="L66" s="76"/>
      <c r="M66" s="76"/>
      <c r="N66" s="76"/>
    </row>
    <row r="67" spans="1:14" x14ac:dyDescent="0.2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6"/>
      <c r="K67" s="76"/>
      <c r="L67" s="76"/>
      <c r="M67" s="76"/>
      <c r="N67" s="76"/>
    </row>
    <row r="68" spans="1:14" x14ac:dyDescent="0.2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6"/>
      <c r="K68" s="76"/>
      <c r="L68" s="76"/>
      <c r="M68" s="76"/>
      <c r="N68" s="76"/>
    </row>
    <row r="69" spans="1:14" x14ac:dyDescent="0.2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6"/>
      <c r="K69" s="76"/>
      <c r="L69" s="76"/>
      <c r="M69" s="76"/>
      <c r="N69" s="76"/>
    </row>
    <row r="70" spans="1:14" x14ac:dyDescent="0.2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6"/>
      <c r="K70" s="76"/>
      <c r="L70" s="76"/>
      <c r="M70" s="76"/>
      <c r="N70" s="76"/>
    </row>
    <row r="71" spans="1:14" x14ac:dyDescent="0.2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6"/>
      <c r="K71" s="76"/>
      <c r="L71" s="76"/>
      <c r="M71" s="76"/>
      <c r="N71" s="76"/>
    </row>
    <row r="72" spans="1:14" x14ac:dyDescent="0.2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6"/>
      <c r="K72" s="76"/>
      <c r="L72" s="76"/>
      <c r="M72" s="76"/>
      <c r="N72" s="76"/>
    </row>
    <row r="73" spans="1:14" x14ac:dyDescent="0.2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6"/>
      <c r="K73" s="76"/>
      <c r="L73" s="76"/>
      <c r="M73" s="76"/>
      <c r="N73" s="76"/>
    </row>
    <row r="74" spans="1:14" x14ac:dyDescent="0.2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6"/>
      <c r="K74" s="76"/>
      <c r="L74" s="76"/>
      <c r="M74" s="76"/>
      <c r="N74" s="76"/>
    </row>
    <row r="75" spans="1:14" x14ac:dyDescent="0.2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6"/>
      <c r="K75" s="76"/>
      <c r="L75" s="76"/>
      <c r="M75" s="76"/>
      <c r="N75" s="76"/>
    </row>
    <row r="76" spans="1:14" x14ac:dyDescent="0.2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6"/>
      <c r="K76" s="76"/>
      <c r="L76" s="76"/>
      <c r="M76" s="76"/>
      <c r="N76" s="76"/>
    </row>
    <row r="77" spans="1:14" x14ac:dyDescent="0.2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6"/>
      <c r="K77" s="76"/>
      <c r="L77" s="76"/>
      <c r="M77" s="76"/>
      <c r="N77" s="76"/>
    </row>
    <row r="78" spans="1:14" x14ac:dyDescent="0.2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6"/>
      <c r="K78" s="76"/>
      <c r="L78" s="76"/>
      <c r="M78" s="76"/>
      <c r="N78" s="76"/>
    </row>
    <row r="79" spans="1:14" x14ac:dyDescent="0.2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6"/>
      <c r="K79" s="76"/>
      <c r="L79" s="76"/>
      <c r="M79" s="76"/>
      <c r="N79" s="76"/>
    </row>
    <row r="80" spans="1:14" x14ac:dyDescent="0.2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6"/>
      <c r="K80" s="76"/>
      <c r="L80" s="76"/>
      <c r="M80" s="76"/>
      <c r="N80" s="76"/>
    </row>
    <row r="81" spans="1:14" x14ac:dyDescent="0.2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6"/>
      <c r="K81" s="76"/>
      <c r="L81" s="76"/>
      <c r="M81" s="76"/>
      <c r="N81" s="76"/>
    </row>
    <row r="82" spans="1:14" x14ac:dyDescent="0.2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6"/>
      <c r="K82" s="76"/>
      <c r="L82" s="76"/>
      <c r="M82" s="76"/>
      <c r="N82" s="76"/>
    </row>
    <row r="83" spans="1:14" x14ac:dyDescent="0.2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6"/>
      <c r="K83" s="76"/>
      <c r="L83" s="76"/>
      <c r="M83" s="76"/>
      <c r="N83" s="76"/>
    </row>
    <row r="84" spans="1:14" x14ac:dyDescent="0.2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6"/>
      <c r="K84" s="76"/>
      <c r="L84" s="76"/>
      <c r="M84" s="76"/>
      <c r="N84" s="76"/>
    </row>
    <row r="85" spans="1:14" x14ac:dyDescent="0.2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6"/>
      <c r="K85" s="76"/>
      <c r="L85" s="76"/>
      <c r="M85" s="76"/>
      <c r="N85" s="76"/>
    </row>
    <row r="86" spans="1:14" x14ac:dyDescent="0.2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6"/>
      <c r="K86" s="76"/>
      <c r="L86" s="76"/>
      <c r="M86" s="76"/>
      <c r="N86" s="76"/>
    </row>
    <row r="87" spans="1:14" x14ac:dyDescent="0.2">
      <c r="A87" s="248" t="s">
        <v>321</v>
      </c>
      <c r="B87" s="249" t="s">
        <v>322</v>
      </c>
      <c r="C87" s="250">
        <v>0.41</v>
      </c>
      <c r="D87" s="250" t="s">
        <v>323</v>
      </c>
      <c r="E87" s="250">
        <v>1.56</v>
      </c>
      <c r="F87" s="251" t="s">
        <v>274</v>
      </c>
      <c r="G87" s="252">
        <v>0.43</v>
      </c>
      <c r="H87" s="250" t="s">
        <v>278</v>
      </c>
      <c r="I87" s="253">
        <v>0.25</v>
      </c>
      <c r="J87" s="76"/>
      <c r="K87" s="76"/>
      <c r="L87" s="76"/>
      <c r="M87" s="76"/>
      <c r="N87" s="76"/>
    </row>
    <row r="88" spans="1:14" x14ac:dyDescent="0.2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6" thickBot="1" x14ac:dyDescent="0.2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2">
      <c r="A93" s="120" t="s">
        <v>208</v>
      </c>
    </row>
    <row r="94" spans="1:14" x14ac:dyDescent="0.2">
      <c r="A94" s="120" t="s">
        <v>209</v>
      </c>
    </row>
    <row r="95" spans="1:14" x14ac:dyDescent="0.2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116" zoomScale="90" zoomScaleNormal="90" workbookViewId="0">
      <selection activeCell="N19" sqref="N19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0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0" t="s">
        <v>271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2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2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3" t="str">
        <f>IF('Données projet'!$B$9="","",'Données projet'!$B$9)</f>
        <v>Chêne pubescent</v>
      </c>
      <c r="B6" s="144">
        <f>'Données projet'!D9</f>
        <v>0.48833415000000002</v>
      </c>
      <c r="C6" s="145">
        <f ca="1">IF(OR('Données projet'!B9="",'Données projet'!C9="",'Données projet'!C9=0%),0,Calculateur!S3)</f>
        <v>332.70145542047612</v>
      </c>
      <c r="D6" s="145">
        <f>IF(OR('Données projet'!B9="",'Données projet'!C9="",'Données projet'!C9=0%),0,Calculateur!T3)</f>
        <v>172.22433737900428</v>
      </c>
      <c r="E6" s="145">
        <f ca="1">MIN(C6,D6)</f>
        <v>172.22433737900428</v>
      </c>
      <c r="F6" s="145">
        <f ca="1">E6*B6</f>
        <v>84.103025403289294</v>
      </c>
      <c r="G6" s="145">
        <f ca="1">F6*(100%-'Données projet'!$C$24)*(100%-'Données projet'!$C$25)*(100%-'Données projet'!$C$26)*(100%-'Données projet'!$C$27)</f>
        <v>75.692722862960366</v>
      </c>
      <c r="H6" s="146">
        <f>IF(OR('Données projet'!B9="",'Données projet'!C9="",'Données projet'!C9=0%),0,AVERAGE(Calculateur!$AC$3:$AC$33)*B6)</f>
        <v>0</v>
      </c>
      <c r="I6" s="147">
        <f>H6*(100%-'Données projet'!$C$24)*(100%-'Données projet'!$C$25)*(100%-'Données projet'!$C$26)*(100%-'Données projet'!$C$27)</f>
        <v>0</v>
      </c>
      <c r="J6" s="148">
        <f>IF(OR('Données projet'!B9="",'Données projet'!C9="",'Données projet'!C9=0%),0,SUM(Calculateur!$V$3:$V$33)*VLOOKUP('Données projet'!$B$9,Paramètres!$A$1:$I$89,9,0)*B6)</f>
        <v>0</v>
      </c>
      <c r="K6" s="149">
        <f>J6*(100%-'Données projet'!$C$24)*(100%-'Données projet'!$C$25)*(100%-'Données projet'!$C$26)*(100%-'Données projet'!$C$27)</f>
        <v>0</v>
      </c>
      <c r="L6" s="150">
        <f ca="1">G6+I6+K6</f>
        <v>75.692722862960366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1" t="str">
        <f>IF('Données projet'!$B$10="","",'Données projet'!$B$10)</f>
        <v>Chêne sessile</v>
      </c>
      <c r="B7" s="152">
        <f>'Données projet'!D10</f>
        <v>0.48666740000000003</v>
      </c>
      <c r="C7" s="145">
        <f ca="1">IF(OR('Données projet'!B10="",'Données projet'!C10="",'Données projet'!C10=0%),0,Calculateur!AN3)</f>
        <v>469.4210143164521</v>
      </c>
      <c r="D7" s="145">
        <f>IF(OR('Données projet'!B10="",'Données projet'!C10="",'Données projet'!C10=0%),0,Calculateur!AO3)</f>
        <v>308.4508386530556</v>
      </c>
      <c r="E7" s="145">
        <f t="shared" ref="E7:E15" ca="1" si="0">MIN(C7,D7)</f>
        <v>308.4508386530556</v>
      </c>
      <c r="F7" s="145">
        <f t="shared" ref="F7:F15" ca="1" si="1">E7*B7</f>
        <v>150.11296767510208</v>
      </c>
      <c r="G7" s="145">
        <f ca="1">F7*(100%-'Données projet'!$C$24)*(100%-'Données projet'!$C$25)*(100%-'Données projet'!$C$26)*(100%-'Données projet'!$C$27)</f>
        <v>135.10167090759188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135.10167090759188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1" t="str">
        <f>IF('Données projet'!$B$11="","",'Données projet'!$B$11)</f>
        <v>Châtaignier</v>
      </c>
      <c r="B8" s="152">
        <f>'Données projet'!D11</f>
        <v>0.27083360000000001</v>
      </c>
      <c r="C8" s="145">
        <f ca="1">IF(OR('Données projet'!B11="",'Données projet'!C11="",'Données projet'!C11=0%),0,Calculateur!BI3)</f>
        <v>344.32981377462971</v>
      </c>
      <c r="D8" s="145">
        <f>IF(OR('Données projet'!B11="",'Données projet'!C11="",'Données projet'!C11=0%),0,Calculateur!BJ3)</f>
        <v>334.42512656625763</v>
      </c>
      <c r="E8" s="145">
        <f t="shared" ca="1" si="0"/>
        <v>334.42512656625763</v>
      </c>
      <c r="F8" s="145">
        <f t="shared" ca="1" si="1"/>
        <v>90.573560958395191</v>
      </c>
      <c r="G8" s="145">
        <f ca="1">F8*(100%-'Données projet'!$C$24)*(100%-'Données projet'!$C$25)*(100%-'Données projet'!$C$26)*(100%-'Données projet'!$C$27)</f>
        <v>81.516204862555668</v>
      </c>
      <c r="H8" s="153">
        <f>IF(OR('Données projet'!B11="",'Données projet'!C11="",'Données projet'!C11=0%),0,AVERAGE(Calculateur!$BS$3:$BS$33)*B8)</f>
        <v>0.69730047060747802</v>
      </c>
      <c r="I8" s="147">
        <f>H8*(100%-'Données projet'!$C$24)*(100%-'Données projet'!$C$25)*(100%-'Données projet'!$C$26)*(100%-'Données projet'!$C$27)</f>
        <v>0.62757042354673021</v>
      </c>
      <c r="J8" s="148">
        <f>IF(OR('Données projet'!B11="",'Données projet'!C11="",'Données projet'!C11=0%),0,SUM(Calculateur!$BL$3:$BL$33)*VLOOKUP('Données projet'!$B$11,Paramètres!$A$1:$I$89,9,0)*B8)</f>
        <v>9.2760508000000002</v>
      </c>
      <c r="K8" s="149">
        <f>J8*(100%-'Données projet'!$C$24)*(100%-'Données projet'!$C$25)*(100%-'Données projet'!$C$26)*(100%-'Données projet'!$C$27)</f>
        <v>8.3484457200000008</v>
      </c>
      <c r="L8" s="150">
        <f t="shared" ca="1" si="2"/>
        <v>90.492221006102397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1" t="str">
        <f>IF('Données projet'!$B$12="","",'Données projet'!$B$12)</f>
        <v>Charme</v>
      </c>
      <c r="B9" s="152">
        <f>'Données projet'!D12</f>
        <v>0.27083360000000001</v>
      </c>
      <c r="C9" s="145">
        <f ca="1">IF(OR('Données projet'!B12="",'Données projet'!C12="",'Données projet'!C12=0%),0,Calculateur!CD3)</f>
        <v>498.77732039282807</v>
      </c>
      <c r="D9" s="145">
        <f>IF(OR('Données projet'!B12="",'Données projet'!C12="",'Données projet'!C12=0%),0,Calculateur!CE3)</f>
        <v>384.57317421826531</v>
      </c>
      <c r="E9" s="145">
        <f t="shared" ca="1" si="0"/>
        <v>384.57317421826531</v>
      </c>
      <c r="F9" s="145">
        <f t="shared" ca="1" si="1"/>
        <v>104.15533723695998</v>
      </c>
      <c r="G9" s="145">
        <f ca="1">F9*(100%-'Données projet'!$C$24)*(100%-'Données projet'!$C$25)*(100%-'Données projet'!$C$26)*(100%-'Données projet'!$C$27)</f>
        <v>93.739803513263979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2.3020855999999998</v>
      </c>
      <c r="K9" s="149">
        <f>J9*(100%-'Données projet'!$C$24)*(100%-'Données projet'!$C$25)*(100%-'Données projet'!$C$26)*(100%-'Données projet'!$C$27)</f>
        <v>2.0718770399999999</v>
      </c>
      <c r="L9" s="150">
        <f t="shared" ca="1" si="2"/>
        <v>95.811680553263983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1" t="str">
        <f>IF('Données projet'!$B$13="","",'Données projet'!$B$13)</f>
        <v>Tilleul</v>
      </c>
      <c r="B10" s="152">
        <f>'Données projet'!D13</f>
        <v>0.27083360000000001</v>
      </c>
      <c r="C10" s="145">
        <f ca="1">IF(OR('Données projet'!B13="",'Données projet'!C13="",'Données projet'!C13=0%),0,Calculateur!CY3)</f>
        <v>365.99625753737246</v>
      </c>
      <c r="D10" s="145">
        <f>IF(OR('Données projet'!B13="",'Données projet'!C13="",'Données projet'!C13=0%),0,Calculateur!CZ3)</f>
        <v>242.84814712692287</v>
      </c>
      <c r="E10" s="145">
        <f t="shared" ca="1" si="0"/>
        <v>242.84814712692287</v>
      </c>
      <c r="F10" s="145">
        <f t="shared" ca="1" si="1"/>
        <v>65.771437939714176</v>
      </c>
      <c r="G10" s="145">
        <f ca="1">F10*(100%-'Données projet'!$C$24)*(100%-'Données projet'!$C$25)*(100%-'Données projet'!$C$26)*(100%-'Données projet'!$C$27)</f>
        <v>59.194294145742759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ca="1" si="2"/>
        <v>59.194294145742759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1" t="str">
        <f>IF('Données projet'!$B$14="","",'Données projet'!$B$14)</f>
        <v>Aulne à feuilles en cœur</v>
      </c>
      <c r="B11" s="152">
        <f>'Données projet'!D14</f>
        <v>0.27083360000000001</v>
      </c>
      <c r="C11" s="145">
        <f ca="1">IF(OR('Données projet'!B14="",'Données projet'!C14="",'Données projet'!C14=0%),0,Calculateur!DT3)</f>
        <v>313.79279628660527</v>
      </c>
      <c r="D11" s="145">
        <f>IF(OR('Données projet'!B14="",'Données projet'!C14="",'Données projet'!C14=0%),0,Calculateur!DU3)</f>
        <v>317.45469955216254</v>
      </c>
      <c r="E11" s="145">
        <f t="shared" ca="1" si="0"/>
        <v>313.79279628660527</v>
      </c>
      <c r="F11" s="145">
        <f t="shared" ca="1" si="1"/>
        <v>84.985632672367942</v>
      </c>
      <c r="G11" s="145">
        <f ca="1">F11*(100%-'Données projet'!$C$24)*(100%-'Données projet'!$C$25)*(100%-'Données projet'!$C$26)*(100%-'Données projet'!$C$27)</f>
        <v>76.487069405131152</v>
      </c>
      <c r="H11" s="153">
        <f>IF(OR('Données projet'!B14="",'Données projet'!C14="",'Données projet'!C14=0%),0,AVERAGE(Calculateur!$ED$3:$ED$33)*B11)</f>
        <v>1.4149257394285401E-2</v>
      </c>
      <c r="I11" s="147">
        <f>H11*(100%-'Données projet'!$C$24)*(100%-'Données projet'!$C$25)*(100%-'Données projet'!$C$26)*(100%-'Données projet'!$C$27)</f>
        <v>1.2734331654856861E-2</v>
      </c>
      <c r="J11" s="148">
        <f>IF(OR('Données projet'!B14="",'Données projet'!C14="",'Données projet'!C14=0%),0,SUM(Calculateur!$DW$3:$DW$33)*VLOOKUP('Données projet'!$B$14,Paramètres!$A$1:$I$89,9,0)*B11)</f>
        <v>4.6041711999999997</v>
      </c>
      <c r="K11" s="149">
        <f>J11*(100%-'Données projet'!$C$24)*(100%-'Données projet'!$C$25)*(100%-'Données projet'!$C$26)*(100%-'Données projet'!$C$27)</f>
        <v>4.1437540799999999</v>
      </c>
      <c r="L11" s="150">
        <f t="shared" ca="1" si="2"/>
        <v>80.643557816786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1" t="str">
        <f>IF('Données projet'!$B$15="","",'Données projet'!$B$15)</f>
        <v>Hêtre</v>
      </c>
      <c r="B12" s="152">
        <f>'Données projet'!D15</f>
        <v>9.0833449999999996E-2</v>
      </c>
      <c r="C12" s="145">
        <f ca="1">IF(OR('Données projet'!B15="",'Données projet'!C15="",'Données projet'!C15=0%),0,Calculateur!EO3)</f>
        <v>643.04899298561475</v>
      </c>
      <c r="D12" s="145">
        <f>IF(OR('Données projet'!B15="",'Données projet'!C15="",'Données projet'!C15=0%),0,Calculateur!EP3)</f>
        <v>474.94999304483031</v>
      </c>
      <c r="E12" s="145">
        <f t="shared" ca="1" si="0"/>
        <v>474.94999304483031</v>
      </c>
      <c r="F12" s="145">
        <f t="shared" ca="1" si="1"/>
        <v>43.141346445737938</v>
      </c>
      <c r="G12" s="145">
        <f ca="1">F12*(100%-'Données projet'!$C$24)*(100%-'Données projet'!$C$25)*(100%-'Données projet'!$C$26)*(100%-'Données projet'!$C$27)</f>
        <v>38.827211801164147</v>
      </c>
      <c r="H12" s="153">
        <f>IF(OR('Données projet'!B15="",'Données projet'!C15="",'Données projet'!C15=0%),0,AVERAGE(Calculateur!$EY$3:$EY$33)*B12)</f>
        <v>2.1210791543459909E-2</v>
      </c>
      <c r="I12" s="147">
        <f>H12*(100%-'Données projet'!$C$24)*(100%-'Données projet'!$C$25)*(100%-'Données projet'!$C$26)*(100%-'Données projet'!$C$27)</f>
        <v>1.908971238911392E-2</v>
      </c>
      <c r="J12" s="148">
        <f>IF(OR('Données projet'!B15="",'Données projet'!C15="",'Données projet'!C15=0%),0,SUM(Calculateur!$ER$3:$ER$33)*VLOOKUP('Données projet'!$B$15,Paramètres!$A$1:$I$89,9,0)*B12)</f>
        <v>3.3608376499999997</v>
      </c>
      <c r="K12" s="149">
        <f>J12*(100%-'Données projet'!$C$24)*(100%-'Données projet'!$C$25)*(100%-'Données projet'!$C$26)*(100%-'Données projet'!$C$27)</f>
        <v>3.024753885</v>
      </c>
      <c r="L12" s="150">
        <f t="shared" ca="1" si="2"/>
        <v>41.87105539855326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1" t="str">
        <f>IF('Données projet'!$B$16="","",'Données projet'!$B$16)</f>
        <v>Noyer</v>
      </c>
      <c r="B13" s="152">
        <f>'Données projet'!D16</f>
        <v>8.0001050000000004E-2</v>
      </c>
      <c r="C13" s="145">
        <f ca="1">IF(OR('Données projet'!B16="",'Données projet'!C16="",'Données projet'!C16=0%),0,Calculateur!FJ3)</f>
        <v>375.34603719604439</v>
      </c>
      <c r="D13" s="145">
        <f>IF(OR('Données projet'!B16="",'Données projet'!C16="",'Données projet'!C16=0%),0,Calculateur!FK3)</f>
        <v>363.99476973672211</v>
      </c>
      <c r="E13" s="145">
        <f t="shared" ca="1" si="0"/>
        <v>363.99476973672211</v>
      </c>
      <c r="F13" s="145">
        <f t="shared" ca="1" si="1"/>
        <v>29.119963773445992</v>
      </c>
      <c r="G13" s="145">
        <f ca="1">F13*(100%-'Données projet'!$C$24)*(100%-'Données projet'!$C$25)*(100%-'Données projet'!$C$26)*(100%-'Données projet'!$C$27)</f>
        <v>26.207967396101392</v>
      </c>
      <c r="H13" s="153">
        <f>IF(OR('Données projet'!B16="",'Données projet'!C16="",'Données projet'!C16=0%),0,AVERAGE(Calculateur!$FT$3:$FT$33)*B13)</f>
        <v>0.28088335412976601</v>
      </c>
      <c r="I13" s="147">
        <f>H13*(100%-'Données projet'!$C$24)*(100%-'Données projet'!$C$25)*(100%-'Données projet'!$C$26)*(100%-'Données projet'!$C$27)</f>
        <v>0.25279501871678939</v>
      </c>
      <c r="J13" s="148">
        <f>IF(OR('Données projet'!C16="",'Données projet'!C16=0%),0,SUM(Calculateur!$FM$3:$FM$33)*VLOOKUP('Données projet'!$B$16,Paramètres!$A$1:$I$89,9,0)*B13)</f>
        <v>2.7400359624999999</v>
      </c>
      <c r="K13" s="149">
        <f>J13*(100%-'Données projet'!$C$24)*(100%-'Données projet'!$C$25)*(100%-'Données projet'!$C$26)*(100%-'Données projet'!$C$27)</f>
        <v>2.4660323662499999</v>
      </c>
      <c r="L13" s="150">
        <f t="shared" ca="1" si="2"/>
        <v>28.926794781068182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1" t="str">
        <f>IF('Données projet'!$B$17="","",'Données projet'!$B$17)</f>
        <v>Douglas</v>
      </c>
      <c r="B14" s="152">
        <f>'Données projet'!D17</f>
        <v>0.42749925</v>
      </c>
      <c r="C14" s="145">
        <f ca="1">IF(OR('Données projet'!B17="",'Données projet'!C17="",'Données projet'!C17=0%),0,Calculateur!GE3)</f>
        <v>414.47327143450701</v>
      </c>
      <c r="D14" s="145">
        <f>IF(OR('Données projet'!B17="",'Données projet'!C17="",'Données projet'!C17=0%),0,Calculateur!GF3)</f>
        <v>546.83385887302961</v>
      </c>
      <c r="E14" s="145">
        <f t="shared" ca="1" si="0"/>
        <v>414.47327143450701</v>
      </c>
      <c r="F14" s="145">
        <f t="shared" ca="1" si="1"/>
        <v>177.18701268329818</v>
      </c>
      <c r="G14" s="145">
        <f ca="1">F14*(100%-'Données projet'!$C$24)*(100%-'Données projet'!$C$25)*(100%-'Données projet'!$C$26)*(100%-'Données projet'!$C$27)</f>
        <v>159.46831141496835</v>
      </c>
      <c r="H14" s="153">
        <f>IF(OR('Données projet'!B17="",'Données projet'!C17="",'Données projet'!C17=0%),0,AVERAGE(Calculateur!$GO$3:$GO$33)*B14)</f>
        <v>6.0831236724583881</v>
      </c>
      <c r="I14" s="147">
        <f>H14*(100%-'Données projet'!$C$24)*(100%-'Données projet'!$C$25)*(100%-'Données projet'!$C$26)*(100%-'Données projet'!$C$27)</f>
        <v>5.4748113052125493</v>
      </c>
      <c r="J14" s="148">
        <f>IF(OR('Données projet'!B17="",'Données projet'!C17="",'Données projet'!C17=0%),0,SUM(Calculateur!$GH$3:$GH$33)*VLOOKUP('Données projet'!$B$17,Paramètres!$A$1:$I$89,9,0)*B14)</f>
        <v>38.084796684449998</v>
      </c>
      <c r="K14" s="149">
        <f>J14*(100%-'Données projet'!$C$24)*(100%-'Données projet'!$C$25)*(100%-'Données projet'!$C$26)*(100%-'Données projet'!$C$27)</f>
        <v>34.276317016005002</v>
      </c>
      <c r="L14" s="150">
        <f t="shared" ca="1" si="2"/>
        <v>199.2194397361859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4" t="str">
        <f>IF('Données projet'!B18="","",'Données projet'!B18)</f>
        <v>Mélèze hybride</v>
      </c>
      <c r="B15" s="155">
        <f>'Données projet'!D18</f>
        <v>0.21416705</v>
      </c>
      <c r="C15" s="156">
        <f ca="1">IF(OR('Données projet'!B18="",'Données projet'!C18="",'Données projet'!C18=0%),0,Calculateur!GZ3)</f>
        <v>381.00532469288714</v>
      </c>
      <c r="D15" s="156">
        <f>IF(OR('Données projet'!B18="",'Données projet'!C18="",'Données projet'!C18=0%),0,Calculateur!HA3)</f>
        <v>314.875259641757</v>
      </c>
      <c r="E15" s="156">
        <f t="shared" ca="1" si="0"/>
        <v>314.875259641757</v>
      </c>
      <c r="F15" s="157">
        <f t="shared" ca="1" si="1"/>
        <v>67.435905475459151</v>
      </c>
      <c r="G15" s="157">
        <f ca="1">F15*(100%-'Données projet'!$C$24)*(100%-'Données projet'!$C$25)*(100%-'Données projet'!$C$26)*(100%-'Données projet'!$C$27)</f>
        <v>60.692314927913237</v>
      </c>
      <c r="H15" s="158">
        <f>IF(OR('Données projet'!B18="",'Données projet'!C18="",'Données projet'!C18=0%),0,AVERAGE(Calculateur!$HJ$3:$HJ$33)*B15)</f>
        <v>2.3893433556237582</v>
      </c>
      <c r="I15" s="159">
        <f>H15*(100%-'Données projet'!$C$24)*(100%-'Données projet'!$C$25)*(100%-'Données projet'!$C$26)*(100%-'Données projet'!$C$27)</f>
        <v>2.1504090200613826</v>
      </c>
      <c r="J15" s="160">
        <f>IF(OR('Données projet'!B18="",'Données projet'!C18="",'Données projet'!C18=0%),0,SUM(Calculateur!$HC$3:$HC$33)*VLOOKUP('Données projet'!$B$18,Paramètres!$A$1:$I$89,9,0)*B15)</f>
        <v>13.261223736</v>
      </c>
      <c r="K15" s="161">
        <f>J15*(100%-'Données projet'!$C$24)*(100%-'Données projet'!$C$25)*(100%-'Données projet'!$C$26)*(100%-'Données projet'!$C$27)</f>
        <v>11.935101362399999</v>
      </c>
      <c r="L15" s="162">
        <f t="shared" ca="1" si="2"/>
        <v>74.777825310374624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6"/>
      <c r="B16" s="210"/>
      <c r="C16" s="211"/>
      <c r="D16" s="23"/>
      <c r="E16" s="23"/>
      <c r="F16" s="163">
        <f t="shared" ref="F16:L16" ca="1" si="3">SUM(F6:F15)</f>
        <v>896.58619026376982</v>
      </c>
      <c r="G16" s="164">
        <f t="shared" ca="1" si="3"/>
        <v>806.92757123739284</v>
      </c>
      <c r="H16" s="165">
        <f t="shared" si="3"/>
        <v>9.4860109017571368</v>
      </c>
      <c r="I16" s="165">
        <f t="shared" si="3"/>
        <v>8.5374098115814228</v>
      </c>
      <c r="J16" s="166">
        <f t="shared" si="3"/>
        <v>73.62920163295</v>
      </c>
      <c r="K16" s="166">
        <f t="shared" si="3"/>
        <v>66.266281469655013</v>
      </c>
      <c r="L16" s="167">
        <f t="shared" ca="1" si="3"/>
        <v>881.73126251862948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6"/>
      <c r="B17" s="210"/>
      <c r="C17" s="211"/>
      <c r="D17" s="23"/>
      <c r="E17" s="23"/>
      <c r="F17" s="282" t="s">
        <v>246</v>
      </c>
      <c r="G17" s="283"/>
      <c r="H17" s="283"/>
      <c r="I17" s="283"/>
      <c r="J17" s="283"/>
      <c r="K17" s="283"/>
      <c r="L17" s="283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6"/>
      <c r="B18" s="210"/>
      <c r="C18" s="211"/>
      <c r="D18" s="23"/>
      <c r="E18" s="23"/>
      <c r="F18" s="269"/>
      <c r="G18" s="269"/>
      <c r="H18" s="269"/>
      <c r="I18" s="269"/>
      <c r="J18" s="269"/>
      <c r="K18" s="269"/>
      <c r="L18" s="269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68" t="str">
        <f>A6</f>
        <v>Chêne pubescent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68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68" t="str">
        <f>A8</f>
        <v>Châtaignier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68" t="str">
        <f>A9</f>
        <v>Charme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68" t="str">
        <f>A10</f>
        <v>Tilleul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68" t="str">
        <f>A11</f>
        <v>Aulne à feuilles en cœur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68" t="str">
        <f>A12</f>
        <v>Hêtre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68" t="str">
        <f>A13</f>
        <v>Noyer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68" t="str">
        <f>A14</f>
        <v>Douglas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68" t="str">
        <f>A15</f>
        <v>Mélèze hybride</v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1" zoomScale="93" zoomScaleNormal="80" workbookViewId="0">
      <selection activeCell="I16" sqref="I16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0" t="s">
        <v>272</v>
      </c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2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60" t="s">
        <v>315</v>
      </c>
      <c r="I4" s="260"/>
      <c r="K4" s="284" t="s">
        <v>253</v>
      </c>
      <c r="L4" s="285"/>
      <c r="M4" s="234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39"/>
      <c r="B7" s="240"/>
      <c r="C7" s="240"/>
      <c r="D7" s="240"/>
      <c r="E7" s="241"/>
      <c r="F7" s="241" t="s">
        <v>192</v>
      </c>
      <c r="G7" s="242"/>
      <c r="H7" s="240"/>
      <c r="I7" s="240"/>
      <c r="J7" s="243"/>
      <c r="K7" s="237"/>
      <c r="L7" s="238"/>
      <c r="M7" s="238"/>
      <c r="N7" s="244" t="s">
        <v>191</v>
      </c>
      <c r="O7" s="244"/>
      <c r="P7" s="245"/>
      <c r="Q7" s="246"/>
      <c r="R7" s="294" t="s">
        <v>310</v>
      </c>
      <c r="S7" s="295"/>
      <c r="T7" s="295"/>
      <c r="U7" s="295"/>
      <c r="V7" s="296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197"/>
      <c r="K8" s="205"/>
      <c r="L8" s="23"/>
      <c r="M8" s="23"/>
      <c r="N8" s="23"/>
      <c r="O8" s="23"/>
      <c r="P8" s="23"/>
      <c r="Q8" s="231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1" t="s">
        <v>311</v>
      </c>
      <c r="C9" s="23"/>
      <c r="D9" s="23"/>
      <c r="E9" s="23"/>
      <c r="F9" s="227"/>
      <c r="G9" s="91" t="s">
        <v>314</v>
      </c>
      <c r="J9" s="197"/>
      <c r="K9" s="205"/>
      <c r="O9" s="23"/>
      <c r="P9" s="23"/>
      <c r="Q9" s="231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1" t="s">
        <v>317</v>
      </c>
      <c r="C10" s="23"/>
      <c r="D10" s="23"/>
      <c r="E10" s="23"/>
      <c r="F10" s="227"/>
      <c r="G10" s="91" t="s">
        <v>316</v>
      </c>
      <c r="J10" s="197"/>
      <c r="K10" s="205"/>
      <c r="O10" s="23"/>
      <c r="P10" s="23"/>
      <c r="Q10" s="231"/>
      <c r="R10" s="23"/>
      <c r="S10" s="36" t="str">
        <f>B14</f>
        <v>Chêne pubescent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-1990.7146706151966</v>
      </c>
      <c r="U10" s="176">
        <f>'Données projet'!D9</f>
        <v>0.48833415000000002</v>
      </c>
      <c r="V10" s="175">
        <f>U10*T10</f>
        <v>-972.13395656740204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1" t="s">
        <v>312</v>
      </c>
      <c r="B11" s="23"/>
      <c r="C11" s="23"/>
      <c r="D11" s="23"/>
      <c r="E11" s="23"/>
      <c r="F11" s="227"/>
      <c r="G11" s="91" t="s">
        <v>313</v>
      </c>
      <c r="J11" s="197"/>
      <c r="K11" s="205"/>
      <c r="M11" s="4"/>
      <c r="N11" s="4"/>
      <c r="O11" s="23"/>
      <c r="P11" s="23"/>
      <c r="Q11" s="231"/>
      <c r="R11" s="23"/>
      <c r="S11" s="36" t="str">
        <f>B45</f>
        <v>Chêne sessile</v>
      </c>
      <c r="T11" s="236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-1008.7737789387062</v>
      </c>
      <c r="U11" s="176">
        <f>'Données projet'!D10</f>
        <v>0.48666740000000003</v>
      </c>
      <c r="V11" s="175">
        <f t="shared" ref="V11" si="0">U11*T11</f>
        <v>-490.9373121842749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27"/>
      <c r="J12" s="197"/>
      <c r="K12" s="205"/>
      <c r="L12" s="199"/>
      <c r="M12" s="23"/>
      <c r="N12" s="23"/>
      <c r="O12" s="23"/>
      <c r="P12" s="23"/>
      <c r="Q12" s="231"/>
      <c r="R12" s="23"/>
      <c r="S12" s="36" t="str">
        <f>B76</f>
        <v>Châtaignier</v>
      </c>
      <c r="T12" s="236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731.15635587735017</v>
      </c>
      <c r="U12" s="176">
        <f>'Données projet'!D11</f>
        <v>0.27083360000000001</v>
      </c>
      <c r="V12" s="175">
        <f t="shared" ref="V12:V19" si="1">U12*T12</f>
        <v>198.02170802514391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27"/>
      <c r="J13" s="23"/>
      <c r="K13" s="205"/>
      <c r="L13" s="91" t="s">
        <v>257</v>
      </c>
      <c r="M13" s="23"/>
      <c r="N13" s="23"/>
      <c r="O13" s="23"/>
      <c r="P13" s="23"/>
      <c r="Q13" s="231"/>
      <c r="R13" s="23"/>
      <c r="S13" s="36" t="str">
        <f>B107</f>
        <v>Charme</v>
      </c>
      <c r="T13" s="236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-1230.2678171246341</v>
      </c>
      <c r="U13" s="176">
        <f>'Données projet'!D12</f>
        <v>0.27083360000000001</v>
      </c>
      <c r="V13" s="175">
        <f t="shared" si="1"/>
        <v>-333.1978618760063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2" t="str">
        <f>IF('Données projet'!$B$9="","",'Données projet'!$B$9)</f>
        <v>Chêne pubescent</v>
      </c>
      <c r="C14" s="4"/>
      <c r="D14" s="4"/>
      <c r="E14" s="4"/>
      <c r="F14" s="227"/>
      <c r="G14" s="23"/>
      <c r="H14" s="36" t="s">
        <v>178</v>
      </c>
      <c r="I14" s="36" t="s">
        <v>290</v>
      </c>
      <c r="J14" s="198"/>
      <c r="K14" s="171"/>
      <c r="L14" s="199"/>
      <c r="M14" s="23"/>
      <c r="N14" s="23"/>
      <c r="O14" s="4"/>
      <c r="P14" s="4"/>
      <c r="Q14" s="232"/>
      <c r="R14" s="4"/>
      <c r="S14" s="36" t="str">
        <f>B138</f>
        <v>Tilleul</v>
      </c>
      <c r="T14" s="236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-2769.9446199782446</v>
      </c>
      <c r="U14" s="176">
        <f>'Données projet'!D13</f>
        <v>0.27083360000000001</v>
      </c>
      <c r="V14" s="175">
        <f t="shared" si="1"/>
        <v>-750.19407322933989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27"/>
      <c r="G15" s="287" t="s">
        <v>318</v>
      </c>
      <c r="H15" s="188">
        <v>1</v>
      </c>
      <c r="I15" s="189">
        <v>0</v>
      </c>
      <c r="J15" s="199"/>
      <c r="K15" s="205"/>
      <c r="L15" s="199"/>
      <c r="M15" s="23"/>
      <c r="N15" s="23"/>
      <c r="O15" s="23"/>
      <c r="P15" s="23"/>
      <c r="Q15" s="231"/>
      <c r="R15" s="23"/>
      <c r="S15" s="36" t="str">
        <f>B169</f>
        <v>Aulne à feuilles en cœur</v>
      </c>
      <c r="T15" s="236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-995.12236364672378</v>
      </c>
      <c r="U15" s="176">
        <f>'Données projet'!D14</f>
        <v>0.27083360000000001</v>
      </c>
      <c r="V15" s="175">
        <f t="shared" si="1"/>
        <v>-269.51257218695133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7"/>
      <c r="G16" s="287"/>
      <c r="H16" s="188"/>
      <c r="I16" s="189"/>
      <c r="J16" s="199"/>
      <c r="K16" s="205"/>
      <c r="L16" s="284" t="s">
        <v>254</v>
      </c>
      <c r="M16" s="285"/>
      <c r="N16" s="2">
        <v>30</v>
      </c>
      <c r="O16" s="23"/>
      <c r="P16" s="23"/>
      <c r="Q16" s="231"/>
      <c r="R16" s="23"/>
      <c r="S16" s="36" t="str">
        <f>B200</f>
        <v>Hêtre</v>
      </c>
      <c r="T16" s="236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611.4584345377973</v>
      </c>
      <c r="U16" s="176">
        <f>'Données projet'!D15</f>
        <v>9.0833449999999996E-2</v>
      </c>
      <c r="V16" s="175">
        <f t="shared" si="1"/>
        <v>55.540879140667279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6" t="s">
        <v>132</v>
      </c>
      <c r="C17" s="195" t="s">
        <v>132</v>
      </c>
      <c r="D17" s="194" t="s">
        <v>132</v>
      </c>
      <c r="E17" s="191">
        <v>3036</v>
      </c>
      <c r="F17" s="227"/>
      <c r="G17" s="287"/>
      <c r="J17" s="199"/>
      <c r="K17" s="205"/>
      <c r="L17" s="257" t="s">
        <v>289</v>
      </c>
      <c r="M17" s="259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1"/>
      <c r="R17" s="23"/>
      <c r="S17" s="36" t="str">
        <f>B231</f>
        <v>Noyer</v>
      </c>
      <c r="T17" s="236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6328.7333380746331</v>
      </c>
      <c r="U17" s="176">
        <f>'Données projet'!D16</f>
        <v>8.0001050000000004E-2</v>
      </c>
      <c r="V17" s="175">
        <f t="shared" si="1"/>
        <v>506.30531221597568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6" t="s">
        <v>132</v>
      </c>
      <c r="C18" s="195" t="s">
        <v>132</v>
      </c>
      <c r="D18" s="194" t="s">
        <v>132</v>
      </c>
      <c r="E18" s="191"/>
      <c r="F18" s="227"/>
      <c r="G18" s="287"/>
      <c r="J18" s="199"/>
      <c r="K18" s="205"/>
      <c r="L18" s="257" t="s">
        <v>255</v>
      </c>
      <c r="M18" s="259"/>
      <c r="N18" s="190">
        <v>15</v>
      </c>
      <c r="O18" s="23"/>
      <c r="P18" s="23"/>
      <c r="Q18" s="231"/>
      <c r="R18" s="23"/>
      <c r="S18" s="36" t="str">
        <f>B262</f>
        <v>Douglas</v>
      </c>
      <c r="T18" s="236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6352.935203031845</v>
      </c>
      <c r="U18" s="176">
        <f>'Données projet'!D17</f>
        <v>0.42749925</v>
      </c>
      <c r="V18" s="175">
        <f t="shared" si="1"/>
        <v>2715.8750345947115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6" t="s">
        <v>132</v>
      </c>
      <c r="C19" s="195" t="s">
        <v>132</v>
      </c>
      <c r="D19" s="194" t="s">
        <v>132</v>
      </c>
      <c r="E19" s="191"/>
      <c r="F19" s="227"/>
      <c r="G19" s="287"/>
      <c r="H19" s="209" t="s">
        <v>178</v>
      </c>
      <c r="I19" s="209" t="s">
        <v>287</v>
      </c>
      <c r="J19" s="91"/>
      <c r="K19" s="171"/>
      <c r="L19" s="284" t="s">
        <v>288</v>
      </c>
      <c r="M19" s="285"/>
      <c r="N19" s="177">
        <f>N17*N18</f>
        <v>0</v>
      </c>
      <c r="O19" s="23"/>
      <c r="P19" s="4"/>
      <c r="Q19" s="232"/>
      <c r="R19" s="4"/>
      <c r="S19" s="36" t="str">
        <f>B293</f>
        <v>Mélèze hybride</v>
      </c>
      <c r="T19" s="236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3.4272871172366592</v>
      </c>
      <c r="U19" s="176">
        <f>'Données projet'!D18</f>
        <v>0.21416705</v>
      </c>
      <c r="V19" s="175">
        <f t="shared" si="1"/>
        <v>0.73401197140157948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6" t="s">
        <v>132</v>
      </c>
      <c r="C20" s="195" t="s">
        <v>132</v>
      </c>
      <c r="D20" s="194" t="s">
        <v>132</v>
      </c>
      <c r="E20" s="191"/>
      <c r="F20" s="227"/>
      <c r="G20" s="287"/>
      <c r="H20" s="188">
        <v>0</v>
      </c>
      <c r="I20" s="189">
        <f>2052.12+3994.07</f>
        <v>6046.1900000000005</v>
      </c>
      <c r="J20" s="4"/>
      <c r="K20" s="171"/>
      <c r="O20" s="23"/>
      <c r="P20" s="4"/>
      <c r="Q20" s="232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6" t="s">
        <v>132</v>
      </c>
      <c r="C21" s="195" t="s">
        <v>132</v>
      </c>
      <c r="D21" s="194" t="s">
        <v>132</v>
      </c>
      <c r="E21" s="191"/>
      <c r="F21" s="227"/>
      <c r="H21" s="188">
        <v>1</v>
      </c>
      <c r="I21" s="189">
        <v>450</v>
      </c>
      <c r="K21" s="171"/>
      <c r="O21" s="23"/>
      <c r="P21" s="4"/>
      <c r="Q21" s="232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6" t="s">
        <v>132</v>
      </c>
      <c r="C22" s="195" t="s">
        <v>132</v>
      </c>
      <c r="D22" s="194" t="s">
        <v>132</v>
      </c>
      <c r="E22" s="191"/>
      <c r="F22" s="227"/>
      <c r="H22" s="188">
        <v>2</v>
      </c>
      <c r="I22" s="189">
        <v>450</v>
      </c>
      <c r="K22" s="171"/>
      <c r="O22" s="23"/>
      <c r="P22" s="4"/>
      <c r="Q22" s="232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78">
        <f>'Données projet'!A36</f>
        <v>25</v>
      </c>
      <c r="B23" s="179">
        <f>'Données projet'!D36</f>
        <v>0</v>
      </c>
      <c r="C23" s="191">
        <f>225*'Données projet'!E36+13.8*('Données projet'!F36+'Données projet'!G36)+15*'Données projet'!G36</f>
        <v>0</v>
      </c>
      <c r="D23" s="180">
        <f>B23*C23</f>
        <v>0</v>
      </c>
      <c r="E23" s="191"/>
      <c r="F23" s="227"/>
      <c r="H23" s="188">
        <v>3</v>
      </c>
      <c r="I23" s="189"/>
      <c r="K23" s="205"/>
      <c r="L23" s="286" t="s">
        <v>260</v>
      </c>
      <c r="M23" s="286"/>
      <c r="N23" s="286"/>
      <c r="O23" s="23"/>
      <c r="P23" s="23"/>
      <c r="Q23" s="231"/>
      <c r="R23" s="23"/>
      <c r="S23" s="36" t="s">
        <v>264</v>
      </c>
      <c r="T23" s="29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-20774.915952213356</v>
      </c>
      <c r="U23" s="299"/>
      <c r="V23" s="299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78">
        <f>'Données projet'!A37</f>
        <v>30</v>
      </c>
      <c r="B24" s="179">
        <f>'Données projet'!D37</f>
        <v>0</v>
      </c>
      <c r="C24" s="191">
        <f>225*'Données projet'!E37+13.8*('Données projet'!F37+'Données projet'!G37)+15*'Données projet'!G37</f>
        <v>0</v>
      </c>
      <c r="D24" s="180">
        <f t="shared" ref="D24:D42" si="2">B24*C24</f>
        <v>0</v>
      </c>
      <c r="E24" s="191"/>
      <c r="F24" s="230"/>
      <c r="H24" s="188">
        <v>4</v>
      </c>
      <c r="I24" s="189">
        <v>450</v>
      </c>
      <c r="K24" s="205"/>
      <c r="O24" s="23"/>
      <c r="P24" s="23"/>
      <c r="Q24" s="231"/>
      <c r="R24" s="23"/>
      <c r="S24" s="36" t="s">
        <v>261</v>
      </c>
      <c r="T24" s="30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0"/>
      <c r="V24" s="300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78">
        <f>'Données projet'!A38</f>
        <v>35</v>
      </c>
      <c r="B25" s="179">
        <f>'Données projet'!D38</f>
        <v>13</v>
      </c>
      <c r="C25" s="191">
        <f>225*'Données projet'!E38+13.8*('Données projet'!F38+'Données projet'!G38)+15*'Données projet'!G38</f>
        <v>0</v>
      </c>
      <c r="D25" s="180">
        <f t="shared" si="2"/>
        <v>0</v>
      </c>
      <c r="E25" s="191"/>
      <c r="F25" s="230"/>
      <c r="H25" s="188">
        <v>5</v>
      </c>
      <c r="I25" s="189"/>
      <c r="K25" s="205"/>
      <c r="L25" s="128" t="s">
        <v>285</v>
      </c>
      <c r="M25" s="128"/>
      <c r="N25" s="128"/>
      <c r="O25" s="128"/>
      <c r="P25" s="190">
        <v>0</v>
      </c>
      <c r="Q25" s="231"/>
      <c r="R25" s="23"/>
      <c r="S25" s="184" t="s">
        <v>266</v>
      </c>
      <c r="T25" s="301">
        <f ca="1">T23-T24</f>
        <v>-20774.915952213356</v>
      </c>
      <c r="U25" s="301"/>
      <c r="V25" s="301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78">
        <f>'Données projet'!A39</f>
        <v>40</v>
      </c>
      <c r="B26" s="179">
        <f>'Données projet'!D39</f>
        <v>14</v>
      </c>
      <c r="C26" s="191">
        <f>225*'Données projet'!E39+13.8*('Données projet'!F39+'Données projet'!G39)+15*'Données projet'!G39</f>
        <v>45</v>
      </c>
      <c r="D26" s="180">
        <f t="shared" si="2"/>
        <v>630</v>
      </c>
      <c r="E26" s="191"/>
      <c r="F26" s="230"/>
      <c r="G26" s="226"/>
      <c r="H26" s="188"/>
      <c r="I26" s="189"/>
      <c r="K26" s="205"/>
      <c r="L26" s="288" t="s">
        <v>258</v>
      </c>
      <c r="M26" s="289"/>
      <c r="N26" s="289"/>
      <c r="O26" s="289"/>
      <c r="P26" s="290"/>
      <c r="Q26" s="231"/>
      <c r="R26" s="23"/>
      <c r="S26" s="184" t="s">
        <v>265</v>
      </c>
      <c r="T26" s="298" t="str">
        <f ca="1">IF(T25&lt;0,"Votre projet est additionnel","Votre projet n'est pas additionnel")</f>
        <v>Votre projet est additionnel</v>
      </c>
      <c r="U26" s="298"/>
      <c r="V26" s="298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78">
        <f>'Données projet'!A40</f>
        <v>45</v>
      </c>
      <c r="B27" s="179">
        <f>'Données projet'!D40</f>
        <v>14</v>
      </c>
      <c r="C27" s="191">
        <f>225*'Données projet'!E40+13.8*('Données projet'!F40+'Données projet'!G40)+15*'Données projet'!G40</f>
        <v>45</v>
      </c>
      <c r="D27" s="180">
        <f t="shared" si="2"/>
        <v>630</v>
      </c>
      <c r="E27" s="191"/>
      <c r="F27" s="230"/>
      <c r="G27" s="226"/>
      <c r="H27" s="188"/>
      <c r="I27" s="189"/>
      <c r="K27" s="205"/>
      <c r="L27" s="291"/>
      <c r="M27" s="292"/>
      <c r="N27" s="292"/>
      <c r="O27" s="292"/>
      <c r="P27" s="293"/>
      <c r="Q27" s="231"/>
      <c r="R27" s="23"/>
      <c r="S27" s="297" t="s">
        <v>267</v>
      </c>
      <c r="T27" s="297"/>
      <c r="U27" s="297"/>
      <c r="V27" s="297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78">
        <f>'Données projet'!A41</f>
        <v>50</v>
      </c>
      <c r="B28" s="179">
        <f>'Données projet'!D41</f>
        <v>14</v>
      </c>
      <c r="C28" s="191">
        <f>225*'Données projet'!E41+13.8*('Données projet'!F41+'Données projet'!G41)+15*'Données projet'!G41</f>
        <v>45</v>
      </c>
      <c r="D28" s="180">
        <f t="shared" si="2"/>
        <v>630</v>
      </c>
      <c r="E28" s="191"/>
      <c r="F28" s="230"/>
      <c r="G28" s="202"/>
      <c r="H28" s="188"/>
      <c r="I28" s="189"/>
      <c r="K28" s="205"/>
      <c r="Q28" s="231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78">
        <f>'Données projet'!A42</f>
        <v>55</v>
      </c>
      <c r="B29" s="179">
        <f>'Données projet'!D42</f>
        <v>14</v>
      </c>
      <c r="C29" s="191">
        <f>225*'Données projet'!E42+13.8*('Données projet'!F42+'Données projet'!G42)+15*'Données projet'!G42</f>
        <v>67.5</v>
      </c>
      <c r="D29" s="180">
        <f t="shared" si="2"/>
        <v>945</v>
      </c>
      <c r="E29" s="191"/>
      <c r="F29" s="230"/>
      <c r="G29" s="200"/>
      <c r="H29" s="188"/>
      <c r="I29" s="189"/>
      <c r="K29" s="205"/>
      <c r="O29" s="23"/>
      <c r="P29" s="23"/>
      <c r="Q29" s="231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78">
        <f>'Données projet'!A43</f>
        <v>60</v>
      </c>
      <c r="B30" s="179">
        <f>'Données projet'!D43</f>
        <v>14</v>
      </c>
      <c r="C30" s="191">
        <f>225*'Données projet'!E43+13.8*('Données projet'!F43+'Données projet'!G43)+15*'Données projet'!G43</f>
        <v>67.5</v>
      </c>
      <c r="D30" s="180">
        <f t="shared" si="2"/>
        <v>945</v>
      </c>
      <c r="E30" s="191"/>
      <c r="F30" s="230"/>
      <c r="G30" s="200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2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78">
        <f>'Données projet'!A44</f>
        <v>65</v>
      </c>
      <c r="B31" s="179">
        <f>'Données projet'!D44</f>
        <v>14</v>
      </c>
      <c r="C31" s="191">
        <f>225*'Données projet'!E44+13.8*('Données projet'!F44+'Données projet'!G44)+15*'Données projet'!G44</f>
        <v>90</v>
      </c>
      <c r="D31" s="180">
        <f t="shared" si="2"/>
        <v>1260</v>
      </c>
      <c r="E31" s="191"/>
      <c r="F31" s="230"/>
      <c r="G31" s="200"/>
      <c r="H31" s="188"/>
      <c r="I31" s="189"/>
      <c r="K31" s="171"/>
      <c r="Q31" s="231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78">
        <f>'Données projet'!A45</f>
        <v>70</v>
      </c>
      <c r="B32" s="179">
        <f>'Données projet'!D45</f>
        <v>14</v>
      </c>
      <c r="C32" s="191">
        <f>225*'Données projet'!E45+13.8*('Données projet'!F45+'Données projet'!G45)+15*'Données projet'!G45</f>
        <v>90</v>
      </c>
      <c r="D32" s="180">
        <f t="shared" si="2"/>
        <v>1260</v>
      </c>
      <c r="E32" s="191"/>
      <c r="F32" s="230"/>
      <c r="G32" s="200"/>
      <c r="H32" s="188"/>
      <c r="I32" s="189"/>
      <c r="K32" s="171"/>
      <c r="N32" s="4"/>
      <c r="O32" s="83" t="s">
        <v>178</v>
      </c>
      <c r="P32" s="83" t="s">
        <v>252</v>
      </c>
      <c r="Q32" s="231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78">
        <f>'Données projet'!A46</f>
        <v>75</v>
      </c>
      <c r="B33" s="179">
        <f>'Données projet'!D46</f>
        <v>14</v>
      </c>
      <c r="C33" s="191">
        <f>225*'Données projet'!E46+13.8*('Données projet'!F46+'Données projet'!G46)+15*'Données projet'!G46</f>
        <v>112.5</v>
      </c>
      <c r="D33" s="180">
        <f t="shared" si="2"/>
        <v>1575</v>
      </c>
      <c r="E33" s="191"/>
      <c r="F33" s="230"/>
      <c r="G33" s="200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1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78">
        <f>'Données projet'!A47</f>
        <v>80</v>
      </c>
      <c r="B34" s="179">
        <f>'Données projet'!D47</f>
        <v>14</v>
      </c>
      <c r="C34" s="191">
        <f>225*'Données projet'!E47+13.8*('Données projet'!F47+'Données projet'!G47)+15*'Données projet'!G47</f>
        <v>112.5</v>
      </c>
      <c r="D34" s="180">
        <f t="shared" si="2"/>
        <v>1575</v>
      </c>
      <c r="E34" s="191"/>
      <c r="F34" s="230"/>
      <c r="G34" s="200"/>
      <c r="H34" s="188"/>
      <c r="I34" s="189"/>
      <c r="K34" s="171"/>
      <c r="L34" s="96"/>
      <c r="M34" s="96"/>
      <c r="N34" s="247"/>
      <c r="O34" s="192">
        <f>IF(O33+1&lt;=MIN('Données projet'!$E$9:$E$18),O33+1,"STOP")</f>
        <v>1</v>
      </c>
      <c r="P34" s="183">
        <f t="shared" si="3"/>
        <v>0</v>
      </c>
      <c r="Q34" s="231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78">
        <f>'Données projet'!A48</f>
        <v>85</v>
      </c>
      <c r="B35" s="179">
        <f>'Données projet'!D48</f>
        <v>14</v>
      </c>
      <c r="C35" s="191">
        <f>225*'Données projet'!E48+13.8*('Données projet'!F48+'Données projet'!G48)+15*'Données projet'!G48</f>
        <v>135</v>
      </c>
      <c r="D35" s="180">
        <f t="shared" si="2"/>
        <v>1890</v>
      </c>
      <c r="E35" s="191"/>
      <c r="F35" s="230"/>
      <c r="G35" s="200"/>
      <c r="H35" s="188"/>
      <c r="I35" s="189"/>
      <c r="K35" s="171"/>
      <c r="L35" s="96"/>
      <c r="M35" s="96"/>
      <c r="N35" s="247"/>
      <c r="O35" s="192">
        <f>IF(O34+1&lt;=MIN('Données projet'!$E$9:$E$18),O34+1,"STOP")</f>
        <v>2</v>
      </c>
      <c r="P35" s="183">
        <f t="shared" si="3"/>
        <v>0</v>
      </c>
      <c r="Q35" s="231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78">
        <f>'Données projet'!A49</f>
        <v>90</v>
      </c>
      <c r="B36" s="179">
        <f>'Données projet'!D49</f>
        <v>14</v>
      </c>
      <c r="C36" s="191">
        <f>225*'Données projet'!E49+13.8*('Données projet'!F49+'Données projet'!G49)+15*'Données projet'!G49</f>
        <v>135</v>
      </c>
      <c r="D36" s="180">
        <f t="shared" si="2"/>
        <v>1890</v>
      </c>
      <c r="E36" s="191"/>
      <c r="F36" s="230"/>
      <c r="G36" s="200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1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78">
        <f>'Données projet'!A50</f>
        <v>95</v>
      </c>
      <c r="B37" s="179">
        <f>'Données projet'!D50</f>
        <v>14</v>
      </c>
      <c r="C37" s="191">
        <f>225*'Données projet'!E50+13.8*('Données projet'!F50+'Données projet'!G50)+15*'Données projet'!G50</f>
        <v>157.5</v>
      </c>
      <c r="D37" s="180">
        <f t="shared" si="2"/>
        <v>2205</v>
      </c>
      <c r="E37" s="191"/>
      <c r="F37" s="230"/>
      <c r="G37" s="200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1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78">
        <f>'Données projet'!A51</f>
        <v>100</v>
      </c>
      <c r="B38" s="179">
        <f>'Données projet'!D51</f>
        <v>14</v>
      </c>
      <c r="C38" s="191">
        <f>225*'Données projet'!E51+13.8*('Données projet'!F51+'Données projet'!G51)+15*'Données projet'!G51</f>
        <v>157.5</v>
      </c>
      <c r="D38" s="180">
        <f t="shared" si="2"/>
        <v>2205</v>
      </c>
      <c r="E38" s="191"/>
      <c r="F38" s="230"/>
      <c r="G38" s="200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1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78">
        <f>'Données projet'!A52</f>
        <v>105</v>
      </c>
      <c r="B39" s="179">
        <f>'Données projet'!D52</f>
        <v>14</v>
      </c>
      <c r="C39" s="191">
        <f>225*'Données projet'!E52+13.8*('Données projet'!F52+'Données projet'!G52)+15*'Données projet'!G52</f>
        <v>157.5</v>
      </c>
      <c r="D39" s="180">
        <f t="shared" si="2"/>
        <v>2205</v>
      </c>
      <c r="E39" s="191"/>
      <c r="F39" s="230"/>
      <c r="G39" s="200"/>
      <c r="H39" s="188"/>
      <c r="I39" s="189"/>
      <c r="K39" s="205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1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78">
        <f>'Données projet'!A53</f>
        <v>110</v>
      </c>
      <c r="B40" s="179">
        <f>'Données projet'!D53</f>
        <v>13</v>
      </c>
      <c r="C40" s="191">
        <f>225*'Données projet'!E53+13.8*('Données projet'!F53+'Données projet'!G53)+15*'Données projet'!G53</f>
        <v>157.5</v>
      </c>
      <c r="D40" s="180">
        <f t="shared" si="2"/>
        <v>2047.5</v>
      </c>
      <c r="E40" s="191"/>
      <c r="F40" s="230"/>
      <c r="G40" s="200"/>
      <c r="H40" s="188"/>
      <c r="I40" s="189"/>
      <c r="K40" s="205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1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78">
        <f>'Données projet'!A54</f>
        <v>115</v>
      </c>
      <c r="B41" s="179">
        <f>'Données projet'!D54</f>
        <v>13</v>
      </c>
      <c r="C41" s="191">
        <f>225*'Données projet'!E54+13.8*('Données projet'!F54+'Données projet'!G54)+15*'Données projet'!G54</f>
        <v>157.5</v>
      </c>
      <c r="D41" s="180">
        <f t="shared" si="2"/>
        <v>2047.5</v>
      </c>
      <c r="E41" s="191"/>
      <c r="F41" s="230"/>
      <c r="G41" s="200"/>
      <c r="H41" s="188"/>
      <c r="I41" s="189"/>
      <c r="K41" s="205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1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78">
        <f>'Données projet'!A55</f>
        <v>120</v>
      </c>
      <c r="B42" s="179">
        <f>'Données projet'!D55</f>
        <v>221</v>
      </c>
      <c r="C42" s="191">
        <f>225*'Données projet'!E55+13.8*('Données projet'!F55+'Données projet'!G55)+15*'Données projet'!G55</f>
        <v>180</v>
      </c>
      <c r="D42" s="180">
        <f t="shared" si="2"/>
        <v>39780</v>
      </c>
      <c r="E42" s="191"/>
      <c r="F42" s="230"/>
      <c r="G42" s="200"/>
      <c r="H42" s="188"/>
      <c r="I42" s="189"/>
      <c r="K42" s="205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1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5"/>
      <c r="B43" s="185"/>
      <c r="C43" s="185"/>
      <c r="D43" s="224"/>
      <c r="E43" s="224"/>
      <c r="F43" s="235"/>
      <c r="G43" s="200"/>
      <c r="H43" s="188"/>
      <c r="I43" s="189"/>
      <c r="K43" s="205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2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27"/>
      <c r="G44" s="200"/>
      <c r="H44" s="188"/>
      <c r="I44" s="189"/>
      <c r="K44" s="205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2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2" t="str">
        <f>IF('Données projet'!$B$10="","",'Données projet'!$B$10)</f>
        <v>Chêne sessile</v>
      </c>
      <c r="C45" s="4"/>
      <c r="D45" s="4"/>
      <c r="E45" s="4"/>
      <c r="F45" s="227"/>
      <c r="G45" s="200"/>
      <c r="H45" s="188"/>
      <c r="I45" s="189"/>
      <c r="J45" s="23"/>
      <c r="K45" s="205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2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27"/>
      <c r="G46" s="200"/>
      <c r="H46" s="188"/>
      <c r="I46" s="189"/>
      <c r="J46" s="23"/>
      <c r="K46" s="205"/>
      <c r="L46" s="201"/>
      <c r="M46" s="201"/>
      <c r="N46" s="201"/>
      <c r="O46" s="192">
        <f>IF(O45+1&lt;=MIN('Données projet'!$E$9:$E$18),O45+1,"STOP")</f>
        <v>13</v>
      </c>
      <c r="P46" s="186">
        <f t="shared" si="3"/>
        <v>0</v>
      </c>
      <c r="Q46" s="232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8"/>
      <c r="G47" s="200"/>
      <c r="H47" s="188"/>
      <c r="I47" s="189"/>
      <c r="J47" s="23"/>
      <c r="K47" s="205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2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6" t="s">
        <v>132</v>
      </c>
      <c r="C48" s="195" t="s">
        <v>132</v>
      </c>
      <c r="D48" s="194" t="s">
        <v>132</v>
      </c>
      <c r="E48" s="191">
        <v>2796</v>
      </c>
      <c r="F48" s="228"/>
      <c r="G48" s="200"/>
      <c r="H48" s="188"/>
      <c r="I48" s="189"/>
      <c r="J48" s="23"/>
      <c r="K48" s="205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2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2">
      <c r="A49" s="49">
        <v>1</v>
      </c>
      <c r="B49" s="196" t="s">
        <v>132</v>
      </c>
      <c r="C49" s="195" t="s">
        <v>132</v>
      </c>
      <c r="D49" s="194" t="s">
        <v>132</v>
      </c>
      <c r="E49" s="191"/>
      <c r="F49" s="228"/>
      <c r="G49" s="201"/>
      <c r="H49" s="188"/>
      <c r="I49" s="189"/>
      <c r="J49" s="201"/>
      <c r="K49" s="207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3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ht="16" x14ac:dyDescent="0.2">
      <c r="A50" s="49">
        <v>2</v>
      </c>
      <c r="B50" s="196" t="s">
        <v>132</v>
      </c>
      <c r="C50" s="195" t="s">
        <v>132</v>
      </c>
      <c r="D50" s="194" t="s">
        <v>132</v>
      </c>
      <c r="E50" s="191"/>
      <c r="F50" s="228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2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6" t="s">
        <v>132</v>
      </c>
      <c r="C51" s="195" t="s">
        <v>132</v>
      </c>
      <c r="D51" s="194" t="s">
        <v>132</v>
      </c>
      <c r="E51" s="191"/>
      <c r="F51" s="228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2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6" t="s">
        <v>132</v>
      </c>
      <c r="C52" s="195" t="s">
        <v>132</v>
      </c>
      <c r="D52" s="194" t="s">
        <v>132</v>
      </c>
      <c r="E52" s="191"/>
      <c r="F52" s="228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2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6" t="s">
        <v>132</v>
      </c>
      <c r="C53" s="195" t="s">
        <v>132</v>
      </c>
      <c r="D53" s="194" t="s">
        <v>132</v>
      </c>
      <c r="E53" s="191"/>
      <c r="F53" s="228"/>
      <c r="G53" s="202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2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78">
        <f>'Données projet'!A62</f>
        <v>44</v>
      </c>
      <c r="B54" s="179">
        <f>'Données projet'!D62</f>
        <v>74.010000000000005</v>
      </c>
      <c r="C54" s="189">
        <f>225*'Données projet'!E62+13.8*('Données projet'!F62+'Données projet'!G62)+15*'Données projet'!H62</f>
        <v>57</v>
      </c>
      <c r="D54" s="177">
        <f>B54*C54</f>
        <v>4218.5700000000006</v>
      </c>
      <c r="E54" s="191"/>
      <c r="F54" s="229"/>
      <c r="G54" s="202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2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78">
        <f>'Données projet'!A63</f>
        <v>47</v>
      </c>
      <c r="B55" s="179">
        <f>'Données projet'!D63</f>
        <v>0</v>
      </c>
      <c r="C55" s="189">
        <f>225*'Données projet'!E63+13.8*('Données projet'!F63+'Données projet'!G63)+15*'Données projet'!H63</f>
        <v>0</v>
      </c>
      <c r="D55" s="177">
        <f t="shared" ref="D55:D73" si="4">B55*C55</f>
        <v>0</v>
      </c>
      <c r="E55" s="191"/>
      <c r="F55" s="229"/>
      <c r="G55" s="202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2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78">
        <f>'Données projet'!A64</f>
        <v>51</v>
      </c>
      <c r="B56" s="179">
        <f>'Données projet'!D64</f>
        <v>46.13</v>
      </c>
      <c r="C56" s="189">
        <f>225*'Données projet'!E64+13.8*('Données projet'!F64+'Données projet'!G64)+15*'Données projet'!H64</f>
        <v>57</v>
      </c>
      <c r="D56" s="177">
        <f t="shared" si="4"/>
        <v>2629.4100000000003</v>
      </c>
      <c r="E56" s="191"/>
      <c r="F56" s="229"/>
      <c r="G56" s="202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2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78">
        <f>'Données projet'!A65</f>
        <v>54</v>
      </c>
      <c r="B57" s="179">
        <f>'Données projet'!D65</f>
        <v>0</v>
      </c>
      <c r="C57" s="189">
        <f>225*'Données projet'!E65+13.8*('Données projet'!F65+'Données projet'!G65)+15*'Données projet'!H65</f>
        <v>0</v>
      </c>
      <c r="D57" s="177">
        <f t="shared" si="4"/>
        <v>0</v>
      </c>
      <c r="E57" s="191"/>
      <c r="F57" s="229"/>
      <c r="G57" s="202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2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78">
        <f>'Données projet'!A66</f>
        <v>57</v>
      </c>
      <c r="B58" s="179">
        <f>'Données projet'!D66</f>
        <v>0</v>
      </c>
      <c r="C58" s="189">
        <f>225*'Données projet'!E66+13.8*('Données projet'!F66+'Données projet'!G66)+15*'Données projet'!H66</f>
        <v>0</v>
      </c>
      <c r="D58" s="177">
        <f t="shared" si="4"/>
        <v>0</v>
      </c>
      <c r="E58" s="191"/>
      <c r="F58" s="229"/>
      <c r="G58" s="202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2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78">
        <f>'Données projet'!A67</f>
        <v>59</v>
      </c>
      <c r="B59" s="179">
        <f>'Données projet'!D67</f>
        <v>48.96</v>
      </c>
      <c r="C59" s="189">
        <f>225*'Données projet'!E67+13.8*('Données projet'!F67+'Données projet'!G67)+15*'Données projet'!H67</f>
        <v>57</v>
      </c>
      <c r="D59" s="177">
        <f t="shared" si="4"/>
        <v>2790.7200000000003</v>
      </c>
      <c r="E59" s="191"/>
      <c r="F59" s="229"/>
      <c r="G59" s="202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2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78">
        <f>'Données projet'!A68</f>
        <v>62</v>
      </c>
      <c r="B60" s="179">
        <f>'Données projet'!D68</f>
        <v>0</v>
      </c>
      <c r="C60" s="189">
        <f>225*'Données projet'!E68+13.8*('Données projet'!F68+'Données projet'!G68)+15*'Données projet'!H68</f>
        <v>0</v>
      </c>
      <c r="D60" s="177">
        <f t="shared" si="4"/>
        <v>0</v>
      </c>
      <c r="E60" s="191"/>
      <c r="F60" s="229"/>
      <c r="G60" s="203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2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78">
        <f>'Données projet'!A69</f>
        <v>67</v>
      </c>
      <c r="B61" s="179">
        <f>'Données projet'!D69</f>
        <v>40.630000000000003</v>
      </c>
      <c r="C61" s="189">
        <f>225*'Données projet'!E69+13.8*('Données projet'!F69+'Données projet'!G69)+15*'Données projet'!H69</f>
        <v>78</v>
      </c>
      <c r="D61" s="177">
        <f t="shared" si="4"/>
        <v>3169.1400000000003</v>
      </c>
      <c r="E61" s="191"/>
      <c r="F61" s="229"/>
      <c r="G61" s="203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2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78">
        <f>'Données projet'!A70</f>
        <v>75</v>
      </c>
      <c r="B62" s="179">
        <f>'Données projet'!D70</f>
        <v>39.54</v>
      </c>
      <c r="C62" s="189">
        <f>225*'Données projet'!E70+13.8*('Données projet'!F70+'Données projet'!G70)+15*'Données projet'!H70</f>
        <v>78</v>
      </c>
      <c r="D62" s="177">
        <f t="shared" si="4"/>
        <v>3084.12</v>
      </c>
      <c r="E62" s="191"/>
      <c r="F62" s="229"/>
      <c r="G62" s="203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2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78">
        <f>'Données projet'!A71</f>
        <v>84</v>
      </c>
      <c r="B63" s="179">
        <f>'Données projet'!D71</f>
        <v>44.89</v>
      </c>
      <c r="C63" s="189">
        <f>225*'Données projet'!E71+13.8*('Données projet'!F71+'Données projet'!G71)+15*'Données projet'!H71</f>
        <v>99</v>
      </c>
      <c r="D63" s="177">
        <f t="shared" si="4"/>
        <v>4444.1099999999997</v>
      </c>
      <c r="E63" s="191"/>
      <c r="F63" s="229"/>
      <c r="G63" s="203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2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78">
        <f>'Données projet'!A72</f>
        <v>90</v>
      </c>
      <c r="B64" s="179">
        <f>'Données projet'!D72</f>
        <v>0</v>
      </c>
      <c r="C64" s="189">
        <f>225*'Données projet'!E72+13.8*('Données projet'!F72+'Données projet'!G72)+15*'Données projet'!H72</f>
        <v>0</v>
      </c>
      <c r="D64" s="177">
        <f t="shared" si="4"/>
        <v>0</v>
      </c>
      <c r="E64" s="191"/>
      <c r="F64" s="229"/>
      <c r="G64" s="203"/>
      <c r="H64" s="188"/>
      <c r="I64" s="189"/>
      <c r="J64" s="204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0</v>
      </c>
      <c r="Q64" s="232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78">
        <f>'Données projet'!A73</f>
        <v>93</v>
      </c>
      <c r="B65" s="179">
        <f>'Données projet'!D73</f>
        <v>38.57</v>
      </c>
      <c r="C65" s="189">
        <f>225*'Données projet'!E73+13.8*('Données projet'!F73+'Données projet'!G73)+15*'Données projet'!H73</f>
        <v>99</v>
      </c>
      <c r="D65" s="177">
        <f t="shared" si="4"/>
        <v>3818.43</v>
      </c>
      <c r="E65" s="191"/>
      <c r="F65" s="229"/>
      <c r="G65" s="203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0</v>
      </c>
      <c r="Q65" s="232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78">
        <f>'Données projet'!A74</f>
        <v>103</v>
      </c>
      <c r="B66" s="179">
        <f>'Données projet'!D74</f>
        <v>50.51</v>
      </c>
      <c r="C66" s="189">
        <f>225*'Données projet'!E74+13.8*('Données projet'!F74+'Données projet'!G74)+15*'Données projet'!H74</f>
        <v>120</v>
      </c>
      <c r="D66" s="177">
        <f t="shared" si="4"/>
        <v>6061.2</v>
      </c>
      <c r="E66" s="191"/>
      <c r="F66" s="229"/>
      <c r="G66" s="203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0</v>
      </c>
      <c r="Q66" s="232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78">
        <f>'Données projet'!A75</f>
        <v>113</v>
      </c>
      <c r="B67" s="179">
        <f>'Données projet'!D75</f>
        <v>40.479999999999997</v>
      </c>
      <c r="C67" s="189">
        <f>225*'Données projet'!E75+13.8*('Données projet'!F75+'Données projet'!G75)+15*'Données projet'!H75</f>
        <v>120</v>
      </c>
      <c r="D67" s="177">
        <f t="shared" si="4"/>
        <v>4857.5999999999995</v>
      </c>
      <c r="E67" s="191"/>
      <c r="F67" s="229"/>
      <c r="G67" s="203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0</v>
      </c>
      <c r="Q67" s="232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78">
        <f>'Données projet'!A76</f>
        <v>125</v>
      </c>
      <c r="B68" s="179">
        <f>'Données projet'!D76</f>
        <v>61.5</v>
      </c>
      <c r="C68" s="189">
        <f>225*'Données projet'!E76+13.8*('Données projet'!F76+'Données projet'!G76)+15*'Données projet'!H76</f>
        <v>141</v>
      </c>
      <c r="D68" s="177">
        <f t="shared" si="4"/>
        <v>8671.5</v>
      </c>
      <c r="E68" s="191"/>
      <c r="F68" s="229"/>
      <c r="G68" s="203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0</v>
      </c>
      <c r="Q68" s="232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78">
        <f>'Données projet'!A77</f>
        <v>137</v>
      </c>
      <c r="B69" s="179">
        <f>'Données projet'!D77</f>
        <v>65.53</v>
      </c>
      <c r="C69" s="189">
        <f>225*'Données projet'!E77+13.8*('Données projet'!F77+'Données projet'!G77)+15*'Données projet'!H77</f>
        <v>162</v>
      </c>
      <c r="D69" s="177">
        <f t="shared" si="4"/>
        <v>10615.86</v>
      </c>
      <c r="E69" s="191"/>
      <c r="F69" s="229"/>
      <c r="G69" s="203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0</v>
      </c>
      <c r="Q69" s="232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78">
        <f>'Données projet'!A78</f>
        <v>149</v>
      </c>
      <c r="B70" s="179">
        <f>'Données projet'!D78</f>
        <v>153.56</v>
      </c>
      <c r="C70" s="189">
        <f>225*'Données projet'!E78+13.8*('Données projet'!F78+'Données projet'!G78)+15*'Données projet'!H78</f>
        <v>162</v>
      </c>
      <c r="D70" s="177">
        <f t="shared" si="4"/>
        <v>24876.720000000001</v>
      </c>
      <c r="E70" s="191"/>
      <c r="F70" s="229"/>
      <c r="G70" s="203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0</v>
      </c>
      <c r="Q70" s="232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78">
        <f>'Données projet'!A79</f>
        <v>153</v>
      </c>
      <c r="B71" s="179">
        <f>'Données projet'!D79</f>
        <v>89.29</v>
      </c>
      <c r="C71" s="189">
        <f>225*'Données projet'!E79+13.8*('Données projet'!F79+'Données projet'!G79)+15*'Données projet'!H79</f>
        <v>162</v>
      </c>
      <c r="D71" s="177">
        <f t="shared" si="4"/>
        <v>14464.980000000001</v>
      </c>
      <c r="E71" s="191"/>
      <c r="F71" s="229"/>
      <c r="G71" s="203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0</v>
      </c>
      <c r="Q71" s="232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78">
        <f>'Données projet'!A80</f>
        <v>157</v>
      </c>
      <c r="B72" s="179">
        <f>'Données projet'!D80</f>
        <v>57.95</v>
      </c>
      <c r="C72" s="189">
        <f>225*'Données projet'!E80+13.8*('Données projet'!F80+'Données projet'!G80)+15*'Données projet'!H80</f>
        <v>162</v>
      </c>
      <c r="D72" s="177">
        <f t="shared" si="4"/>
        <v>9387.9</v>
      </c>
      <c r="E72" s="191"/>
      <c r="F72" s="229"/>
      <c r="G72" s="203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0</v>
      </c>
      <c r="Q72" s="232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78">
        <f>'Données projet'!A81</f>
        <v>161</v>
      </c>
      <c r="B73" s="179">
        <f>'Données projet'!D81</f>
        <v>115.43</v>
      </c>
      <c r="C73" s="189">
        <f>225*'Données projet'!E81+13.8*('Données projet'!F81+'Données projet'!G81)+15*'Données projet'!H81</f>
        <v>183</v>
      </c>
      <c r="D73" s="177">
        <f t="shared" si="4"/>
        <v>21123.690000000002</v>
      </c>
      <c r="E73" s="191"/>
      <c r="F73" s="229"/>
      <c r="G73" s="203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0</v>
      </c>
      <c r="Q73" s="232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27"/>
      <c r="G74" s="203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0</v>
      </c>
      <c r="Q74" s="232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27"/>
      <c r="G75" s="203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0</v>
      </c>
      <c r="Q75" s="232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2" t="str">
        <f>IF('Données projet'!B11="","",'Données projet'!B11)</f>
        <v>Châtaignier</v>
      </c>
      <c r="C76" s="4"/>
      <c r="D76" s="4"/>
      <c r="E76" s="4"/>
      <c r="F76" s="227"/>
      <c r="G76" s="203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0</v>
      </c>
      <c r="Q76" s="232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27"/>
      <c r="G77" s="203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0</v>
      </c>
      <c r="Q77" s="232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8"/>
      <c r="G78" s="203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0</v>
      </c>
      <c r="Q78" s="232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6" t="s">
        <v>132</v>
      </c>
      <c r="C79" s="195" t="s">
        <v>132</v>
      </c>
      <c r="D79" s="194" t="s">
        <v>132</v>
      </c>
      <c r="E79" s="191">
        <v>3192</v>
      </c>
      <c r="F79" s="228"/>
      <c r="G79" s="203"/>
      <c r="H79" s="188"/>
      <c r="I79" s="189"/>
      <c r="J79" s="4"/>
      <c r="K79" s="171"/>
      <c r="L79" s="4"/>
      <c r="M79" s="4"/>
      <c r="N79" s="4"/>
      <c r="O79" s="192">
        <f>IF(O78+1&lt;=MIN('Données projet'!$E$9:$E$18),O78+1,"STOP")</f>
        <v>46</v>
      </c>
      <c r="P79" s="183">
        <f t="shared" si="5"/>
        <v>0</v>
      </c>
      <c r="Q79" s="232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6" t="s">
        <v>132</v>
      </c>
      <c r="C80" s="195" t="s">
        <v>132</v>
      </c>
      <c r="D80" s="194" t="s">
        <v>132</v>
      </c>
      <c r="E80" s="191"/>
      <c r="F80" s="228"/>
      <c r="G80" s="23"/>
      <c r="H80" s="188"/>
      <c r="I80" s="189"/>
      <c r="J80" s="4"/>
      <c r="K80" s="171"/>
      <c r="L80" s="4"/>
      <c r="M80" s="4"/>
      <c r="N80" s="4"/>
      <c r="O80" s="192">
        <f>IF(O79+1&lt;=MIN('Données projet'!$E$9:$E$18),O79+1,"STOP")</f>
        <v>47</v>
      </c>
      <c r="P80" s="183">
        <f t="shared" si="5"/>
        <v>0</v>
      </c>
      <c r="Q80" s="232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6" t="s">
        <v>132</v>
      </c>
      <c r="C81" s="195" t="s">
        <v>132</v>
      </c>
      <c r="D81" s="194" t="s">
        <v>132</v>
      </c>
      <c r="E81" s="191"/>
      <c r="F81" s="228"/>
      <c r="G81" s="23"/>
      <c r="H81" s="188"/>
      <c r="I81" s="189"/>
      <c r="J81" s="4"/>
      <c r="K81" s="171"/>
      <c r="L81" s="4"/>
      <c r="M81" s="4"/>
      <c r="N81" s="4"/>
      <c r="O81" s="192">
        <f>IF(O80+1&lt;=MIN('Données projet'!$E$9:$E$18),O80+1,"STOP")</f>
        <v>48</v>
      </c>
      <c r="P81" s="183">
        <f t="shared" si="5"/>
        <v>0</v>
      </c>
      <c r="Q81" s="232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6" t="s">
        <v>132</v>
      </c>
      <c r="C82" s="195" t="s">
        <v>132</v>
      </c>
      <c r="D82" s="194" t="s">
        <v>132</v>
      </c>
      <c r="E82" s="191"/>
      <c r="F82" s="228"/>
      <c r="G82" s="23"/>
      <c r="H82" s="188"/>
      <c r="I82" s="189"/>
      <c r="J82" s="4"/>
      <c r="K82" s="171"/>
      <c r="L82" s="4"/>
      <c r="M82" s="4"/>
      <c r="N82" s="4"/>
      <c r="O82" s="192">
        <f>IF(O81+1&lt;=MIN('Données projet'!$E$9:$E$18),O81+1,"STOP")</f>
        <v>49</v>
      </c>
      <c r="P82" s="183">
        <f t="shared" si="5"/>
        <v>0</v>
      </c>
      <c r="Q82" s="232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6" t="s">
        <v>132</v>
      </c>
      <c r="C83" s="195" t="s">
        <v>132</v>
      </c>
      <c r="D83" s="194" t="s">
        <v>132</v>
      </c>
      <c r="E83" s="191"/>
      <c r="F83" s="228"/>
      <c r="G83" s="23"/>
      <c r="H83" s="188"/>
      <c r="I83" s="189"/>
      <c r="J83" s="4"/>
      <c r="K83" s="171"/>
      <c r="L83" s="4"/>
      <c r="M83" s="4"/>
      <c r="N83" s="4"/>
      <c r="O83" s="192">
        <f>IF(O82+1&lt;=MIN('Données projet'!$E$9:$E$18),O82+1,"STOP")</f>
        <v>50</v>
      </c>
      <c r="P83" s="183">
        <f t="shared" si="5"/>
        <v>0</v>
      </c>
      <c r="Q83" s="232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6" t="s">
        <v>132</v>
      </c>
      <c r="C84" s="195" t="s">
        <v>132</v>
      </c>
      <c r="D84" s="194" t="s">
        <v>132</v>
      </c>
      <c r="E84" s="191"/>
      <c r="F84" s="228"/>
      <c r="G84" s="202"/>
      <c r="H84" s="188"/>
      <c r="I84" s="189"/>
      <c r="J84" s="4"/>
      <c r="K84" s="171"/>
      <c r="L84" s="4"/>
      <c r="M84" s="4"/>
      <c r="N84" s="4"/>
      <c r="O84" s="192">
        <f>IF(O83+1&lt;=MIN('Données projet'!$E$9:$E$18),O83+1,"STOP")</f>
        <v>51</v>
      </c>
      <c r="P84" s="183">
        <f t="shared" si="5"/>
        <v>0</v>
      </c>
      <c r="Q84" s="232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78">
        <f>'Données projet'!A88</f>
        <v>10</v>
      </c>
      <c r="B85" s="179">
        <f>'Données projet'!D88</f>
        <v>0</v>
      </c>
      <c r="C85" s="189">
        <f>100*'Données projet'!E88+13.8*('Données projet'!F88+'Données projet'!G88)+15*'Données projet'!H88</f>
        <v>15</v>
      </c>
      <c r="D85" s="177">
        <f>B85*C85</f>
        <v>0</v>
      </c>
      <c r="E85" s="191"/>
      <c r="F85" s="229"/>
      <c r="G85" s="202"/>
      <c r="H85" s="188"/>
      <c r="I85" s="189"/>
      <c r="J85" s="4"/>
      <c r="K85" s="171"/>
      <c r="L85" s="4"/>
      <c r="M85" s="4"/>
      <c r="N85" s="4"/>
      <c r="O85" s="192">
        <f>IF(O84+1&lt;=MIN('Données projet'!$E$9:$E$18),O84+1,"STOP")</f>
        <v>52</v>
      </c>
      <c r="P85" s="183">
        <f t="shared" si="5"/>
        <v>0</v>
      </c>
      <c r="Q85" s="232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78">
        <f>'Données projet'!A89</f>
        <v>15</v>
      </c>
      <c r="B86" s="179">
        <f>'Données projet'!D89</f>
        <v>32</v>
      </c>
      <c r="C86" s="189">
        <f>100*'Données projet'!E89+13.8*('Données projet'!F89+'Données projet'!G89)+15*'Données projet'!H89</f>
        <v>32</v>
      </c>
      <c r="D86" s="177">
        <f t="shared" ref="D86:D104" si="6">B86*C86</f>
        <v>1024</v>
      </c>
      <c r="E86" s="191"/>
      <c r="F86" s="229"/>
      <c r="G86" s="202"/>
      <c r="H86" s="188"/>
      <c r="I86" s="189"/>
      <c r="J86" s="4"/>
      <c r="K86" s="171"/>
      <c r="L86" s="4"/>
      <c r="M86" s="4"/>
      <c r="N86" s="4"/>
      <c r="O86" s="192">
        <f>IF(O85+1&lt;=MIN('Données projet'!$E$9:$E$18),O85+1,"STOP")</f>
        <v>53</v>
      </c>
      <c r="P86" s="183">
        <f t="shared" si="5"/>
        <v>0</v>
      </c>
      <c r="Q86" s="232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78">
        <f>'Données projet'!A90</f>
        <v>20</v>
      </c>
      <c r="B87" s="179">
        <f>'Données projet'!D90</f>
        <v>35</v>
      </c>
      <c r="C87" s="189">
        <f>100*'Données projet'!E90+13.8*('Données projet'!F90+'Données projet'!G90)+15*'Données projet'!H90</f>
        <v>32</v>
      </c>
      <c r="D87" s="177">
        <f t="shared" si="6"/>
        <v>1120</v>
      </c>
      <c r="E87" s="191"/>
      <c r="F87" s="229"/>
      <c r="G87" s="202"/>
      <c r="H87" s="188"/>
      <c r="I87" s="189"/>
      <c r="J87" s="4"/>
      <c r="K87" s="171"/>
      <c r="L87" s="4"/>
      <c r="M87" s="4"/>
      <c r="N87" s="4"/>
      <c r="O87" s="192">
        <f>IF(O86+1&lt;=MIN('Données projet'!$E$9:$E$18),O86+1,"STOP")</f>
        <v>54</v>
      </c>
      <c r="P87" s="183">
        <f t="shared" si="5"/>
        <v>0</v>
      </c>
      <c r="Q87" s="232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78">
        <f>'Données projet'!A91</f>
        <v>25</v>
      </c>
      <c r="B88" s="179">
        <f>'Données projet'!D91</f>
        <v>35</v>
      </c>
      <c r="C88" s="189">
        <f>100*'Données projet'!E91+13.8*('Données projet'!F91+'Données projet'!G91)+15*'Données projet'!H91</f>
        <v>40.5</v>
      </c>
      <c r="D88" s="177">
        <f t="shared" si="6"/>
        <v>1417.5</v>
      </c>
      <c r="E88" s="191"/>
      <c r="F88" s="229"/>
      <c r="G88" s="202"/>
      <c r="H88" s="188"/>
      <c r="I88" s="189"/>
      <c r="J88" s="4"/>
      <c r="K88" s="171"/>
      <c r="L88" s="4"/>
      <c r="M88" s="4"/>
      <c r="N88" s="4"/>
      <c r="O88" s="192" t="str">
        <f>IF(O87+1&lt;=MIN('Données projet'!$E$9:$E$18),O87+1,"STOP")</f>
        <v>STOP</v>
      </c>
      <c r="P88" s="183" t="e">
        <f t="shared" si="5"/>
        <v>#VALUE!</v>
      </c>
      <c r="Q88" s="232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78">
        <f>'Données projet'!A92</f>
        <v>30</v>
      </c>
      <c r="B89" s="179">
        <f>'Données projet'!D92</f>
        <v>35</v>
      </c>
      <c r="C89" s="189">
        <f>100*'Données projet'!E92+13.8*('Données projet'!F92+'Données projet'!G92)+15*'Données projet'!H92</f>
        <v>40.5</v>
      </c>
      <c r="D89" s="177">
        <f t="shared" si="6"/>
        <v>1417.5</v>
      </c>
      <c r="E89" s="191"/>
      <c r="F89" s="229"/>
      <c r="G89" s="202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2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78">
        <f>'Données projet'!A93</f>
        <v>35</v>
      </c>
      <c r="B90" s="179">
        <f>'Données projet'!D93</f>
        <v>35</v>
      </c>
      <c r="C90" s="189">
        <f>100*'Données projet'!E93+13.8*('Données projet'!F93+'Données projet'!G93)+15*'Données projet'!H93</f>
        <v>49</v>
      </c>
      <c r="D90" s="177">
        <f t="shared" si="6"/>
        <v>1715</v>
      </c>
      <c r="E90" s="191"/>
      <c r="F90" s="229"/>
      <c r="G90" s="202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2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78">
        <f>'Données projet'!A94</f>
        <v>40</v>
      </c>
      <c r="B91" s="179">
        <f>'Données projet'!D94</f>
        <v>35</v>
      </c>
      <c r="C91" s="189">
        <f>100*'Données projet'!E94+13.8*('Données projet'!F94+'Données projet'!G94)+15*'Données projet'!H94</f>
        <v>49</v>
      </c>
      <c r="D91" s="177">
        <f t="shared" si="6"/>
        <v>1715</v>
      </c>
      <c r="E91" s="191"/>
      <c r="F91" s="229"/>
      <c r="G91" s="203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2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78">
        <f>'Données projet'!A95</f>
        <v>45</v>
      </c>
      <c r="B92" s="179">
        <f>'Données projet'!D95</f>
        <v>24</v>
      </c>
      <c r="C92" s="189">
        <f>100*'Données projet'!E95+13.8*('Données projet'!F95+'Données projet'!G95)+15*'Données projet'!H95</f>
        <v>57.5</v>
      </c>
      <c r="D92" s="177">
        <f t="shared" si="6"/>
        <v>1380</v>
      </c>
      <c r="E92" s="191"/>
      <c r="F92" s="229"/>
      <c r="G92" s="203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2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78">
        <f>'Données projet'!A96</f>
        <v>50</v>
      </c>
      <c r="B93" s="179">
        <f>'Données projet'!D96</f>
        <v>19</v>
      </c>
      <c r="C93" s="189">
        <f>100*'Données projet'!E96+13.8*('Données projet'!F96+'Données projet'!G96)+15*'Données projet'!H96</f>
        <v>57.5</v>
      </c>
      <c r="D93" s="177">
        <f t="shared" si="6"/>
        <v>1092.5</v>
      </c>
      <c r="E93" s="191"/>
      <c r="F93" s="229"/>
      <c r="G93" s="203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2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78">
        <f>'Données projet'!A97</f>
        <v>55</v>
      </c>
      <c r="B94" s="179">
        <f>'Données projet'!D97</f>
        <v>16</v>
      </c>
      <c r="C94" s="189">
        <f>100*'Données projet'!E97+13.8*('Données projet'!F97+'Données projet'!G97)+15*'Données projet'!H97</f>
        <v>66</v>
      </c>
      <c r="D94" s="177">
        <f t="shared" si="6"/>
        <v>1056</v>
      </c>
      <c r="E94" s="191"/>
      <c r="F94" s="229"/>
      <c r="G94" s="203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2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78">
        <f>'Données projet'!A98</f>
        <v>60</v>
      </c>
      <c r="B95" s="179">
        <f>'Données projet'!D98</f>
        <v>14</v>
      </c>
      <c r="C95" s="189">
        <f>100*'Données projet'!E98+13.8*('Données projet'!F98+'Données projet'!G98)+15*'Données projet'!H98</f>
        <v>66</v>
      </c>
      <c r="D95" s="177">
        <f t="shared" si="6"/>
        <v>924</v>
      </c>
      <c r="E95" s="191"/>
      <c r="F95" s="229"/>
      <c r="G95" s="203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2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78">
        <f>'Données projet'!A99</f>
        <v>65</v>
      </c>
      <c r="B96" s="179">
        <f>'Données projet'!D99</f>
        <v>13</v>
      </c>
      <c r="C96" s="189">
        <f>100*'Données projet'!E99+13.8*('Données projet'!F99+'Données projet'!G99)+15*'Données projet'!H99</f>
        <v>74.5</v>
      </c>
      <c r="D96" s="177">
        <f t="shared" si="6"/>
        <v>968.5</v>
      </c>
      <c r="E96" s="191"/>
      <c r="F96" s="229"/>
      <c r="G96" s="203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2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78">
        <f>'Données projet'!A100</f>
        <v>70</v>
      </c>
      <c r="B97" s="179">
        <f>'Données projet'!D100</f>
        <v>13</v>
      </c>
      <c r="C97" s="189">
        <f>100*'Données projet'!E100+13.8*('Données projet'!F100+'Données projet'!G100)+15*'Données projet'!H100</f>
        <v>74.5</v>
      </c>
      <c r="D97" s="177">
        <f t="shared" si="6"/>
        <v>968.5</v>
      </c>
      <c r="E97" s="191"/>
      <c r="F97" s="229"/>
      <c r="G97" s="203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2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78">
        <f>'Données projet'!A101</f>
        <v>75</v>
      </c>
      <c r="B98" s="179">
        <f>'Données projet'!D101</f>
        <v>12</v>
      </c>
      <c r="C98" s="189">
        <f>100*'Données projet'!E101+13.8*('Données projet'!F101+'Données projet'!G101)+15*'Données projet'!H101</f>
        <v>83</v>
      </c>
      <c r="D98" s="177">
        <f t="shared" si="6"/>
        <v>996</v>
      </c>
      <c r="E98" s="191"/>
      <c r="F98" s="229"/>
      <c r="G98" s="203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2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78">
        <f>'Données projet'!A102</f>
        <v>80</v>
      </c>
      <c r="B99" s="179">
        <f>'Données projet'!D102</f>
        <v>330</v>
      </c>
      <c r="C99" s="189">
        <f>100*'Données projet'!E102+13.8*('Données projet'!F102+'Données projet'!G102)+15*'Données projet'!H102</f>
        <v>83</v>
      </c>
      <c r="D99" s="177">
        <f t="shared" si="6"/>
        <v>27390</v>
      </c>
      <c r="E99" s="191"/>
      <c r="F99" s="229"/>
      <c r="G99" s="203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2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78">
        <f>'Données projet'!A103</f>
        <v>0</v>
      </c>
      <c r="B100" s="179">
        <f>'Données projet'!D103</f>
        <v>0</v>
      </c>
      <c r="C100" s="189">
        <f>100*'Données projet'!E103+13.8*('Données projet'!F103+'Données projet'!G103)+15*'Données projet'!H103</f>
        <v>0</v>
      </c>
      <c r="D100" s="177">
        <f t="shared" si="6"/>
        <v>0</v>
      </c>
      <c r="E100" s="191"/>
      <c r="F100" s="229"/>
      <c r="G100" s="203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2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78">
        <f>'Données projet'!A104</f>
        <v>0</v>
      </c>
      <c r="B101" s="179">
        <f>'Données projet'!D104</f>
        <v>0</v>
      </c>
      <c r="C101" s="189">
        <f>100*'Données projet'!E104+13.8*('Données projet'!F104+'Données projet'!G104)+15*'Données projet'!H104</f>
        <v>0</v>
      </c>
      <c r="D101" s="177">
        <f t="shared" si="6"/>
        <v>0</v>
      </c>
      <c r="E101" s="191"/>
      <c r="F101" s="229"/>
      <c r="G101" s="203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2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78">
        <f>'Données projet'!A105</f>
        <v>0</v>
      </c>
      <c r="B102" s="179">
        <f>'Données projet'!D105</f>
        <v>0</v>
      </c>
      <c r="C102" s="189">
        <f>100*'Données projet'!E105+13.8*('Données projet'!F105+'Données projet'!G105)+15*'Données projet'!H105</f>
        <v>0</v>
      </c>
      <c r="D102" s="177">
        <f t="shared" si="6"/>
        <v>0</v>
      </c>
      <c r="E102" s="191"/>
      <c r="F102" s="229"/>
      <c r="G102" s="203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2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78">
        <f>'Données projet'!A106</f>
        <v>0</v>
      </c>
      <c r="B103" s="179">
        <f>'Données projet'!D106</f>
        <v>0</v>
      </c>
      <c r="C103" s="189">
        <f>100*'Données projet'!E106+13.8*('Données projet'!F106+'Données projet'!G106)+15*'Données projet'!H106</f>
        <v>0</v>
      </c>
      <c r="D103" s="177">
        <f t="shared" si="6"/>
        <v>0</v>
      </c>
      <c r="E103" s="191"/>
      <c r="F103" s="229"/>
      <c r="G103" s="203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2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78">
        <f>'Données projet'!A107</f>
        <v>0</v>
      </c>
      <c r="B104" s="179">
        <f>'Données projet'!D107</f>
        <v>0</v>
      </c>
      <c r="C104" s="189">
        <f>100*'Données projet'!E107+13.8*('Données projet'!F107+'Données projet'!G107)+15*'Données projet'!H107</f>
        <v>0</v>
      </c>
      <c r="D104" s="177">
        <f t="shared" si="6"/>
        <v>0</v>
      </c>
      <c r="E104" s="191"/>
      <c r="F104" s="229"/>
      <c r="G104" s="203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2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27"/>
      <c r="G105" s="203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2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27"/>
      <c r="G106" s="203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2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2" t="str">
        <f>IF('Données projet'!B12="","",'Données projet'!B12)</f>
        <v>Charme</v>
      </c>
      <c r="C107" s="4"/>
      <c r="D107" s="4"/>
      <c r="E107" s="4"/>
      <c r="F107" s="227"/>
      <c r="G107" s="203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2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27"/>
      <c r="G108" s="203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2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8"/>
      <c r="G109" s="203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2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6" t="s">
        <v>132</v>
      </c>
      <c r="C110" s="195" t="s">
        <v>132</v>
      </c>
      <c r="D110" s="194" t="s">
        <v>132</v>
      </c>
      <c r="E110" s="191">
        <v>2328</v>
      </c>
      <c r="F110" s="228"/>
      <c r="G110" s="203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2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6" t="s">
        <v>132</v>
      </c>
      <c r="C111" s="195" t="s">
        <v>132</v>
      </c>
      <c r="D111" s="194" t="s">
        <v>132</v>
      </c>
      <c r="E111" s="191"/>
      <c r="F111" s="228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2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6" t="s">
        <v>132</v>
      </c>
      <c r="C112" s="195" t="s">
        <v>132</v>
      </c>
      <c r="D112" s="194" t="s">
        <v>132</v>
      </c>
      <c r="E112" s="191"/>
      <c r="F112" s="228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2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6" t="s">
        <v>132</v>
      </c>
      <c r="C113" s="195" t="s">
        <v>132</v>
      </c>
      <c r="D113" s="194" t="s">
        <v>132</v>
      </c>
      <c r="E113" s="191"/>
      <c r="F113" s="228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2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6" t="s">
        <v>132</v>
      </c>
      <c r="C114" s="195" t="s">
        <v>132</v>
      </c>
      <c r="D114" s="194" t="s">
        <v>132</v>
      </c>
      <c r="E114" s="191"/>
      <c r="F114" s="228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2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6" t="s">
        <v>132</v>
      </c>
      <c r="C115" s="195" t="s">
        <v>132</v>
      </c>
      <c r="D115" s="194" t="s">
        <v>132</v>
      </c>
      <c r="E115" s="191"/>
      <c r="F115" s="228"/>
      <c r="G115" s="202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2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78">
        <f>'Données projet'!A114</f>
        <v>25</v>
      </c>
      <c r="B116" s="179">
        <f>'Données projet'!D114</f>
        <v>13</v>
      </c>
      <c r="C116" s="189">
        <f>50*'Données projet'!E114+13.8*('Données projet'!F114+'Données projet'!G114)+15*'Données projet'!H114</f>
        <v>15</v>
      </c>
      <c r="D116" s="177">
        <f>B116*C116</f>
        <v>195</v>
      </c>
      <c r="E116" s="191"/>
      <c r="F116" s="229"/>
      <c r="G116" s="202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2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78">
        <f>'Données projet'!A115</f>
        <v>30</v>
      </c>
      <c r="B117" s="179">
        <f>'Données projet'!D115</f>
        <v>21</v>
      </c>
      <c r="C117" s="189">
        <f>50*'Données projet'!E115+13.8*('Données projet'!F115+'Données projet'!G115)+15*'Données projet'!H115</f>
        <v>15</v>
      </c>
      <c r="D117" s="177">
        <f t="shared" ref="D117:D135" si="8">B117*C117</f>
        <v>315</v>
      </c>
      <c r="E117" s="191"/>
      <c r="F117" s="229"/>
      <c r="G117" s="202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2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78">
        <f>'Données projet'!A116</f>
        <v>35</v>
      </c>
      <c r="B118" s="179">
        <f>'Données projet'!D116</f>
        <v>26</v>
      </c>
      <c r="C118" s="189">
        <f>50*'Données projet'!E116+13.8*('Données projet'!F116+'Données projet'!G116)+15*'Données projet'!H116</f>
        <v>22</v>
      </c>
      <c r="D118" s="177">
        <f t="shared" si="8"/>
        <v>572</v>
      </c>
      <c r="E118" s="191"/>
      <c r="F118" s="229"/>
      <c r="G118" s="202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2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78">
        <f>'Données projet'!A117</f>
        <v>40</v>
      </c>
      <c r="B119" s="179">
        <f>'Données projet'!D117</f>
        <v>29</v>
      </c>
      <c r="C119" s="189">
        <f>50*'Données projet'!E117+13.8*('Données projet'!F117+'Données projet'!G117)+15*'Données projet'!H117</f>
        <v>22</v>
      </c>
      <c r="D119" s="177">
        <f t="shared" si="8"/>
        <v>638</v>
      </c>
      <c r="E119" s="191"/>
      <c r="F119" s="229"/>
      <c r="G119" s="202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2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78">
        <f>'Données projet'!A118</f>
        <v>45</v>
      </c>
      <c r="B120" s="179">
        <f>'Données projet'!D118</f>
        <v>31</v>
      </c>
      <c r="C120" s="189">
        <f>50*'Données projet'!E118+13.8*('Données projet'!F118+'Données projet'!G118)+15*'Données projet'!H118</f>
        <v>22</v>
      </c>
      <c r="D120" s="177">
        <f t="shared" si="8"/>
        <v>682</v>
      </c>
      <c r="E120" s="191"/>
      <c r="F120" s="229"/>
      <c r="G120" s="202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2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78">
        <f>'Données projet'!A119</f>
        <v>50</v>
      </c>
      <c r="B121" s="179">
        <f>'Données projet'!D119</f>
        <v>32</v>
      </c>
      <c r="C121" s="189">
        <f>50*'Données projet'!E119+13.8*('Données projet'!F119+'Données projet'!G119)+15*'Données projet'!H119</f>
        <v>25.5</v>
      </c>
      <c r="D121" s="177">
        <f t="shared" si="8"/>
        <v>816</v>
      </c>
      <c r="E121" s="191"/>
      <c r="F121" s="229"/>
      <c r="G121" s="202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2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78">
        <f>'Données projet'!A120</f>
        <v>55</v>
      </c>
      <c r="B122" s="179">
        <f>'Données projet'!D120</f>
        <v>33</v>
      </c>
      <c r="C122" s="189">
        <f>50*'Données projet'!E120+13.8*('Données projet'!F120+'Données projet'!G120)+15*'Données projet'!H120</f>
        <v>29</v>
      </c>
      <c r="D122" s="177">
        <f t="shared" si="8"/>
        <v>957</v>
      </c>
      <c r="E122" s="191"/>
      <c r="F122" s="229"/>
      <c r="G122" s="203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2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78">
        <f>'Données projet'!A121</f>
        <v>60</v>
      </c>
      <c r="B123" s="179">
        <f>'Données projet'!D121</f>
        <v>33</v>
      </c>
      <c r="C123" s="189">
        <f>50*'Données projet'!E121+13.8*('Données projet'!F121+'Données projet'!G121)+15*'Données projet'!H121</f>
        <v>29</v>
      </c>
      <c r="D123" s="177">
        <f t="shared" si="8"/>
        <v>957</v>
      </c>
      <c r="E123" s="191"/>
      <c r="F123" s="229"/>
      <c r="G123" s="203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2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78">
        <f>'Données projet'!A122</f>
        <v>65</v>
      </c>
      <c r="B124" s="179">
        <f>'Données projet'!D122</f>
        <v>33</v>
      </c>
      <c r="C124" s="189">
        <f>50*'Données projet'!E122+13.8*('Données projet'!F122+'Données projet'!G122)+15*'Données projet'!H122</f>
        <v>32.5</v>
      </c>
      <c r="D124" s="177">
        <f t="shared" si="8"/>
        <v>1072.5</v>
      </c>
      <c r="E124" s="191"/>
      <c r="F124" s="229"/>
      <c r="G124" s="203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2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78">
        <f>'Données projet'!A123</f>
        <v>70</v>
      </c>
      <c r="B125" s="179">
        <f>'Données projet'!D123</f>
        <v>33</v>
      </c>
      <c r="C125" s="189">
        <f>50*'Données projet'!E123+13.8*('Données projet'!F123+'Données projet'!G123)+15*'Données projet'!H123</f>
        <v>32.5</v>
      </c>
      <c r="D125" s="177">
        <f t="shared" si="8"/>
        <v>1072.5</v>
      </c>
      <c r="E125" s="191"/>
      <c r="F125" s="229"/>
      <c r="G125" s="203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2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78">
        <f>'Données projet'!A124</f>
        <v>75</v>
      </c>
      <c r="B126" s="179">
        <f>'Données projet'!D124</f>
        <v>33</v>
      </c>
      <c r="C126" s="189">
        <f>50*'Données projet'!E124+13.8*('Données projet'!F124+'Données projet'!G124)+15*'Données projet'!H124</f>
        <v>36</v>
      </c>
      <c r="D126" s="177">
        <f t="shared" si="8"/>
        <v>1188</v>
      </c>
      <c r="E126" s="191"/>
      <c r="F126" s="229"/>
      <c r="G126" s="203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2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78">
        <f>'Données projet'!A125</f>
        <v>80</v>
      </c>
      <c r="B127" s="179">
        <f>'Données projet'!D125</f>
        <v>32</v>
      </c>
      <c r="C127" s="189">
        <f>50*'Données projet'!E125+13.8*('Données projet'!F125+'Données projet'!G125)+15*'Données projet'!H125</f>
        <v>39.5</v>
      </c>
      <c r="D127" s="177">
        <f t="shared" si="8"/>
        <v>1264</v>
      </c>
      <c r="E127" s="191"/>
      <c r="F127" s="229"/>
      <c r="G127" s="203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2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78">
        <f>'Données projet'!A126</f>
        <v>85</v>
      </c>
      <c r="B128" s="179">
        <f>'Données projet'!D126</f>
        <v>32</v>
      </c>
      <c r="C128" s="189">
        <f>50*'Données projet'!E126+13.8*('Données projet'!F126+'Données projet'!G126)+15*'Données projet'!H126</f>
        <v>39.5</v>
      </c>
      <c r="D128" s="177">
        <f t="shared" si="8"/>
        <v>1264</v>
      </c>
      <c r="E128" s="191"/>
      <c r="F128" s="229"/>
      <c r="G128" s="203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2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78">
        <f>'Données projet'!A127</f>
        <v>90</v>
      </c>
      <c r="B129" s="179">
        <f>'Données projet'!D127</f>
        <v>31</v>
      </c>
      <c r="C129" s="189">
        <f>50*'Données projet'!E127+13.8*('Données projet'!F127+'Données projet'!G127)+15*'Données projet'!H127</f>
        <v>39.5</v>
      </c>
      <c r="D129" s="177">
        <f t="shared" si="8"/>
        <v>1224.5</v>
      </c>
      <c r="E129" s="191"/>
      <c r="F129" s="229"/>
      <c r="G129" s="203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2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78">
        <f>'Données projet'!A128</f>
        <v>95</v>
      </c>
      <c r="B130" s="179">
        <f>'Données projet'!D128</f>
        <v>31</v>
      </c>
      <c r="C130" s="189">
        <f>50*'Données projet'!E128+13.8*('Données projet'!F128+'Données projet'!G128)+15*'Données projet'!H128</f>
        <v>39.5</v>
      </c>
      <c r="D130" s="177">
        <f t="shared" si="8"/>
        <v>1224.5</v>
      </c>
      <c r="E130" s="191"/>
      <c r="F130" s="229"/>
      <c r="G130" s="203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2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78">
        <f>'Données projet'!A129</f>
        <v>100</v>
      </c>
      <c r="B131" s="179">
        <f>'Données projet'!D129</f>
        <v>30</v>
      </c>
      <c r="C131" s="189">
        <f>50*'Données projet'!E129+13.8*('Données projet'!F129+'Données projet'!G129)+15*'Données projet'!H129</f>
        <v>43</v>
      </c>
      <c r="D131" s="177">
        <f t="shared" si="8"/>
        <v>1290</v>
      </c>
      <c r="E131" s="191"/>
      <c r="F131" s="229"/>
      <c r="G131" s="203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2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78">
        <f>'Données projet'!A130</f>
        <v>105</v>
      </c>
      <c r="B132" s="179">
        <f>'Données projet'!D130</f>
        <v>29</v>
      </c>
      <c r="C132" s="189">
        <f>50*'Données projet'!E130+13.8*('Données projet'!F130+'Données projet'!G130)+15*'Données projet'!H130</f>
        <v>43</v>
      </c>
      <c r="D132" s="177">
        <f t="shared" si="8"/>
        <v>1247</v>
      </c>
      <c r="E132" s="191"/>
      <c r="F132" s="229"/>
      <c r="G132" s="203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2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78">
        <f>'Données projet'!A131</f>
        <v>110</v>
      </c>
      <c r="B133" s="179">
        <f>'Données projet'!D131</f>
        <v>27</v>
      </c>
      <c r="C133" s="189">
        <f>50*'Données projet'!E131+13.8*('Données projet'!F131+'Données projet'!G131)+15*'Données projet'!H131</f>
        <v>43</v>
      </c>
      <c r="D133" s="177">
        <f t="shared" si="8"/>
        <v>1161</v>
      </c>
      <c r="E133" s="191"/>
      <c r="F133" s="229"/>
      <c r="G133" s="203"/>
      <c r="H133" s="188"/>
      <c r="I133" s="189"/>
      <c r="J133" s="4"/>
      <c r="K133" s="171"/>
      <c r="Q133" s="232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78">
        <f>'Données projet'!A132</f>
        <v>115</v>
      </c>
      <c r="B134" s="179">
        <f>'Données projet'!D132</f>
        <v>26</v>
      </c>
      <c r="C134" s="189">
        <f>50*'Données projet'!E132+13.8*('Données projet'!F132+'Données projet'!G132)+15*'Données projet'!H132</f>
        <v>43</v>
      </c>
      <c r="D134" s="177">
        <f t="shared" si="8"/>
        <v>1118</v>
      </c>
      <c r="E134" s="191"/>
      <c r="F134" s="229"/>
      <c r="G134" s="203"/>
      <c r="H134" s="188"/>
      <c r="I134" s="189"/>
      <c r="J134" s="4"/>
      <c r="K134" s="171"/>
      <c r="Q134" s="232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78">
        <f>'Données projet'!A133</f>
        <v>120</v>
      </c>
      <c r="B135" s="179">
        <f>'Données projet'!D133</f>
        <v>324</v>
      </c>
      <c r="C135" s="189">
        <f>50*'Données projet'!E133+13.8*('Données projet'!F133+'Données projet'!G133)+15*'Données projet'!H133</f>
        <v>43</v>
      </c>
      <c r="D135" s="177">
        <f t="shared" si="8"/>
        <v>13932</v>
      </c>
      <c r="E135" s="191"/>
      <c r="F135" s="229"/>
      <c r="G135" s="203"/>
      <c r="H135" s="188"/>
      <c r="I135" s="189"/>
      <c r="J135" s="4"/>
      <c r="K135" s="171"/>
      <c r="Q135" s="232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27"/>
      <c r="G136" s="203"/>
      <c r="H136" s="188"/>
      <c r="I136" s="189"/>
      <c r="J136" s="4"/>
      <c r="K136" s="171"/>
      <c r="L136" s="4"/>
      <c r="M136" s="4"/>
      <c r="N136" s="4"/>
      <c r="Q136" s="232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27"/>
      <c r="G137" s="203"/>
      <c r="H137" s="188"/>
      <c r="I137" s="189"/>
      <c r="J137" s="4"/>
      <c r="K137" s="171"/>
      <c r="L137" s="4"/>
      <c r="M137" s="4"/>
      <c r="N137" s="4"/>
      <c r="Q137" s="232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2" t="str">
        <f>IF('Données projet'!B13="","",'Données projet'!B13)</f>
        <v>Tilleul</v>
      </c>
      <c r="C138" s="4"/>
      <c r="D138" s="4"/>
      <c r="E138" s="4"/>
      <c r="F138" s="227"/>
      <c r="G138" s="203"/>
      <c r="H138" s="188"/>
      <c r="I138" s="189"/>
      <c r="J138" s="4"/>
      <c r="K138" s="171"/>
      <c r="L138" s="4"/>
      <c r="M138" s="4"/>
      <c r="N138" s="4"/>
      <c r="Q138" s="232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27"/>
      <c r="G139" s="203"/>
      <c r="H139" s="188"/>
      <c r="I139" s="189"/>
      <c r="J139" s="4"/>
      <c r="K139" s="171"/>
      <c r="L139" s="4"/>
      <c r="M139" s="4"/>
      <c r="N139" s="4"/>
      <c r="Q139" s="232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8"/>
      <c r="G140" s="203"/>
      <c r="H140" s="188"/>
      <c r="I140" s="189"/>
      <c r="J140" s="4"/>
      <c r="K140" s="171"/>
      <c r="L140" s="4"/>
      <c r="M140" s="4"/>
      <c r="N140" s="4"/>
      <c r="Q140" s="232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6" t="s">
        <v>132</v>
      </c>
      <c r="C141" s="195" t="s">
        <v>132</v>
      </c>
      <c r="D141" s="194" t="s">
        <v>132</v>
      </c>
      <c r="E141" s="191">
        <v>3396</v>
      </c>
      <c r="F141" s="228"/>
      <c r="G141" s="203"/>
      <c r="H141" s="188"/>
      <c r="I141" s="189"/>
      <c r="J141" s="4"/>
      <c r="K141" s="171"/>
      <c r="L141" s="4"/>
      <c r="M141" s="4"/>
      <c r="N141" s="4"/>
      <c r="Q141" s="232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6" t="s">
        <v>132</v>
      </c>
      <c r="C142" s="195" t="s">
        <v>132</v>
      </c>
      <c r="D142" s="194" t="s">
        <v>132</v>
      </c>
      <c r="E142" s="191"/>
      <c r="F142" s="228"/>
      <c r="G142" s="23"/>
      <c r="H142" s="188"/>
      <c r="I142" s="189"/>
      <c r="J142" s="4"/>
      <c r="K142" s="171"/>
      <c r="L142" s="4"/>
      <c r="M142" s="4"/>
      <c r="N142" s="4"/>
      <c r="Q142" s="232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6" t="s">
        <v>132</v>
      </c>
      <c r="C143" s="195" t="s">
        <v>132</v>
      </c>
      <c r="D143" s="194" t="s">
        <v>132</v>
      </c>
      <c r="E143" s="191"/>
      <c r="F143" s="228"/>
      <c r="G143" s="23"/>
      <c r="H143" s="188"/>
      <c r="I143" s="189"/>
      <c r="J143" s="4"/>
      <c r="K143" s="171"/>
      <c r="L143" s="4"/>
      <c r="M143" s="4"/>
      <c r="N143" s="4"/>
      <c r="Q143" s="232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6" t="s">
        <v>132</v>
      </c>
      <c r="C144" s="195" t="s">
        <v>132</v>
      </c>
      <c r="D144" s="194" t="s">
        <v>132</v>
      </c>
      <c r="E144" s="191"/>
      <c r="F144" s="228"/>
      <c r="G144" s="23"/>
      <c r="H144" s="188"/>
      <c r="I144" s="189"/>
      <c r="J144" s="4"/>
      <c r="K144" s="171"/>
      <c r="L144" s="4"/>
      <c r="M144" s="4"/>
      <c r="N144" s="4"/>
      <c r="Q144" s="232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6" t="s">
        <v>132</v>
      </c>
      <c r="C145" s="195" t="s">
        <v>132</v>
      </c>
      <c r="D145" s="194" t="s">
        <v>132</v>
      </c>
      <c r="E145" s="191"/>
      <c r="F145" s="228"/>
      <c r="G145" s="23"/>
      <c r="H145" s="188"/>
      <c r="I145" s="189"/>
      <c r="J145" s="4"/>
      <c r="K145" s="171"/>
      <c r="L145" s="4"/>
      <c r="M145" s="4"/>
      <c r="N145" s="4"/>
      <c r="Q145" s="232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6" t="s">
        <v>132</v>
      </c>
      <c r="C146" s="195" t="s">
        <v>132</v>
      </c>
      <c r="D146" s="194" t="s">
        <v>132</v>
      </c>
      <c r="E146" s="191"/>
      <c r="F146" s="228"/>
      <c r="G146" s="202"/>
      <c r="H146" s="188"/>
      <c r="I146" s="189"/>
      <c r="J146" s="4"/>
      <c r="K146" s="171"/>
      <c r="L146" s="4"/>
      <c r="M146" s="4"/>
      <c r="N146" s="4"/>
      <c r="Q146" s="232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44</v>
      </c>
      <c r="B147" s="173">
        <f>'Données projet'!D140</f>
        <v>74.010000000000005</v>
      </c>
      <c r="C147" s="189">
        <f>50*'Données projet'!E140+13.8*('Données projet'!F140+'Données projet'!G140)+15*'Données projet'!H140</f>
        <v>22</v>
      </c>
      <c r="D147" s="180">
        <f>B147*C147</f>
        <v>1628.22</v>
      </c>
      <c r="E147" s="191"/>
      <c r="F147" s="230"/>
      <c r="G147" s="202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47</v>
      </c>
      <c r="B148" s="173">
        <f>'Données projet'!D141</f>
        <v>0</v>
      </c>
      <c r="C148" s="189">
        <f>50*'Données projet'!E141+13.8*('Données projet'!F141+'Données projet'!G141)+15*'Données projet'!H141</f>
        <v>0</v>
      </c>
      <c r="D148" s="180">
        <f t="shared" ref="D148:D166" si="10">B148*C148</f>
        <v>0</v>
      </c>
      <c r="E148" s="191"/>
      <c r="F148" s="230"/>
      <c r="G148" s="202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51</v>
      </c>
      <c r="B149" s="173">
        <f>'Données projet'!D142</f>
        <v>46.13</v>
      </c>
      <c r="C149" s="189">
        <f>50*'Données projet'!E142+13.8*('Données projet'!F142+'Données projet'!G142)+15*'Données projet'!H142</f>
        <v>22</v>
      </c>
      <c r="D149" s="180">
        <f t="shared" si="10"/>
        <v>1014.86</v>
      </c>
      <c r="E149" s="191"/>
      <c r="F149" s="230"/>
      <c r="G149" s="202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54</v>
      </c>
      <c r="B150" s="173">
        <f>'Données projet'!D143</f>
        <v>0</v>
      </c>
      <c r="C150" s="189">
        <f>50*'Données projet'!E143+13.8*('Données projet'!F143+'Données projet'!G143)+15*'Données projet'!H143</f>
        <v>0</v>
      </c>
      <c r="D150" s="180">
        <f t="shared" si="10"/>
        <v>0</v>
      </c>
      <c r="E150" s="191"/>
      <c r="F150" s="230"/>
      <c r="G150" s="202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57</v>
      </c>
      <c r="B151" s="173">
        <f>'Données projet'!D144</f>
        <v>0</v>
      </c>
      <c r="C151" s="189">
        <f>50*'Données projet'!E144+13.8*('Données projet'!F144+'Données projet'!G144)+15*'Données projet'!H144</f>
        <v>0</v>
      </c>
      <c r="D151" s="180">
        <f t="shared" si="10"/>
        <v>0</v>
      </c>
      <c r="E151" s="191"/>
      <c r="F151" s="230"/>
      <c r="G151" s="202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59</v>
      </c>
      <c r="B152" s="173">
        <f>'Données projet'!D145</f>
        <v>48.96</v>
      </c>
      <c r="C152" s="189">
        <f>50*'Données projet'!E145+13.8*('Données projet'!F145+'Données projet'!G145)+15*'Données projet'!H145</f>
        <v>22</v>
      </c>
      <c r="D152" s="180">
        <f t="shared" si="10"/>
        <v>1077.1200000000001</v>
      </c>
      <c r="E152" s="191"/>
      <c r="F152" s="230"/>
      <c r="G152" s="202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62</v>
      </c>
      <c r="B153" s="173">
        <f>'Données projet'!D146</f>
        <v>0</v>
      </c>
      <c r="C153" s="189">
        <f>50*'Données projet'!E146+13.8*('Données projet'!F146+'Données projet'!G146)+15*'Données projet'!H146</f>
        <v>0</v>
      </c>
      <c r="D153" s="180">
        <f t="shared" si="10"/>
        <v>0</v>
      </c>
      <c r="E153" s="191"/>
      <c r="F153" s="230"/>
      <c r="G153" s="200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67</v>
      </c>
      <c r="B154" s="173">
        <f>'Données projet'!D147</f>
        <v>40.630000000000003</v>
      </c>
      <c r="C154" s="189">
        <f>50*'Données projet'!E147+13.8*('Données projet'!F147+'Données projet'!G147)+15*'Données projet'!H147</f>
        <v>25.5</v>
      </c>
      <c r="D154" s="180">
        <f t="shared" si="10"/>
        <v>1036.0650000000001</v>
      </c>
      <c r="E154" s="191"/>
      <c r="F154" s="230"/>
      <c r="G154" s="200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75</v>
      </c>
      <c r="B155" s="173">
        <f>'Données projet'!D148</f>
        <v>39.54</v>
      </c>
      <c r="C155" s="189">
        <f>50*'Données projet'!E148+13.8*('Données projet'!F148+'Données projet'!G148)+15*'Données projet'!H148</f>
        <v>25.5</v>
      </c>
      <c r="D155" s="180">
        <f t="shared" si="10"/>
        <v>1008.27</v>
      </c>
      <c r="E155" s="191"/>
      <c r="F155" s="230"/>
      <c r="G155" s="200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84</v>
      </c>
      <c r="B156" s="173">
        <f>'Données projet'!D149</f>
        <v>44.89</v>
      </c>
      <c r="C156" s="189">
        <f>50*'Données projet'!E149+13.8*('Données projet'!F149+'Données projet'!G149)+15*'Données projet'!H149</f>
        <v>29</v>
      </c>
      <c r="D156" s="180">
        <f t="shared" si="10"/>
        <v>1301.81</v>
      </c>
      <c r="E156" s="191"/>
      <c r="F156" s="230"/>
      <c r="G156" s="200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90</v>
      </c>
      <c r="B157" s="173">
        <f>'Données projet'!D150</f>
        <v>0</v>
      </c>
      <c r="C157" s="189">
        <f>50*'Données projet'!E150+13.8*('Données projet'!F150+'Données projet'!G150)+15*'Données projet'!H150</f>
        <v>0</v>
      </c>
      <c r="D157" s="180">
        <f t="shared" si="10"/>
        <v>0</v>
      </c>
      <c r="E157" s="191"/>
      <c r="F157" s="230"/>
      <c r="G157" s="200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93</v>
      </c>
      <c r="B158" s="173">
        <f>'Données projet'!D151</f>
        <v>38.57</v>
      </c>
      <c r="C158" s="189">
        <f>50*'Données projet'!E151+13.8*('Données projet'!F151+'Données projet'!G151)+15*'Données projet'!H151</f>
        <v>29</v>
      </c>
      <c r="D158" s="180">
        <f t="shared" si="10"/>
        <v>1118.53</v>
      </c>
      <c r="E158" s="191"/>
      <c r="F158" s="230"/>
      <c r="G158" s="200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103</v>
      </c>
      <c r="B159" s="173">
        <f>'Données projet'!D152</f>
        <v>50.51</v>
      </c>
      <c r="C159" s="189">
        <f>50*'Données projet'!E152+13.8*('Données projet'!F152+'Données projet'!G152)+15*'Données projet'!H152</f>
        <v>32.5</v>
      </c>
      <c r="D159" s="180">
        <f t="shared" si="10"/>
        <v>1641.575</v>
      </c>
      <c r="E159" s="191"/>
      <c r="F159" s="230"/>
      <c r="G159" s="200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113</v>
      </c>
      <c r="B160" s="173">
        <f>'Données projet'!D153</f>
        <v>40.479999999999997</v>
      </c>
      <c r="C160" s="189">
        <f>50*'Données projet'!E153+13.8*('Données projet'!F153+'Données projet'!G153)+15*'Données projet'!H153</f>
        <v>32.5</v>
      </c>
      <c r="D160" s="180">
        <f t="shared" si="10"/>
        <v>1315.6</v>
      </c>
      <c r="E160" s="191"/>
      <c r="F160" s="230"/>
      <c r="G160" s="200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125</v>
      </c>
      <c r="B161" s="173">
        <f>'Données projet'!D154</f>
        <v>61.5</v>
      </c>
      <c r="C161" s="189">
        <f>50*'Données projet'!E154+13.8*('Données projet'!F154+'Données projet'!G154)+15*'Données projet'!H154</f>
        <v>36</v>
      </c>
      <c r="D161" s="180">
        <f t="shared" si="10"/>
        <v>2214</v>
      </c>
      <c r="E161" s="191"/>
      <c r="F161" s="230"/>
      <c r="G161" s="200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137</v>
      </c>
      <c r="B162" s="173">
        <f>'Données projet'!D155</f>
        <v>65.53</v>
      </c>
      <c r="C162" s="189">
        <f>50*'Données projet'!E155+13.8*('Données projet'!F155+'Données projet'!G155)+15*'Données projet'!H155</f>
        <v>39.5</v>
      </c>
      <c r="D162" s="180">
        <f t="shared" si="10"/>
        <v>2588.4349999999999</v>
      </c>
      <c r="E162" s="191"/>
      <c r="F162" s="230"/>
      <c r="G162" s="200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149</v>
      </c>
      <c r="B163" s="173">
        <f>'Données projet'!D156</f>
        <v>153.56</v>
      </c>
      <c r="C163" s="189">
        <f>50*'Données projet'!E156+13.8*('Données projet'!F156+'Données projet'!G156)+15*'Données projet'!H156</f>
        <v>39.5</v>
      </c>
      <c r="D163" s="180">
        <f t="shared" si="10"/>
        <v>6065.62</v>
      </c>
      <c r="E163" s="191"/>
      <c r="F163" s="230"/>
      <c r="G163" s="200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153</v>
      </c>
      <c r="B164" s="173">
        <f>'Données projet'!D157</f>
        <v>89.29</v>
      </c>
      <c r="C164" s="189">
        <f>50*'Données projet'!E157+13.8*('Données projet'!F157+'Données projet'!G157)+15*'Données projet'!H157</f>
        <v>39.5</v>
      </c>
      <c r="D164" s="180">
        <f t="shared" si="10"/>
        <v>3526.9550000000004</v>
      </c>
      <c r="E164" s="191"/>
      <c r="F164" s="230"/>
      <c r="G164" s="200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157</v>
      </c>
      <c r="B165" s="173">
        <f>'Données projet'!D158</f>
        <v>57.95</v>
      </c>
      <c r="C165" s="189">
        <f>50*'Données projet'!E158+13.8*('Données projet'!F158+'Données projet'!G158)+15*'Données projet'!H158</f>
        <v>39.5</v>
      </c>
      <c r="D165" s="180">
        <f t="shared" si="10"/>
        <v>2289.0250000000001</v>
      </c>
      <c r="E165" s="191"/>
      <c r="F165" s="230"/>
      <c r="G165" s="200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161</v>
      </c>
      <c r="B166" s="173">
        <f>'Données projet'!D159</f>
        <v>115.43</v>
      </c>
      <c r="C166" s="189">
        <f>50*'Données projet'!E159+13.8*('Données projet'!F159+'Données projet'!G159)+15*'Données projet'!H159</f>
        <v>43</v>
      </c>
      <c r="D166" s="180">
        <f t="shared" si="10"/>
        <v>4963.4900000000007</v>
      </c>
      <c r="E166" s="191"/>
      <c r="F166" s="230"/>
      <c r="G166" s="200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27"/>
      <c r="G167" s="200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27"/>
      <c r="G168" s="200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2" t="str">
        <f>IF('Données projet'!B14="","",'Données projet'!B14)</f>
        <v>Aulne à feuilles en cœur</v>
      </c>
      <c r="C169" s="4"/>
      <c r="D169" s="4"/>
      <c r="E169" s="4"/>
      <c r="F169" s="227"/>
      <c r="G169" s="200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27"/>
      <c r="G170" s="200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8"/>
      <c r="G171" s="200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6" t="s">
        <v>132</v>
      </c>
      <c r="C172" s="195" t="s">
        <v>132</v>
      </c>
      <c r="D172" s="194" t="s">
        <v>132</v>
      </c>
      <c r="E172" s="191">
        <v>2172</v>
      </c>
      <c r="F172" s="228"/>
      <c r="G172" s="200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6" t="s">
        <v>132</v>
      </c>
      <c r="C173" s="195" t="s">
        <v>132</v>
      </c>
      <c r="D173" s="194" t="s">
        <v>132</v>
      </c>
      <c r="E173" s="191"/>
      <c r="F173" s="228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6" t="s">
        <v>132</v>
      </c>
      <c r="C174" s="195" t="s">
        <v>132</v>
      </c>
      <c r="D174" s="194" t="s">
        <v>132</v>
      </c>
      <c r="E174" s="191"/>
      <c r="F174" s="228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6" t="s">
        <v>132</v>
      </c>
      <c r="C175" s="195" t="s">
        <v>132</v>
      </c>
      <c r="D175" s="194" t="s">
        <v>132</v>
      </c>
      <c r="E175" s="191"/>
      <c r="F175" s="228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6" t="s">
        <v>132</v>
      </c>
      <c r="C176" s="195" t="s">
        <v>132</v>
      </c>
      <c r="D176" s="194" t="s">
        <v>132</v>
      </c>
      <c r="E176" s="191"/>
      <c r="F176" s="228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6" t="s">
        <v>132</v>
      </c>
      <c r="C177" s="195" t="s">
        <v>132</v>
      </c>
      <c r="D177" s="194" t="s">
        <v>132</v>
      </c>
      <c r="E177" s="191"/>
      <c r="F177" s="228"/>
      <c r="G177" s="202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78">
        <f>'Données projet'!A166</f>
        <v>10</v>
      </c>
      <c r="B178" s="179">
        <f>'Données projet'!D166</f>
        <v>1</v>
      </c>
      <c r="C178" s="191">
        <f>40*'Données projet'!E166+13.8*('Données projet'!F166+'Données projet'!G168)+15*'Données projet'!H166</f>
        <v>15</v>
      </c>
      <c r="D178" s="177">
        <f>B178*C178</f>
        <v>15</v>
      </c>
      <c r="E178" s="191"/>
      <c r="F178" s="229"/>
      <c r="G178" s="202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78">
        <f>'Données projet'!A167</f>
        <v>15</v>
      </c>
      <c r="B179" s="179">
        <f>'Données projet'!D167</f>
        <v>5</v>
      </c>
      <c r="C179" s="191">
        <f>40*'Données projet'!E167+13.8*('Données projet'!F167+'Données projet'!G169)+15*'Données projet'!H167</f>
        <v>15</v>
      </c>
      <c r="D179" s="177">
        <f t="shared" ref="D179:D197" si="11">B179*C179</f>
        <v>75</v>
      </c>
      <c r="E179" s="191"/>
      <c r="F179" s="229"/>
      <c r="G179" s="202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78">
        <f>'Données projet'!A168</f>
        <v>20</v>
      </c>
      <c r="B180" s="179">
        <f>'Données projet'!D168</f>
        <v>12</v>
      </c>
      <c r="C180" s="191">
        <f>40*'Données projet'!E168+13.8*('Données projet'!F168+'Données projet'!G170)+15*'Données projet'!H168</f>
        <v>15</v>
      </c>
      <c r="D180" s="177">
        <f t="shared" si="11"/>
        <v>180</v>
      </c>
      <c r="E180" s="191"/>
      <c r="F180" s="229"/>
      <c r="G180" s="202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78">
        <f>'Données projet'!A169</f>
        <v>25</v>
      </c>
      <c r="B181" s="179">
        <f>'Données projet'!D169</f>
        <v>24</v>
      </c>
      <c r="C181" s="191">
        <f>40*'Données projet'!E169+13.8*('Données projet'!F169+'Données projet'!G171)+15*'Données projet'!H169</f>
        <v>15</v>
      </c>
      <c r="D181" s="177">
        <f t="shared" si="11"/>
        <v>360</v>
      </c>
      <c r="E181" s="191"/>
      <c r="F181" s="229"/>
      <c r="G181" s="202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78">
        <f>'Données projet'!A170</f>
        <v>30</v>
      </c>
      <c r="B182" s="179">
        <f>'Données projet'!D170</f>
        <v>26</v>
      </c>
      <c r="C182" s="191">
        <f>40*'Données projet'!E170+13.8*('Données projet'!F170+'Données projet'!G172)+15*'Données projet'!H170</f>
        <v>20</v>
      </c>
      <c r="D182" s="177">
        <f t="shared" si="11"/>
        <v>520</v>
      </c>
      <c r="E182" s="191"/>
      <c r="F182" s="229"/>
      <c r="G182" s="202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78">
        <f>'Données projet'!A171</f>
        <v>35</v>
      </c>
      <c r="B183" s="179">
        <f>'Données projet'!D171</f>
        <v>28</v>
      </c>
      <c r="C183" s="191">
        <f>40*'Données projet'!E171+13.8*('Données projet'!F171+'Données projet'!G173)+15*'Données projet'!H171</f>
        <v>20</v>
      </c>
      <c r="D183" s="177">
        <f t="shared" si="11"/>
        <v>560</v>
      </c>
      <c r="E183" s="191"/>
      <c r="F183" s="229"/>
      <c r="G183" s="202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78">
        <f>'Données projet'!A172</f>
        <v>40</v>
      </c>
      <c r="B184" s="179">
        <f>'Données projet'!D172</f>
        <v>28</v>
      </c>
      <c r="C184" s="191">
        <f>40*'Données projet'!E172+13.8*('Données projet'!F172+'Données projet'!G174)+15*'Données projet'!H172</f>
        <v>22.5</v>
      </c>
      <c r="D184" s="177">
        <f t="shared" si="11"/>
        <v>630</v>
      </c>
      <c r="E184" s="191"/>
      <c r="F184" s="229"/>
      <c r="G184" s="203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78">
        <f>'Données projet'!A173</f>
        <v>45</v>
      </c>
      <c r="B185" s="179">
        <f>'Données projet'!D173</f>
        <v>28</v>
      </c>
      <c r="C185" s="191">
        <f>40*'Données projet'!E173+13.8*('Données projet'!F173+'Données projet'!G175)+15*'Données projet'!H173</f>
        <v>22.5</v>
      </c>
      <c r="D185" s="177">
        <f t="shared" si="11"/>
        <v>630</v>
      </c>
      <c r="E185" s="191"/>
      <c r="F185" s="229"/>
      <c r="G185" s="203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78">
        <f>'Données projet'!A174</f>
        <v>50</v>
      </c>
      <c r="B186" s="179">
        <f>'Données projet'!D174</f>
        <v>27</v>
      </c>
      <c r="C186" s="191">
        <f>40*'Données projet'!E174+13.8*('Données projet'!F174+'Données projet'!G176)+15*'Données projet'!H174</f>
        <v>25</v>
      </c>
      <c r="D186" s="177">
        <f t="shared" si="11"/>
        <v>675</v>
      </c>
      <c r="E186" s="191"/>
      <c r="F186" s="229"/>
      <c r="G186" s="203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78">
        <f>'Données projet'!A175</f>
        <v>55</v>
      </c>
      <c r="B187" s="179">
        <f>'Données projet'!D175</f>
        <v>25</v>
      </c>
      <c r="C187" s="191">
        <f>40*'Données projet'!E175+13.8*('Données projet'!F175+'Données projet'!G177)+15*'Données projet'!H175</f>
        <v>25</v>
      </c>
      <c r="D187" s="177">
        <f t="shared" si="11"/>
        <v>625</v>
      </c>
      <c r="E187" s="191"/>
      <c r="F187" s="229"/>
      <c r="G187" s="203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78">
        <f>'Données projet'!A176</f>
        <v>60</v>
      </c>
      <c r="B188" s="179">
        <f>'Données projet'!D176</f>
        <v>24</v>
      </c>
      <c r="C188" s="191">
        <f>40*'Données projet'!E176+13.8*('Données projet'!F176+'Données projet'!G178)+15*'Données projet'!H176</f>
        <v>27.5</v>
      </c>
      <c r="D188" s="177">
        <f t="shared" si="11"/>
        <v>660</v>
      </c>
      <c r="E188" s="191"/>
      <c r="F188" s="229"/>
      <c r="G188" s="203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78">
        <f>'Données projet'!A177</f>
        <v>65</v>
      </c>
      <c r="B189" s="179">
        <f>'Données projet'!D177</f>
        <v>22</v>
      </c>
      <c r="C189" s="191">
        <f>40*'Données projet'!E177+13.8*('Données projet'!F177+'Données projet'!G179)+15*'Données projet'!H177</f>
        <v>27.5</v>
      </c>
      <c r="D189" s="177">
        <f t="shared" si="11"/>
        <v>605</v>
      </c>
      <c r="E189" s="191"/>
      <c r="F189" s="229"/>
      <c r="G189" s="203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78">
        <f>'Données projet'!A178</f>
        <v>70</v>
      </c>
      <c r="B190" s="179">
        <f>'Données projet'!D178</f>
        <v>21</v>
      </c>
      <c r="C190" s="191">
        <f>40*'Données projet'!E178+13.8*('Données projet'!F178+'Données projet'!G180)+15*'Données projet'!H178</f>
        <v>30</v>
      </c>
      <c r="D190" s="177">
        <f t="shared" si="11"/>
        <v>630</v>
      </c>
      <c r="E190" s="191"/>
      <c r="F190" s="229"/>
      <c r="G190" s="203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78">
        <f>'Données projet'!A179</f>
        <v>75</v>
      </c>
      <c r="B191" s="179">
        <f>'Données projet'!D179</f>
        <v>19</v>
      </c>
      <c r="C191" s="191">
        <f>40*'Données projet'!E179+13.8*('Données projet'!F179+'Données projet'!G181)+15*'Données projet'!H179</f>
        <v>30</v>
      </c>
      <c r="D191" s="177">
        <f t="shared" si="11"/>
        <v>570</v>
      </c>
      <c r="E191" s="191"/>
      <c r="F191" s="229"/>
      <c r="G191" s="203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78">
        <f>'Données projet'!A180</f>
        <v>80</v>
      </c>
      <c r="B192" s="179">
        <f>'Données projet'!D180</f>
        <v>18</v>
      </c>
      <c r="C192" s="191">
        <f>40*'Données projet'!E180+13.8*('Données projet'!F180+'Données projet'!G182)+15*'Données projet'!H180</f>
        <v>32.5</v>
      </c>
      <c r="D192" s="177">
        <f t="shared" si="11"/>
        <v>585</v>
      </c>
      <c r="E192" s="191"/>
      <c r="F192" s="229"/>
      <c r="G192" s="203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78">
        <f>'Données projet'!A181</f>
        <v>85</v>
      </c>
      <c r="B193" s="179">
        <f>'Données projet'!D181</f>
        <v>16</v>
      </c>
      <c r="C193" s="191">
        <f>40*'Données projet'!E181+13.8*('Données projet'!F181+'Données projet'!G183)+15*'Données projet'!H181</f>
        <v>32.5</v>
      </c>
      <c r="D193" s="177">
        <f t="shared" si="11"/>
        <v>520</v>
      </c>
      <c r="E193" s="191"/>
      <c r="F193" s="229"/>
      <c r="G193" s="203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78">
        <f>'Données projet'!A182</f>
        <v>90</v>
      </c>
      <c r="B194" s="179">
        <f>'Données projet'!D182</f>
        <v>283</v>
      </c>
      <c r="C194" s="191">
        <f>40*'Données projet'!E182+13.8*('Données projet'!F182+'Données projet'!G184)+15*'Données projet'!H182</f>
        <v>35</v>
      </c>
      <c r="D194" s="177">
        <f t="shared" si="11"/>
        <v>9905</v>
      </c>
      <c r="E194" s="191"/>
      <c r="F194" s="229"/>
      <c r="G194" s="203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78">
        <f>'Données projet'!A183</f>
        <v>0</v>
      </c>
      <c r="B195" s="179">
        <f>'Données projet'!D183</f>
        <v>0</v>
      </c>
      <c r="C195" s="191">
        <f>40*'Données projet'!E183+13.8*('Données projet'!F183+'Données projet'!G185)+15*'Données projet'!H183</f>
        <v>0</v>
      </c>
      <c r="D195" s="177">
        <f t="shared" si="11"/>
        <v>0</v>
      </c>
      <c r="E195" s="191"/>
      <c r="F195" s="229"/>
      <c r="G195" s="203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78">
        <f>'Données projet'!A184</f>
        <v>0</v>
      </c>
      <c r="B196" s="179">
        <f>'Données projet'!D184</f>
        <v>0</v>
      </c>
      <c r="C196" s="191">
        <f>40*'Données projet'!E184+13.8*('Données projet'!F184+'Données projet'!G186)+15*'Données projet'!H184</f>
        <v>0</v>
      </c>
      <c r="D196" s="177">
        <f t="shared" si="11"/>
        <v>0</v>
      </c>
      <c r="E196" s="191"/>
      <c r="F196" s="229"/>
      <c r="G196" s="203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78">
        <f>'Données projet'!A185</f>
        <v>0</v>
      </c>
      <c r="B197" s="179">
        <f>'Données projet'!D185</f>
        <v>0</v>
      </c>
      <c r="C197" s="191">
        <f>40*'Données projet'!E185+13.8*('Données projet'!F185+'Données projet'!G187)+15*'Données projet'!H185</f>
        <v>0</v>
      </c>
      <c r="D197" s="177">
        <f t="shared" si="11"/>
        <v>0</v>
      </c>
      <c r="E197" s="191"/>
      <c r="F197" s="229"/>
      <c r="G197" s="203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27"/>
      <c r="G198" s="203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27"/>
      <c r="G199" s="203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2" t="str">
        <f>IF('Données projet'!$B$15="","",'Données projet'!$B$15)</f>
        <v>Hêtre</v>
      </c>
      <c r="C200" s="4"/>
      <c r="D200" s="4"/>
      <c r="E200" s="4"/>
      <c r="F200" s="227"/>
      <c r="G200" s="203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27"/>
      <c r="G201" s="203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8"/>
      <c r="G202" s="203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6" t="s">
        <v>132</v>
      </c>
      <c r="C203" s="195" t="s">
        <v>132</v>
      </c>
      <c r="D203" s="194" t="s">
        <v>132</v>
      </c>
      <c r="E203" s="191">
        <v>2436</v>
      </c>
      <c r="F203" s="228"/>
      <c r="G203" s="203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6" t="s">
        <v>132</v>
      </c>
      <c r="C204" s="195" t="s">
        <v>132</v>
      </c>
      <c r="D204" s="194" t="s">
        <v>132</v>
      </c>
      <c r="E204" s="191"/>
      <c r="F204" s="228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6" t="s">
        <v>132</v>
      </c>
      <c r="C205" s="195" t="s">
        <v>132</v>
      </c>
      <c r="D205" s="194" t="s">
        <v>132</v>
      </c>
      <c r="E205" s="191"/>
      <c r="F205" s="228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6" t="s">
        <v>132</v>
      </c>
      <c r="C206" s="195" t="s">
        <v>132</v>
      </c>
      <c r="D206" s="194" t="s">
        <v>132</v>
      </c>
      <c r="E206" s="191"/>
      <c r="F206" s="228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6" t="s">
        <v>132</v>
      </c>
      <c r="C207" s="195" t="s">
        <v>132</v>
      </c>
      <c r="D207" s="194" t="s">
        <v>132</v>
      </c>
      <c r="E207" s="191"/>
      <c r="F207" s="228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6" t="s">
        <v>132</v>
      </c>
      <c r="C208" s="195" t="s">
        <v>132</v>
      </c>
      <c r="D208" s="194" t="s">
        <v>132</v>
      </c>
      <c r="E208" s="191"/>
      <c r="F208" s="228"/>
      <c r="G208" s="202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78">
        <f>'Données projet'!A192</f>
        <v>15</v>
      </c>
      <c r="B209" s="179">
        <f>'Données projet'!D192</f>
        <v>0</v>
      </c>
      <c r="C209" s="191">
        <f>47*'Données projet'!E192+13.8*('Données projet'!F192+'Données projet'!G192)+15*'Données projet'!H192</f>
        <v>15</v>
      </c>
      <c r="D209" s="177">
        <f>B209*C209</f>
        <v>0</v>
      </c>
      <c r="E209" s="191"/>
      <c r="F209" s="229"/>
      <c r="G209" s="202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78">
        <f>'Données projet'!A193</f>
        <v>18</v>
      </c>
      <c r="B210" s="179">
        <f>'Données projet'!D193</f>
        <v>2</v>
      </c>
      <c r="C210" s="191">
        <f>47*'Données projet'!E193+13.8*('Données projet'!F193+'Données projet'!G193)+15*'Données projet'!H193</f>
        <v>15</v>
      </c>
      <c r="D210" s="177">
        <f t="shared" ref="D210:D228" si="12">B210*C210</f>
        <v>30</v>
      </c>
      <c r="E210" s="191"/>
      <c r="F210" s="229"/>
      <c r="G210" s="202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78">
        <f>'Données projet'!A194</f>
        <v>21</v>
      </c>
      <c r="B211" s="179">
        <f>'Données projet'!D194</f>
        <v>8</v>
      </c>
      <c r="C211" s="191">
        <f>47*'Données projet'!E194+13.8*('Données projet'!F194+'Données projet'!G194)+15*'Données projet'!H194</f>
        <v>15</v>
      </c>
      <c r="D211" s="177">
        <f t="shared" si="12"/>
        <v>120</v>
      </c>
      <c r="E211" s="191"/>
      <c r="F211" s="229"/>
      <c r="G211" s="202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78">
        <f>'Données projet'!A195</f>
        <v>24</v>
      </c>
      <c r="B212" s="179">
        <f>'Données projet'!D195</f>
        <v>47</v>
      </c>
      <c r="C212" s="191">
        <f>47*'Données projet'!E195+13.8*('Données projet'!F195+'Données projet'!G195)+15*'Données projet'!H195</f>
        <v>15</v>
      </c>
      <c r="D212" s="177">
        <f t="shared" si="12"/>
        <v>705</v>
      </c>
      <c r="E212" s="191"/>
      <c r="F212" s="229"/>
      <c r="G212" s="202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78">
        <f>'Données projet'!A196</f>
        <v>27</v>
      </c>
      <c r="B213" s="179">
        <f>'Données projet'!D196</f>
        <v>43</v>
      </c>
      <c r="C213" s="191">
        <f>47*'Données projet'!E196+13.8*('Données projet'!F196+'Données projet'!G196)+15*'Données projet'!H196</f>
        <v>15</v>
      </c>
      <c r="D213" s="177">
        <f t="shared" si="12"/>
        <v>645</v>
      </c>
      <c r="E213" s="191"/>
      <c r="F213" s="229"/>
      <c r="G213" s="202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78">
        <f>'Données projet'!A197</f>
        <v>30</v>
      </c>
      <c r="B214" s="179">
        <f>'Données projet'!D197</f>
        <v>48</v>
      </c>
      <c r="C214" s="191">
        <f>47*'Données projet'!E197+13.8*('Données projet'!F197+'Données projet'!G197)+15*'Données projet'!H197</f>
        <v>24.6</v>
      </c>
      <c r="D214" s="177">
        <f t="shared" si="12"/>
        <v>1180.8000000000002</v>
      </c>
      <c r="E214" s="191"/>
      <c r="F214" s="229"/>
      <c r="G214" s="202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78">
        <f>'Données projet'!A198</f>
        <v>36</v>
      </c>
      <c r="B215" s="179">
        <f>'Données projet'!D198</f>
        <v>92</v>
      </c>
      <c r="C215" s="191">
        <f>47*'Données projet'!E198+13.8*('Données projet'!F198+'Données projet'!G198)+15*'Données projet'!H198</f>
        <v>27.8</v>
      </c>
      <c r="D215" s="177">
        <f t="shared" si="12"/>
        <v>2557.6</v>
      </c>
      <c r="E215" s="191"/>
      <c r="F215" s="229"/>
      <c r="G215" s="203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78">
        <f>'Données projet'!A199</f>
        <v>42</v>
      </c>
      <c r="B216" s="179">
        <f>'Données projet'!D199</f>
        <v>90</v>
      </c>
      <c r="C216" s="191">
        <f>47*'Données projet'!E199+13.8*('Données projet'!F199+'Données projet'!G199)+15*'Données projet'!H199</f>
        <v>31</v>
      </c>
      <c r="D216" s="177">
        <f t="shared" si="12"/>
        <v>2790</v>
      </c>
      <c r="E216" s="191"/>
      <c r="F216" s="229"/>
      <c r="G216" s="203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78">
        <f>'Données projet'!A200</f>
        <v>51</v>
      </c>
      <c r="B217" s="179">
        <f>'Données projet'!D200</f>
        <v>119</v>
      </c>
      <c r="C217" s="191">
        <f>47*'Données projet'!E200+13.8*('Données projet'!F200+'Données projet'!G200)+15*'Données projet'!H200</f>
        <v>34.200000000000003</v>
      </c>
      <c r="D217" s="177">
        <f t="shared" si="12"/>
        <v>4069.8</v>
      </c>
      <c r="E217" s="191"/>
      <c r="F217" s="229"/>
      <c r="G217" s="203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78">
        <f>'Données projet'!A201</f>
        <v>63</v>
      </c>
      <c r="B218" s="179">
        <f>'Données projet'!D201</f>
        <v>124</v>
      </c>
      <c r="C218" s="191">
        <f>47*'Données projet'!E201+13.8*('Données projet'!F201+'Données projet'!G201)+15*'Données projet'!H201</f>
        <v>37.4</v>
      </c>
      <c r="D218" s="177">
        <f t="shared" si="12"/>
        <v>4637.5999999999995</v>
      </c>
      <c r="E218" s="191"/>
      <c r="F218" s="229"/>
      <c r="G218" s="203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78">
        <f>'Données projet'!A202</f>
        <v>72</v>
      </c>
      <c r="B219" s="179">
        <f>'Données projet'!D202</f>
        <v>0</v>
      </c>
      <c r="C219" s="191">
        <f>47*'Données projet'!E202+13.8*('Données projet'!F202+'Données projet'!G202)+15*'Données projet'!H202</f>
        <v>37.4</v>
      </c>
      <c r="D219" s="177">
        <f t="shared" si="12"/>
        <v>0</v>
      </c>
      <c r="E219" s="191"/>
      <c r="F219" s="229"/>
      <c r="G219" s="203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78">
        <f>'Données projet'!A203</f>
        <v>81</v>
      </c>
      <c r="B220" s="179">
        <f>'Données projet'!D203</f>
        <v>0</v>
      </c>
      <c r="C220" s="191">
        <f>47*'Données projet'!E203+13.8*('Données projet'!F203+'Données projet'!G203)+15*'Données projet'!H203</f>
        <v>37.4</v>
      </c>
      <c r="D220" s="177">
        <f t="shared" si="12"/>
        <v>0</v>
      </c>
      <c r="E220" s="191"/>
      <c r="F220" s="229"/>
      <c r="G220" s="203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78">
        <f>'Données projet'!A204</f>
        <v>84</v>
      </c>
      <c r="B221" s="179">
        <f>'Données projet'!D204</f>
        <v>0</v>
      </c>
      <c r="C221" s="191">
        <f>47*'Données projet'!E204+13.8*('Données projet'!F204+'Données projet'!G204)+15*'Données projet'!H204</f>
        <v>40.6</v>
      </c>
      <c r="D221" s="177">
        <f t="shared" si="12"/>
        <v>0</v>
      </c>
      <c r="E221" s="191"/>
      <c r="F221" s="229"/>
      <c r="G221" s="203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78">
        <f>'Données projet'!A205</f>
        <v>90</v>
      </c>
      <c r="B222" s="179">
        <f>'Données projet'!D205</f>
        <v>705</v>
      </c>
      <c r="C222" s="191">
        <f>47*'Données projet'!E205+13.8*('Données projet'!F205+'Données projet'!G205)+15*'Données projet'!H205</f>
        <v>40.6</v>
      </c>
      <c r="D222" s="177">
        <f t="shared" si="12"/>
        <v>28623</v>
      </c>
      <c r="E222" s="191"/>
      <c r="F222" s="229"/>
      <c r="G222" s="203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78">
        <f>'Données projet'!A206</f>
        <v>0</v>
      </c>
      <c r="B223" s="179">
        <f>'Données projet'!D206</f>
        <v>0</v>
      </c>
      <c r="C223" s="191">
        <f>47*'Données projet'!E206+13.8*('Données projet'!F206+'Données projet'!G206)+15*'Données projet'!H206</f>
        <v>0</v>
      </c>
      <c r="D223" s="177">
        <f t="shared" si="12"/>
        <v>0</v>
      </c>
      <c r="E223" s="191"/>
      <c r="F223" s="229"/>
      <c r="G223" s="203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78">
        <f>'Données projet'!A207</f>
        <v>0</v>
      </c>
      <c r="B224" s="179">
        <f>'Données projet'!D207</f>
        <v>0</v>
      </c>
      <c r="C224" s="191">
        <f>47*'Données projet'!E207+13.8*('Données projet'!F207+'Données projet'!G207)+15*'Données projet'!H207</f>
        <v>0</v>
      </c>
      <c r="D224" s="177">
        <f t="shared" si="12"/>
        <v>0</v>
      </c>
      <c r="E224" s="191"/>
      <c r="F224" s="229"/>
      <c r="G224" s="203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78">
        <f>'Données projet'!A208</f>
        <v>0</v>
      </c>
      <c r="B225" s="179">
        <f>'Données projet'!D208</f>
        <v>0</v>
      </c>
      <c r="C225" s="191">
        <f>47*'Données projet'!E208+13.8*('Données projet'!F208+'Données projet'!G208)+15*'Données projet'!H208</f>
        <v>0</v>
      </c>
      <c r="D225" s="177">
        <f t="shared" si="12"/>
        <v>0</v>
      </c>
      <c r="E225" s="191"/>
      <c r="F225" s="229"/>
      <c r="G225" s="203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78">
        <f>'Données projet'!A209</f>
        <v>0</v>
      </c>
      <c r="B226" s="179">
        <f>'Données projet'!D209</f>
        <v>0</v>
      </c>
      <c r="C226" s="191">
        <f>47*'Données projet'!E209+13.8*('Données projet'!F209+'Données projet'!G209)+15*'Données projet'!H209</f>
        <v>0</v>
      </c>
      <c r="D226" s="177">
        <f t="shared" si="12"/>
        <v>0</v>
      </c>
      <c r="E226" s="191"/>
      <c r="F226" s="229"/>
      <c r="G226" s="203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78">
        <f>'Données projet'!A210</f>
        <v>0</v>
      </c>
      <c r="B227" s="179">
        <f>'Données projet'!D210</f>
        <v>0</v>
      </c>
      <c r="C227" s="191">
        <f>47*'Données projet'!E210+13.8*('Données projet'!F210+'Données projet'!G210)+15*'Données projet'!H210</f>
        <v>0</v>
      </c>
      <c r="D227" s="177">
        <f t="shared" si="12"/>
        <v>0</v>
      </c>
      <c r="E227" s="191"/>
      <c r="F227" s="229"/>
      <c r="G227" s="203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78">
        <f>'Données projet'!A211</f>
        <v>0</v>
      </c>
      <c r="B228" s="179">
        <f>'Données projet'!D211</f>
        <v>0</v>
      </c>
      <c r="C228" s="191">
        <f>150*'Données projet'!E211+13.8*('Données projet'!F211+'Données projet'!G211)+10*'Données projet'!H211</f>
        <v>0</v>
      </c>
      <c r="D228" s="177">
        <f t="shared" si="12"/>
        <v>0</v>
      </c>
      <c r="E228" s="191"/>
      <c r="F228" s="229"/>
      <c r="G228" s="203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27"/>
      <c r="G229" s="203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27"/>
      <c r="G230" s="203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2" t="str">
        <f>IF('Données projet'!$B$16="","",'Données projet'!$B$16)</f>
        <v>Noyer</v>
      </c>
      <c r="C231" s="4"/>
      <c r="D231" s="4"/>
      <c r="E231" s="4"/>
      <c r="F231" s="227"/>
      <c r="G231" s="203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27"/>
      <c r="G232" s="203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8"/>
      <c r="G233" s="203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6" t="s">
        <v>132</v>
      </c>
      <c r="C234" s="195" t="s">
        <v>132</v>
      </c>
      <c r="D234" s="194" t="s">
        <v>132</v>
      </c>
      <c r="E234" s="191">
        <v>3828</v>
      </c>
      <c r="F234" s="228"/>
      <c r="G234" s="203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6" t="s">
        <v>132</v>
      </c>
      <c r="C235" s="195" t="s">
        <v>132</v>
      </c>
      <c r="D235" s="194" t="s">
        <v>132</v>
      </c>
      <c r="E235" s="191"/>
      <c r="F235" s="228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6" t="s">
        <v>132</v>
      </c>
      <c r="C236" s="195" t="s">
        <v>132</v>
      </c>
      <c r="D236" s="194" t="s">
        <v>132</v>
      </c>
      <c r="E236" s="191"/>
      <c r="F236" s="228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6" t="s">
        <v>132</v>
      </c>
      <c r="C237" s="195" t="s">
        <v>132</v>
      </c>
      <c r="D237" s="194" t="s">
        <v>132</v>
      </c>
      <c r="E237" s="191"/>
      <c r="F237" s="228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6" t="s">
        <v>132</v>
      </c>
      <c r="C238" s="195" t="s">
        <v>132</v>
      </c>
      <c r="D238" s="194" t="s">
        <v>132</v>
      </c>
      <c r="E238" s="191"/>
      <c r="F238" s="228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6" t="s">
        <v>132</v>
      </c>
      <c r="C239" s="195" t="s">
        <v>132</v>
      </c>
      <c r="D239" s="194" t="s">
        <v>132</v>
      </c>
      <c r="E239" s="191"/>
      <c r="F239" s="228"/>
      <c r="G239" s="202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78">
        <f>'Données projet'!A218</f>
        <v>10</v>
      </c>
      <c r="B240" s="179">
        <f>'Données projet'!D218</f>
        <v>0</v>
      </c>
      <c r="C240" s="191">
        <f>300*'Données projet'!E218+13.8*('Données projet'!F218+'Données projet'!G218)+15*'Données projet'!H218</f>
        <v>15</v>
      </c>
      <c r="D240" s="177">
        <f>B240*C240</f>
        <v>0</v>
      </c>
      <c r="E240" s="191"/>
      <c r="F240" s="229"/>
      <c r="G240" s="202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78">
        <f>'Données projet'!A219</f>
        <v>15</v>
      </c>
      <c r="B241" s="179">
        <f>'Données projet'!D219</f>
        <v>32</v>
      </c>
      <c r="C241" s="191">
        <f>300*'Données projet'!E219+13.8*('Données projet'!F219+'Données projet'!G219)+15*'Données projet'!H219</f>
        <v>72</v>
      </c>
      <c r="D241" s="177">
        <f t="shared" ref="D241:D259" si="13">B241*C241</f>
        <v>2304</v>
      </c>
      <c r="E241" s="191"/>
      <c r="F241" s="229"/>
      <c r="G241" s="202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78">
        <f>'Données projet'!A220</f>
        <v>20</v>
      </c>
      <c r="B242" s="179">
        <f>'Données projet'!D220</f>
        <v>35</v>
      </c>
      <c r="C242" s="191">
        <f>300*'Données projet'!E220+13.8*('Données projet'!F220+'Données projet'!G220)+15*'Données projet'!H220</f>
        <v>72</v>
      </c>
      <c r="D242" s="177">
        <f t="shared" si="13"/>
        <v>2520</v>
      </c>
      <c r="E242" s="191"/>
      <c r="F242" s="229"/>
      <c r="G242" s="202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78">
        <f>'Données projet'!A221</f>
        <v>25</v>
      </c>
      <c r="B243" s="179">
        <f>'Données projet'!D221</f>
        <v>35</v>
      </c>
      <c r="C243" s="191">
        <f>300*'Données projet'!E221+13.8*('Données projet'!F221+'Données projet'!G221)+15*'Données projet'!H221</f>
        <v>100.5</v>
      </c>
      <c r="D243" s="177">
        <f t="shared" si="13"/>
        <v>3517.5</v>
      </c>
      <c r="E243" s="191"/>
      <c r="F243" s="229"/>
      <c r="G243" s="202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78">
        <f>'Données projet'!A222</f>
        <v>30</v>
      </c>
      <c r="B244" s="179">
        <f>'Données projet'!D222</f>
        <v>35</v>
      </c>
      <c r="C244" s="191">
        <f>300*'Données projet'!E222+13.8*('Données projet'!F222+'Données projet'!G222)+15*'Données projet'!H222</f>
        <v>100.5</v>
      </c>
      <c r="D244" s="177">
        <f t="shared" si="13"/>
        <v>3517.5</v>
      </c>
      <c r="E244" s="191"/>
      <c r="F244" s="229"/>
      <c r="G244" s="202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78">
        <f>'Données projet'!A223</f>
        <v>35</v>
      </c>
      <c r="B245" s="179">
        <f>'Données projet'!D223</f>
        <v>35</v>
      </c>
      <c r="C245" s="191">
        <f>300*'Données projet'!E223+13.8*('Données projet'!F223+'Données projet'!G223)+15*'Données projet'!H223</f>
        <v>129</v>
      </c>
      <c r="D245" s="177">
        <f t="shared" si="13"/>
        <v>4515</v>
      </c>
      <c r="E245" s="191"/>
      <c r="F245" s="229"/>
      <c r="G245" s="202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78">
        <f>'Données projet'!A224</f>
        <v>40</v>
      </c>
      <c r="B246" s="179">
        <f>'Données projet'!D224</f>
        <v>35</v>
      </c>
      <c r="C246" s="191">
        <f>300*'Données projet'!E224+13.8*('Données projet'!F224+'Données projet'!G224)+15*'Données projet'!H224</f>
        <v>129</v>
      </c>
      <c r="D246" s="177">
        <f t="shared" si="13"/>
        <v>4515</v>
      </c>
      <c r="E246" s="191"/>
      <c r="F246" s="229"/>
      <c r="G246" s="203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78">
        <f>'Données projet'!A225</f>
        <v>45</v>
      </c>
      <c r="B247" s="179">
        <f>'Données projet'!D225</f>
        <v>24</v>
      </c>
      <c r="C247" s="191">
        <f>300*'Données projet'!E225+13.8*('Données projet'!F225+'Données projet'!G225)+15*'Données projet'!H225</f>
        <v>157.5</v>
      </c>
      <c r="D247" s="177">
        <f t="shared" si="13"/>
        <v>3780</v>
      </c>
      <c r="E247" s="191"/>
      <c r="F247" s="229"/>
      <c r="G247" s="203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78">
        <f>'Données projet'!A226</f>
        <v>50</v>
      </c>
      <c r="B248" s="179">
        <f>'Données projet'!D226</f>
        <v>19</v>
      </c>
      <c r="C248" s="191">
        <f>300*'Données projet'!E226+13.8*('Données projet'!F226+'Données projet'!G226)+15*'Données projet'!H226</f>
        <v>157.5</v>
      </c>
      <c r="D248" s="177">
        <f t="shared" si="13"/>
        <v>2992.5</v>
      </c>
      <c r="E248" s="191"/>
      <c r="F248" s="229"/>
      <c r="G248" s="203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78">
        <f>'Données projet'!A227</f>
        <v>55</v>
      </c>
      <c r="B249" s="179">
        <f>'Données projet'!D227</f>
        <v>16</v>
      </c>
      <c r="C249" s="191">
        <f>300*'Données projet'!E227+13.8*('Données projet'!F227+'Données projet'!G227)+15*'Données projet'!H227</f>
        <v>186</v>
      </c>
      <c r="D249" s="177">
        <f t="shared" si="13"/>
        <v>2976</v>
      </c>
      <c r="E249" s="191"/>
      <c r="F249" s="229"/>
      <c r="G249" s="203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78">
        <f>'Données projet'!A228</f>
        <v>60</v>
      </c>
      <c r="B250" s="179">
        <f>'Données projet'!D228</f>
        <v>14</v>
      </c>
      <c r="C250" s="191">
        <f>300*'Données projet'!E228+13.8*('Données projet'!F228+'Données projet'!G228)+15*'Données projet'!H228</f>
        <v>186</v>
      </c>
      <c r="D250" s="177">
        <f t="shared" si="13"/>
        <v>2604</v>
      </c>
      <c r="E250" s="191"/>
      <c r="F250" s="229"/>
      <c r="G250" s="203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78">
        <f>'Données projet'!A229</f>
        <v>65</v>
      </c>
      <c r="B251" s="179">
        <f>'Données projet'!D229</f>
        <v>13</v>
      </c>
      <c r="C251" s="191">
        <f>300*'Données projet'!E229+13.8*('Données projet'!F229+'Données projet'!G229)+15*'Données projet'!H229</f>
        <v>214.5</v>
      </c>
      <c r="D251" s="177">
        <f t="shared" si="13"/>
        <v>2788.5</v>
      </c>
      <c r="E251" s="191"/>
      <c r="F251" s="229"/>
      <c r="G251" s="203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78">
        <f>'Données projet'!A230</f>
        <v>70</v>
      </c>
      <c r="B252" s="179">
        <f>'Données projet'!D230</f>
        <v>13</v>
      </c>
      <c r="C252" s="191">
        <f>300*'Données projet'!E230+13.8*('Données projet'!F230+'Données projet'!G230)+15*'Données projet'!H230</f>
        <v>214.5</v>
      </c>
      <c r="D252" s="177">
        <f t="shared" si="13"/>
        <v>2788.5</v>
      </c>
      <c r="E252" s="191"/>
      <c r="F252" s="229"/>
      <c r="G252" s="203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78">
        <f>'Données projet'!A231</f>
        <v>75</v>
      </c>
      <c r="B253" s="179">
        <f>'Données projet'!D231</f>
        <v>12</v>
      </c>
      <c r="C253" s="191">
        <f>300*'Données projet'!E231+13.8*('Données projet'!F231+'Données projet'!G231)+15*'Données projet'!H231</f>
        <v>243</v>
      </c>
      <c r="D253" s="177">
        <f t="shared" si="13"/>
        <v>2916</v>
      </c>
      <c r="E253" s="191"/>
      <c r="F253" s="229"/>
      <c r="G253" s="203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78">
        <f>'Données projet'!A232</f>
        <v>80</v>
      </c>
      <c r="B254" s="179">
        <f>'Données projet'!D232</f>
        <v>330</v>
      </c>
      <c r="C254" s="191">
        <f>300*'Données projet'!E232+13.8*('Données projet'!F232+'Données projet'!G232)+15*'Données projet'!H232</f>
        <v>243</v>
      </c>
      <c r="D254" s="177">
        <f t="shared" si="13"/>
        <v>80190</v>
      </c>
      <c r="E254" s="191"/>
      <c r="F254" s="229"/>
      <c r="G254" s="203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78">
        <f>'Données projet'!A233</f>
        <v>0</v>
      </c>
      <c r="B255" s="179">
        <f>'Données projet'!D233</f>
        <v>0</v>
      </c>
      <c r="C255" s="191">
        <f>300*'Données projet'!E233+13.8*('Données projet'!F233+'Données projet'!G233)+15*'Données projet'!H233</f>
        <v>0</v>
      </c>
      <c r="D255" s="177">
        <f t="shared" si="13"/>
        <v>0</v>
      </c>
      <c r="E255" s="191"/>
      <c r="F255" s="229"/>
      <c r="G255" s="203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78">
        <f>'Données projet'!A234</f>
        <v>0</v>
      </c>
      <c r="B256" s="179">
        <f>'Données projet'!D234</f>
        <v>0</v>
      </c>
      <c r="C256" s="191">
        <f>300*'Données projet'!E234+13.8*('Données projet'!F234+'Données projet'!G234)+15*'Données projet'!H234</f>
        <v>0</v>
      </c>
      <c r="D256" s="177">
        <f t="shared" si="13"/>
        <v>0</v>
      </c>
      <c r="E256" s="191"/>
      <c r="F256" s="229"/>
      <c r="G256" s="203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78">
        <f>'Données projet'!A235</f>
        <v>0</v>
      </c>
      <c r="B257" s="179">
        <f>'Données projet'!D235</f>
        <v>0</v>
      </c>
      <c r="C257" s="191">
        <f>300*'Données projet'!E235+13.8*('Données projet'!F235+'Données projet'!G235)+15*'Données projet'!H235</f>
        <v>0</v>
      </c>
      <c r="D257" s="177">
        <f t="shared" si="13"/>
        <v>0</v>
      </c>
      <c r="E257" s="191"/>
      <c r="F257" s="229"/>
      <c r="G257" s="203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78">
        <f>'Données projet'!A236</f>
        <v>0</v>
      </c>
      <c r="B258" s="179">
        <f>'Données projet'!D236</f>
        <v>0</v>
      </c>
      <c r="C258" s="191">
        <f>300*'Données projet'!E236+13.8*('Données projet'!F236+'Données projet'!G236)+15*'Données projet'!H236</f>
        <v>0</v>
      </c>
      <c r="D258" s="177">
        <f t="shared" si="13"/>
        <v>0</v>
      </c>
      <c r="E258" s="191"/>
      <c r="F258" s="229"/>
      <c r="G258" s="203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78">
        <f>'Données projet'!A237</f>
        <v>0</v>
      </c>
      <c r="B259" s="179">
        <f>'Données projet'!D237</f>
        <v>0</v>
      </c>
      <c r="C259" s="191">
        <f>300*'Données projet'!E237+13.8*('Données projet'!F237+'Données projet'!G237)+15*'Données projet'!H237</f>
        <v>0</v>
      </c>
      <c r="D259" s="177">
        <f t="shared" si="13"/>
        <v>0</v>
      </c>
      <c r="E259" s="191"/>
      <c r="F259" s="229"/>
      <c r="G259" s="203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27"/>
      <c r="G260" s="203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27"/>
      <c r="G261" s="203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2" t="str">
        <f>IF('Données projet'!$B$17="","",'Données projet'!$B$17)</f>
        <v>Douglas</v>
      </c>
      <c r="C262" s="4"/>
      <c r="D262" s="4"/>
      <c r="E262" s="4"/>
      <c r="F262" s="227"/>
      <c r="G262" s="203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27"/>
      <c r="G263" s="203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8"/>
      <c r="G264" s="203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6" t="s">
        <v>132</v>
      </c>
      <c r="C265" s="195" t="s">
        <v>132</v>
      </c>
      <c r="D265" s="194" t="s">
        <v>132</v>
      </c>
      <c r="E265" s="191">
        <v>1932</v>
      </c>
      <c r="F265" s="228"/>
      <c r="G265" s="203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6" t="s">
        <v>132</v>
      </c>
      <c r="C266" s="195" t="s">
        <v>132</v>
      </c>
      <c r="D266" s="194" t="s">
        <v>132</v>
      </c>
      <c r="E266" s="191"/>
      <c r="F266" s="228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6" t="s">
        <v>132</v>
      </c>
      <c r="C267" s="195" t="s">
        <v>132</v>
      </c>
      <c r="D267" s="194" t="s">
        <v>132</v>
      </c>
      <c r="E267" s="191"/>
      <c r="F267" s="228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6" t="s">
        <v>132</v>
      </c>
      <c r="C268" s="195" t="s">
        <v>132</v>
      </c>
      <c r="D268" s="194" t="s">
        <v>132</v>
      </c>
      <c r="E268" s="191"/>
      <c r="F268" s="228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6" t="s">
        <v>132</v>
      </c>
      <c r="C269" s="195" t="s">
        <v>132</v>
      </c>
      <c r="D269" s="194" t="s">
        <v>132</v>
      </c>
      <c r="E269" s="191"/>
      <c r="F269" s="228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6" t="s">
        <v>132</v>
      </c>
      <c r="C270" s="195" t="s">
        <v>132</v>
      </c>
      <c r="D270" s="194" t="s">
        <v>132</v>
      </c>
      <c r="E270" s="191"/>
      <c r="F270" s="228"/>
      <c r="G270" s="202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78">
        <f>'Données projet'!A244</f>
        <v>17</v>
      </c>
      <c r="B271" s="179">
        <f>'Données projet'!D244</f>
        <v>0</v>
      </c>
      <c r="C271" s="191">
        <f>67*'Données projet'!E244+19.4*('Données projet'!F244+'Données projet'!G244)+15*'Données projet'!H244</f>
        <v>0</v>
      </c>
      <c r="D271" s="177">
        <f>B271*C271</f>
        <v>0</v>
      </c>
      <c r="E271" s="191"/>
      <c r="F271" s="229"/>
      <c r="G271" s="202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78">
        <f>'Données projet'!A245</f>
        <v>18</v>
      </c>
      <c r="B272" s="179">
        <f>'Données projet'!D245</f>
        <v>74.819999999999993</v>
      </c>
      <c r="C272" s="191">
        <f>67*'Données projet'!E245+19.4*('Données projet'!F245+'Données projet'!G245)+15*'Données projet'!H245</f>
        <v>28.92</v>
      </c>
      <c r="D272" s="177">
        <f t="shared" ref="D272:D290" si="14">B272*C272</f>
        <v>2163.7943999999998</v>
      </c>
      <c r="E272" s="191"/>
      <c r="F272" s="229"/>
      <c r="G272" s="202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78">
        <f>'Données projet'!A246</f>
        <v>19</v>
      </c>
      <c r="B273" s="179">
        <f>'Données projet'!D246</f>
        <v>0</v>
      </c>
      <c r="C273" s="191">
        <f>67*'Données projet'!E246+19.4*('Données projet'!F246+'Données projet'!G246)+15*'Données projet'!H246</f>
        <v>0</v>
      </c>
      <c r="D273" s="177">
        <f t="shared" si="14"/>
        <v>0</v>
      </c>
      <c r="E273" s="191"/>
      <c r="F273" s="229"/>
      <c r="G273" s="202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78">
        <f>'Données projet'!A247</f>
        <v>20</v>
      </c>
      <c r="B274" s="179">
        <f>'Données projet'!D247</f>
        <v>0</v>
      </c>
      <c r="C274" s="191">
        <f>67*'Données projet'!E247+19.4*('Données projet'!F247+'Données projet'!G247)+15*'Données projet'!H247</f>
        <v>0</v>
      </c>
      <c r="D274" s="177">
        <f t="shared" si="14"/>
        <v>0</v>
      </c>
      <c r="E274" s="191"/>
      <c r="F274" s="229"/>
      <c r="G274" s="202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78">
        <f>'Données projet'!A248</f>
        <v>21</v>
      </c>
      <c r="B275" s="179">
        <f>'Données projet'!D248</f>
        <v>0</v>
      </c>
      <c r="C275" s="191">
        <f>67*'Données projet'!E248+19.4*('Données projet'!F248+'Données projet'!G248)+15*'Données projet'!H248</f>
        <v>0</v>
      </c>
      <c r="D275" s="177">
        <f t="shared" si="14"/>
        <v>0</v>
      </c>
      <c r="E275" s="191"/>
      <c r="F275" s="229"/>
      <c r="G275" s="202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78">
        <f>'Données projet'!A249</f>
        <v>22</v>
      </c>
      <c r="B276" s="179">
        <f>'Données projet'!D249</f>
        <v>0</v>
      </c>
      <c r="C276" s="191">
        <f>67*'Données projet'!E249+19.4*('Données projet'!F249+'Données projet'!G249)+15*'Données projet'!H249</f>
        <v>0</v>
      </c>
      <c r="D276" s="177">
        <f t="shared" si="14"/>
        <v>0</v>
      </c>
      <c r="E276" s="191"/>
      <c r="F276" s="229"/>
      <c r="G276" s="202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78">
        <f>'Données projet'!A250</f>
        <v>23</v>
      </c>
      <c r="B277" s="179">
        <f>'Données projet'!D250</f>
        <v>0</v>
      </c>
      <c r="C277" s="191">
        <f>67*'Données projet'!E250+19.4*('Données projet'!F250+'Données projet'!G250)+15*'Données projet'!H250</f>
        <v>0</v>
      </c>
      <c r="D277" s="177">
        <f t="shared" si="14"/>
        <v>0</v>
      </c>
      <c r="E277" s="191"/>
      <c r="F277" s="229"/>
      <c r="G277" s="203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78">
        <f>'Données projet'!A251</f>
        <v>24</v>
      </c>
      <c r="B278" s="179">
        <f>'Données projet'!D251</f>
        <v>51.39</v>
      </c>
      <c r="C278" s="191">
        <f>67*'Données projet'!E251+19.4*('Données projet'!F251+'Données projet'!G251)+15*'Données projet'!H251</f>
        <v>33.679999999999993</v>
      </c>
      <c r="D278" s="177">
        <f t="shared" si="14"/>
        <v>1730.8151999999995</v>
      </c>
      <c r="E278" s="191"/>
      <c r="F278" s="229"/>
      <c r="G278" s="203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78">
        <f>'Données projet'!A252</f>
        <v>25</v>
      </c>
      <c r="B279" s="179">
        <f>'Données projet'!D252</f>
        <v>0</v>
      </c>
      <c r="C279" s="191">
        <f>67*'Données projet'!E252+19.4*('Données projet'!F252+'Données projet'!G252)+15*'Données projet'!H252</f>
        <v>0</v>
      </c>
      <c r="D279" s="177">
        <f t="shared" si="14"/>
        <v>0</v>
      </c>
      <c r="E279" s="191"/>
      <c r="F279" s="229"/>
      <c r="G279" s="203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78">
        <f>'Données projet'!A253</f>
        <v>26</v>
      </c>
      <c r="B280" s="179">
        <f>'Données projet'!D253</f>
        <v>0</v>
      </c>
      <c r="C280" s="191">
        <f>67*'Données projet'!E253+19.4*('Données projet'!F253+'Données projet'!G253)+15*'Données projet'!H253</f>
        <v>0</v>
      </c>
      <c r="D280" s="177">
        <f t="shared" si="14"/>
        <v>0</v>
      </c>
      <c r="E280" s="191"/>
      <c r="F280" s="229"/>
      <c r="G280" s="203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78">
        <f>'Données projet'!A254</f>
        <v>27</v>
      </c>
      <c r="B281" s="179">
        <f>'Données projet'!D254</f>
        <v>0</v>
      </c>
      <c r="C281" s="191">
        <f>67*'Données projet'!E254+19.4*('Données projet'!F254+'Données projet'!G254)+15*'Données projet'!H254</f>
        <v>0</v>
      </c>
      <c r="D281" s="177">
        <f t="shared" si="14"/>
        <v>0</v>
      </c>
      <c r="E281" s="191"/>
      <c r="F281" s="229"/>
      <c r="G281" s="203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78">
        <f>'Données projet'!A255</f>
        <v>28</v>
      </c>
      <c r="B282" s="179">
        <f>'Données projet'!D255</f>
        <v>0</v>
      </c>
      <c r="C282" s="191">
        <f>67*'Données projet'!E255+19.4*('Données projet'!F255+'Données projet'!G255)+15*'Données projet'!H255</f>
        <v>0</v>
      </c>
      <c r="D282" s="177">
        <f t="shared" si="14"/>
        <v>0</v>
      </c>
      <c r="E282" s="191"/>
      <c r="F282" s="229"/>
      <c r="G282" s="203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78">
        <f>'Données projet'!A256</f>
        <v>29</v>
      </c>
      <c r="B283" s="179">
        <f>'Données projet'!D256</f>
        <v>0</v>
      </c>
      <c r="C283" s="191">
        <f>67*'Données projet'!E256+19.4*('Données projet'!F256+'Données projet'!G256)+15*'Données projet'!H256</f>
        <v>0</v>
      </c>
      <c r="D283" s="177">
        <f t="shared" si="14"/>
        <v>0</v>
      </c>
      <c r="E283" s="191"/>
      <c r="F283" s="229"/>
      <c r="G283" s="203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78">
        <f>'Données projet'!A257</f>
        <v>30</v>
      </c>
      <c r="B284" s="179">
        <f>'Données projet'!D257</f>
        <v>80.97</v>
      </c>
      <c r="C284" s="191">
        <f>67*'Données projet'!E257+19.4*('Données projet'!F257+'Données projet'!G257)+15*'Données projet'!H257</f>
        <v>38.44</v>
      </c>
      <c r="D284" s="177">
        <f t="shared" si="14"/>
        <v>3112.4867999999997</v>
      </c>
      <c r="E284" s="191"/>
      <c r="F284" s="229"/>
      <c r="G284" s="203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78">
        <f>'Données projet'!A258</f>
        <v>36</v>
      </c>
      <c r="B285" s="179">
        <f>'Données projet'!D258</f>
        <v>85.88</v>
      </c>
      <c r="C285" s="191">
        <f>67*'Données projet'!E258+19.4*('Données projet'!F258+'Données projet'!G258)+15*'Données projet'!H258</f>
        <v>43.2</v>
      </c>
      <c r="D285" s="177">
        <f t="shared" si="14"/>
        <v>3710.0160000000001</v>
      </c>
      <c r="E285" s="191"/>
      <c r="F285" s="229"/>
      <c r="G285" s="203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78">
        <f>'Données projet'!A259</f>
        <v>42</v>
      </c>
      <c r="B286" s="179">
        <f>'Données projet'!D259</f>
        <v>91.25</v>
      </c>
      <c r="C286" s="191">
        <f>67*'Données projet'!E259+19.4*('Données projet'!F259+'Données projet'!G259)+15*'Données projet'!H259</f>
        <v>47.959999999999994</v>
      </c>
      <c r="D286" s="177">
        <f t="shared" si="14"/>
        <v>4376.3499999999995</v>
      </c>
      <c r="E286" s="191"/>
      <c r="F286" s="229"/>
      <c r="G286" s="203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78">
        <f>'Données projet'!A260</f>
        <v>45</v>
      </c>
      <c r="B287" s="179">
        <f>'Données projet'!D260</f>
        <v>0</v>
      </c>
      <c r="C287" s="191">
        <f>67*'Données projet'!E260+19.4*('Données projet'!F260+'Données projet'!G260)+15*'Données projet'!H260</f>
        <v>0</v>
      </c>
      <c r="D287" s="177">
        <f t="shared" si="14"/>
        <v>0</v>
      </c>
      <c r="E287" s="191"/>
      <c r="F287" s="229"/>
      <c r="G287" s="203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78">
        <f>'Données projet'!A261</f>
        <v>48</v>
      </c>
      <c r="B288" s="179">
        <f>'Données projet'!D261</f>
        <v>101.34</v>
      </c>
      <c r="C288" s="191">
        <f>67*'Données projet'!E261+19.4*('Données projet'!F261+'Données projet'!G261)+15*'Données projet'!H261</f>
        <v>52.72</v>
      </c>
      <c r="D288" s="177">
        <f t="shared" si="14"/>
        <v>5342.6448</v>
      </c>
      <c r="E288" s="191"/>
      <c r="F288" s="229"/>
      <c r="G288" s="203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78">
        <f>'Données projet'!A262</f>
        <v>50</v>
      </c>
      <c r="B289" s="179">
        <f>'Données projet'!D262</f>
        <v>0</v>
      </c>
      <c r="C289" s="191">
        <f>67*'Données projet'!E262+19.4*('Données projet'!F262+'Données projet'!G262)+15*'Données projet'!H262</f>
        <v>0</v>
      </c>
      <c r="D289" s="177">
        <f t="shared" si="14"/>
        <v>0</v>
      </c>
      <c r="E289" s="191"/>
      <c r="F289" s="229"/>
      <c r="G289" s="203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78">
        <f>'Données projet'!A263</f>
        <v>54</v>
      </c>
      <c r="B290" s="179">
        <f>'Données projet'!D263</f>
        <v>707.75</v>
      </c>
      <c r="C290" s="191">
        <f>67*'Données projet'!E263+19.4*('Données projet'!F263+'Données projet'!G263)+15*'Données projet'!H263</f>
        <v>57.480000000000004</v>
      </c>
      <c r="D290" s="177">
        <f t="shared" si="14"/>
        <v>40681.47</v>
      </c>
      <c r="E290" s="191"/>
      <c r="F290" s="229"/>
      <c r="G290" s="203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27"/>
      <c r="G291" s="203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27"/>
      <c r="G292" s="203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2" t="str">
        <f>IF('Données projet'!$B$18="","",'Données projet'!$B$18)</f>
        <v>Mélèze hybride</v>
      </c>
      <c r="C293" s="4"/>
      <c r="D293" s="4"/>
      <c r="E293" s="4"/>
      <c r="F293" s="227"/>
      <c r="G293" s="203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27"/>
      <c r="G294" s="203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8"/>
      <c r="G295" s="203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6" t="s">
        <v>132</v>
      </c>
      <c r="C296" s="195" t="s">
        <v>132</v>
      </c>
      <c r="D296" s="194" t="s">
        <v>132</v>
      </c>
      <c r="E296" s="191">
        <v>2676</v>
      </c>
      <c r="F296" s="228"/>
      <c r="G296" s="203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6" t="s">
        <v>132</v>
      </c>
      <c r="C297" s="195" t="s">
        <v>132</v>
      </c>
      <c r="D297" s="194" t="s">
        <v>132</v>
      </c>
      <c r="E297" s="191"/>
      <c r="F297" s="228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6" t="s">
        <v>132</v>
      </c>
      <c r="C298" s="195" t="s">
        <v>132</v>
      </c>
      <c r="D298" s="194" t="s">
        <v>132</v>
      </c>
      <c r="E298" s="191"/>
      <c r="F298" s="228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6" t="s">
        <v>132</v>
      </c>
      <c r="C299" s="195" t="s">
        <v>132</v>
      </c>
      <c r="D299" s="194" t="s">
        <v>132</v>
      </c>
      <c r="E299" s="191"/>
      <c r="F299" s="228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6" t="s">
        <v>132</v>
      </c>
      <c r="C300" s="195" t="s">
        <v>132</v>
      </c>
      <c r="D300" s="194" t="s">
        <v>132</v>
      </c>
      <c r="E300" s="191"/>
      <c r="F300" s="228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6" t="s">
        <v>132</v>
      </c>
      <c r="C301" s="195" t="s">
        <v>132</v>
      </c>
      <c r="D301" s="194" t="s">
        <v>132</v>
      </c>
      <c r="E301" s="191"/>
      <c r="F301" s="228"/>
      <c r="G301" s="202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78">
        <f>'Données projet'!A270</f>
        <v>10</v>
      </c>
      <c r="B302" s="179">
        <f>'Données projet'!D270</f>
        <v>0</v>
      </c>
      <c r="C302" s="189">
        <f>50*'Données projet'!E270+19.4*('Données projet'!F270+'Données projet'!G270)+15*'Données projet'!H270</f>
        <v>25.52</v>
      </c>
      <c r="D302" s="180">
        <f>B302*C302</f>
        <v>0</v>
      </c>
      <c r="E302" s="191"/>
      <c r="F302" s="230"/>
      <c r="G302" s="202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78">
        <f>'Données projet'!A271</f>
        <v>15</v>
      </c>
      <c r="B303" s="179">
        <f>'Données projet'!D271</f>
        <v>18</v>
      </c>
      <c r="C303" s="189">
        <f>50*'Données projet'!E271+19.4*('Données projet'!F271+'Données projet'!G271)+15*'Données projet'!H271</f>
        <v>25.52</v>
      </c>
      <c r="D303" s="180">
        <f t="shared" ref="D303:D321" si="15">B303*C303</f>
        <v>459.36</v>
      </c>
      <c r="E303" s="191"/>
      <c r="F303" s="230"/>
      <c r="G303" s="202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78">
        <f>'Données projet'!A272</f>
        <v>20</v>
      </c>
      <c r="B304" s="179">
        <f>'Données projet'!D272</f>
        <v>42</v>
      </c>
      <c r="C304" s="189">
        <f>50*'Données projet'!E272+19.4*('Données projet'!F272+'Données projet'!G272)+15*'Données projet'!H272</f>
        <v>28.58</v>
      </c>
      <c r="D304" s="180">
        <f t="shared" si="15"/>
        <v>1200.3599999999999</v>
      </c>
      <c r="E304" s="191"/>
      <c r="F304" s="230"/>
      <c r="G304" s="202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78">
        <f>'Données projet'!A273</f>
        <v>25</v>
      </c>
      <c r="B305" s="179">
        <f>'Données projet'!D273</f>
        <v>42</v>
      </c>
      <c r="C305" s="189">
        <f>50*'Données projet'!E273+19.4*('Données projet'!F273+'Données projet'!G273)+15*'Données projet'!H273</f>
        <v>28.58</v>
      </c>
      <c r="D305" s="180">
        <f t="shared" si="15"/>
        <v>1200.3599999999999</v>
      </c>
      <c r="E305" s="191"/>
      <c r="F305" s="230"/>
      <c r="G305" s="202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78">
        <f>'Données projet'!A274</f>
        <v>30</v>
      </c>
      <c r="B306" s="179">
        <f>'Données projet'!D274</f>
        <v>42</v>
      </c>
      <c r="C306" s="189">
        <f>50*'Données projet'!E274+19.4*('Données projet'!F274+'Données projet'!G274)+15*'Données projet'!H274</f>
        <v>31.64</v>
      </c>
      <c r="D306" s="180">
        <f t="shared" si="15"/>
        <v>1328.88</v>
      </c>
      <c r="E306" s="191"/>
      <c r="F306" s="230"/>
      <c r="G306" s="202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78">
        <f>'Données projet'!A275</f>
        <v>35</v>
      </c>
      <c r="B307" s="179">
        <f>'Données projet'!D275</f>
        <v>42</v>
      </c>
      <c r="C307" s="189">
        <f>50*'Données projet'!E275+19.4*('Données projet'!F275+'Données projet'!G275)+15*'Données projet'!H275</f>
        <v>31.64</v>
      </c>
      <c r="D307" s="180">
        <f t="shared" si="15"/>
        <v>1328.88</v>
      </c>
      <c r="E307" s="191"/>
      <c r="F307" s="230"/>
      <c r="G307" s="202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78">
        <f>'Données projet'!A276</f>
        <v>40</v>
      </c>
      <c r="B308" s="179">
        <f>'Données projet'!D276</f>
        <v>40</v>
      </c>
      <c r="C308" s="189">
        <f>50*'Données projet'!E276+19.4*('Données projet'!F276+'Données projet'!G276)+15*'Données projet'!H276</f>
        <v>34.700000000000003</v>
      </c>
      <c r="D308" s="180">
        <f t="shared" si="15"/>
        <v>1388</v>
      </c>
      <c r="E308" s="191"/>
      <c r="F308" s="230"/>
      <c r="G308" s="200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78">
        <f>'Données projet'!A277</f>
        <v>45</v>
      </c>
      <c r="B309" s="179">
        <f>'Données projet'!D277</f>
        <v>36</v>
      </c>
      <c r="C309" s="189">
        <f>50*'Données projet'!E277+19.4*('Données projet'!F277+'Données projet'!G277)+15*'Données projet'!H277</f>
        <v>34.700000000000003</v>
      </c>
      <c r="D309" s="180">
        <f t="shared" si="15"/>
        <v>1249.2</v>
      </c>
      <c r="E309" s="191"/>
      <c r="F309" s="230"/>
      <c r="G309" s="200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78">
        <f>'Données projet'!A278</f>
        <v>50</v>
      </c>
      <c r="B310" s="179">
        <f>'Données projet'!D278</f>
        <v>32</v>
      </c>
      <c r="C310" s="189">
        <f>50*'Données projet'!E278+19.4*('Données projet'!F278+'Données projet'!G278)+15*'Données projet'!H278</f>
        <v>37.76</v>
      </c>
      <c r="D310" s="180">
        <f t="shared" si="15"/>
        <v>1208.32</v>
      </c>
      <c r="E310" s="191"/>
      <c r="F310" s="230"/>
      <c r="G310" s="200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78">
        <f>'Données projet'!A279</f>
        <v>55</v>
      </c>
      <c r="B311" s="179">
        <f>'Données projet'!D279</f>
        <v>29</v>
      </c>
      <c r="C311" s="189">
        <f>50*'Données projet'!E279+19.4*('Données projet'!F279+'Données projet'!G279)+15*'Données projet'!H279</f>
        <v>37.76</v>
      </c>
      <c r="D311" s="180">
        <f t="shared" si="15"/>
        <v>1095.04</v>
      </c>
      <c r="E311" s="191"/>
      <c r="F311" s="230"/>
      <c r="G311" s="200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78">
        <f>'Données projet'!A280</f>
        <v>60</v>
      </c>
      <c r="B312" s="179">
        <f>'Données projet'!D280</f>
        <v>26</v>
      </c>
      <c r="C312" s="189">
        <f>50*'Données projet'!E280+19.4*('Données projet'!F280+'Données projet'!G280)+15*'Données projet'!H280</f>
        <v>40.82</v>
      </c>
      <c r="D312" s="180">
        <f t="shared" si="15"/>
        <v>1061.32</v>
      </c>
      <c r="E312" s="191"/>
      <c r="F312" s="230"/>
      <c r="G312" s="200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78">
        <f>'Données projet'!A281</f>
        <v>65</v>
      </c>
      <c r="B313" s="179">
        <f>'Données projet'!D281</f>
        <v>24</v>
      </c>
      <c r="C313" s="189">
        <f>50*'Données projet'!E281+19.4*('Données projet'!F281+'Données projet'!G281)+15*'Données projet'!H281</f>
        <v>40.82</v>
      </c>
      <c r="D313" s="180">
        <f t="shared" si="15"/>
        <v>979.68000000000006</v>
      </c>
      <c r="E313" s="191"/>
      <c r="F313" s="230"/>
      <c r="G313" s="200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78">
        <f>'Données projet'!A282</f>
        <v>70</v>
      </c>
      <c r="B314" s="179">
        <f>'Données projet'!D282</f>
        <v>21</v>
      </c>
      <c r="C314" s="189">
        <f>50*'Données projet'!E282+19.4*('Données projet'!F282+'Données projet'!G282)+15*'Données projet'!H282</f>
        <v>40.82</v>
      </c>
      <c r="D314" s="180">
        <f t="shared" si="15"/>
        <v>857.22</v>
      </c>
      <c r="E314" s="191"/>
      <c r="F314" s="230"/>
      <c r="G314" s="200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78">
        <f>'Données projet'!A283</f>
        <v>75</v>
      </c>
      <c r="B315" s="179">
        <f>'Données projet'!D283</f>
        <v>19</v>
      </c>
      <c r="C315" s="189">
        <f>50*'Données projet'!E283+19.4*('Données projet'!F283+'Données projet'!G283)+15*'Données projet'!H283</f>
        <v>43.88</v>
      </c>
      <c r="D315" s="180">
        <f t="shared" si="15"/>
        <v>833.72</v>
      </c>
      <c r="E315" s="191"/>
      <c r="F315" s="230"/>
      <c r="G315" s="200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78">
        <f>'Données projet'!A284</f>
        <v>80</v>
      </c>
      <c r="B316" s="179">
        <f>'Données projet'!D284</f>
        <v>17</v>
      </c>
      <c r="C316" s="189">
        <f>50*'Données projet'!E284+19.4*('Données projet'!F284+'Données projet'!G284)+15*'Données projet'!H284</f>
        <v>43.88</v>
      </c>
      <c r="D316" s="180">
        <f t="shared" si="15"/>
        <v>745.96</v>
      </c>
      <c r="E316" s="191"/>
      <c r="F316" s="230"/>
      <c r="G316" s="200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78">
        <f>'Données projet'!A285</f>
        <v>85</v>
      </c>
      <c r="B317" s="179">
        <f>'Données projet'!D285</f>
        <v>16</v>
      </c>
      <c r="C317" s="189">
        <f>50*'Données projet'!E285+19.4*('Données projet'!F285+'Données projet'!G285)+15*'Données projet'!H285</f>
        <v>43.88</v>
      </c>
      <c r="D317" s="180">
        <f>B317*C317</f>
        <v>702.08</v>
      </c>
      <c r="E317" s="191"/>
      <c r="F317" s="230"/>
      <c r="G317" s="200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78">
        <f>'Données projet'!A286</f>
        <v>90</v>
      </c>
      <c r="B318" s="179">
        <f>'Données projet'!D286</f>
        <v>14</v>
      </c>
      <c r="C318" s="189">
        <f>50*'Données projet'!E286+19.4*('Données projet'!F286+'Données projet'!G286)+15*'Données projet'!H286</f>
        <v>43.88</v>
      </c>
      <c r="D318" s="180">
        <f t="shared" si="15"/>
        <v>614.32000000000005</v>
      </c>
      <c r="E318" s="191"/>
      <c r="F318" s="230"/>
      <c r="G318" s="200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78">
        <f>'Données projet'!A287</f>
        <v>95</v>
      </c>
      <c r="B319" s="179">
        <f>'Données projet'!D287</f>
        <v>13</v>
      </c>
      <c r="C319" s="189">
        <f>50*'Données projet'!E287+19.4*('Données projet'!F287+'Données projet'!G287)+15*'Données projet'!H287</f>
        <v>43.88</v>
      </c>
      <c r="D319" s="180">
        <f t="shared" si="15"/>
        <v>570.44000000000005</v>
      </c>
      <c r="E319" s="191"/>
      <c r="F319" s="230"/>
      <c r="G319" s="200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78">
        <f>'Données projet'!A288</f>
        <v>100</v>
      </c>
      <c r="B320" s="179">
        <f>'Données projet'!D288</f>
        <v>446</v>
      </c>
      <c r="C320" s="189">
        <f>50*'Données projet'!E288+19.4*('Données projet'!F288+'Données projet'!G288)+15*'Données projet'!H288</f>
        <v>43.88</v>
      </c>
      <c r="D320" s="180">
        <f t="shared" si="15"/>
        <v>19570.48</v>
      </c>
      <c r="E320" s="191"/>
      <c r="F320" s="230"/>
      <c r="G320" s="200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78">
        <f>'Données projet'!A289</f>
        <v>0</v>
      </c>
      <c r="B321" s="179">
        <f>'Données projet'!D289</f>
        <v>0</v>
      </c>
      <c r="C321" s="189">
        <f>50*'Données projet'!E289+19.4*('Données projet'!F289+'Données projet'!G289)+15*'Données projet'!H289</f>
        <v>0</v>
      </c>
      <c r="D321" s="180">
        <f t="shared" si="15"/>
        <v>0</v>
      </c>
      <c r="E321" s="191"/>
      <c r="F321" s="230"/>
      <c r="G321" s="200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0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0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0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0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0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0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2025-07-02T13:07:26Z</dcterms:modified>
</cp:coreProperties>
</file>